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DE42C006-51F8-495A-BFB8-14A8A1414F31}" xr6:coauthVersionLast="44" xr6:coauthVersionMax="44" xr10:uidLastSave="{00000000-0000-0000-0000-000000000000}"/>
  <bookViews>
    <workbookView xWindow="28680" yWindow="-120" windowWidth="29040" windowHeight="15840" tabRatio="500" activeTab="3" xr2:uid="{00000000-000D-0000-FFFF-FFFF00000000}"/>
  </bookViews>
  <sheets>
    <sheet name="VADER-Vigilante" sheetId="16" r:id="rId1"/>
    <sheet name="los_ofensivos-VADER" sheetId="14" r:id="rId2"/>
    <sheet name="los ofensivos" sheetId="13" r:id="rId3"/>
    <sheet name="RioPa_Prime-VADER" sheetId="18" r:id="rId4"/>
    <sheet name="SIMULADOR_v4" sheetId="10" r:id="rId5"/>
    <sheet name="SIMULADOR_v3" sheetId="4" r:id="rId6"/>
    <sheet name="SIMULADOR&gt;22-12-17_v2" sheetId="5" r:id="rId7"/>
    <sheet name="SIMULADOR&gt;22-12-17" sheetId="6" r:id="rId8"/>
    <sheet name="SIMULADOR" sheetId="7" r:id="rId9"/>
    <sheet name="SIMULADOR_sinJC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smNativeData">
      <pm:revision xmlns:pm="smNativeData" day="1595253380" val="976" rev="124" rev64="64" revOS="3" revMin="124" revMax="0"/>
      <pm:docPrefs xmlns:pm="smNativeData" id="1595253380" fixedDigits="0" showNotice="1" showFrameBounds="1" autoChart="1" recalcOnPrint="1" recalcOnCopy="1" finalRounding="1" compatTextArt="1" tab="567" useDefinedPrintRange="1" printArea="currentSheet"/>
      <pm:compatibility xmlns:pm="smNativeData" id="1595253380" overlapCells="1"/>
      <pm:defCurrency xmlns:pm="smNativeData" id="1595253380"/>
    </ext>
  </extLst>
</workbook>
</file>

<file path=xl/calcChain.xml><?xml version="1.0" encoding="utf-8"?>
<calcChain xmlns="http://schemas.openxmlformats.org/spreadsheetml/2006/main">
  <c r="BF48" i="18" l="1"/>
  <c r="BF47" i="18"/>
  <c r="BE45" i="18"/>
  <c r="BF46" i="18" s="1"/>
  <c r="BE44" i="18"/>
  <c r="BF45" i="18" s="1"/>
  <c r="BD44" i="18"/>
  <c r="BF43" i="18"/>
  <c r="BE43" i="18"/>
  <c r="BF44" i="18" s="1"/>
  <c r="BD43" i="18"/>
  <c r="BC43" i="18"/>
  <c r="BF42" i="18"/>
  <c r="BE42" i="18"/>
  <c r="BD42" i="18"/>
  <c r="BC42" i="18"/>
  <c r="BF41" i="18"/>
  <c r="BE41" i="18"/>
  <c r="BD41" i="18"/>
  <c r="BC41" i="18"/>
  <c r="BF40" i="18"/>
  <c r="BE40" i="18"/>
  <c r="BD40" i="18"/>
  <c r="BC40" i="18"/>
  <c r="BC39" i="18"/>
  <c r="AS38" i="18"/>
  <c r="AR38" i="18"/>
  <c r="AQ38" i="18"/>
  <c r="AP38" i="18"/>
  <c r="AO38" i="18"/>
  <c r="AN38" i="18"/>
  <c r="AM38" i="18"/>
  <c r="AL38" i="18"/>
  <c r="AK38" i="18"/>
  <c r="AJ38" i="18"/>
  <c r="AI38" i="18"/>
  <c r="AH38" i="18"/>
  <c r="AG38" i="18"/>
  <c r="AF38" i="18"/>
  <c r="AE38" i="18"/>
  <c r="AD38" i="18"/>
  <c r="AC38" i="18"/>
  <c r="AB38" i="18"/>
  <c r="AA38" i="18"/>
  <c r="Z38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BI35" i="18"/>
  <c r="BI41" i="18" s="1"/>
  <c r="BI46" i="18" s="1"/>
  <c r="BI51" i="18" s="1"/>
  <c r="BI54" i="18" s="1"/>
  <c r="BF34" i="18"/>
  <c r="BI33" i="18"/>
  <c r="BI39" i="18" s="1"/>
  <c r="BI44" i="18" s="1"/>
  <c r="BM10" i="18" s="1"/>
  <c r="BQ30" i="18" s="1"/>
  <c r="BQ37" i="18" s="1"/>
  <c r="BQ45" i="18" s="1"/>
  <c r="BF33" i="18"/>
  <c r="B33" i="18"/>
  <c r="BF32" i="18"/>
  <c r="C32" i="18"/>
  <c r="B32" i="18"/>
  <c r="D30" i="18" s="1"/>
  <c r="BE31" i="18"/>
  <c r="BI30" i="18"/>
  <c r="BI37" i="18" s="1"/>
  <c r="BI43" i="18" s="1"/>
  <c r="BI48" i="18" s="1"/>
  <c r="BI53" i="18" s="1"/>
  <c r="BI56" i="18" s="1"/>
  <c r="BI58" i="18" s="1"/>
  <c r="BI59" i="18" s="1"/>
  <c r="BE30" i="18"/>
  <c r="BF31" i="18" s="1"/>
  <c r="BD30" i="18"/>
  <c r="E30" i="18"/>
  <c r="BI29" i="18"/>
  <c r="BI36" i="18" s="1"/>
  <c r="BI42" i="18" s="1"/>
  <c r="BI47" i="18" s="1"/>
  <c r="BI52" i="18" s="1"/>
  <c r="BI55" i="18" s="1"/>
  <c r="BI57" i="18" s="1"/>
  <c r="BF29" i="18"/>
  <c r="BE29" i="18"/>
  <c r="BD29" i="18"/>
  <c r="BC29" i="18"/>
  <c r="C29" i="18"/>
  <c r="B29" i="18"/>
  <c r="BI28" i="18"/>
  <c r="BF28" i="18"/>
  <c r="BE28" i="18"/>
  <c r="BD28" i="18"/>
  <c r="BC28" i="18"/>
  <c r="BI27" i="18"/>
  <c r="BI34" i="18" s="1"/>
  <c r="BI40" i="18" s="1"/>
  <c r="BI45" i="18" s="1"/>
  <c r="BI50" i="18" s="1"/>
  <c r="BF27" i="18"/>
  <c r="BE27" i="18"/>
  <c r="BD27" i="18"/>
  <c r="BC27" i="18"/>
  <c r="C27" i="18"/>
  <c r="B27" i="18"/>
  <c r="BI26" i="18"/>
  <c r="BF26" i="18"/>
  <c r="BE26" i="18"/>
  <c r="BD26" i="18"/>
  <c r="BC26" i="18"/>
  <c r="E26" i="18"/>
  <c r="E27" i="18" s="1"/>
  <c r="C26" i="18"/>
  <c r="B26" i="18"/>
  <c r="BI25" i="18"/>
  <c r="BI32" i="18" s="1"/>
  <c r="BI38" i="18" s="1"/>
  <c r="BM9" i="18" s="1"/>
  <c r="BQ23" i="18" s="1"/>
  <c r="BQ29" i="18" s="1"/>
  <c r="BQ36" i="18" s="1"/>
  <c r="BQ44" i="18" s="1"/>
  <c r="BC25" i="18"/>
  <c r="E25" i="18"/>
  <c r="C25" i="18"/>
  <c r="B25" i="18"/>
  <c r="BI24" i="18"/>
  <c r="BI31" i="18" s="1"/>
  <c r="BM8" i="18" s="1"/>
  <c r="BQ18" i="18" s="1"/>
  <c r="BQ22" i="18" s="1"/>
  <c r="BQ28" i="18" s="1"/>
  <c r="BQ35" i="18" s="1"/>
  <c r="BQ43" i="18" s="1"/>
  <c r="BI23" i="18"/>
  <c r="B22" i="18"/>
  <c r="G13" i="18" s="1"/>
  <c r="B20" i="18"/>
  <c r="B21" i="18" s="1"/>
  <c r="BQ17" i="18"/>
  <c r="BQ21" i="18" s="1"/>
  <c r="BQ27" i="18" s="1"/>
  <c r="BQ34" i="18" s="1"/>
  <c r="BQ42" i="18" s="1"/>
  <c r="AA15" i="18"/>
  <c r="W15" i="18"/>
  <c r="V15" i="18"/>
  <c r="Q15" i="18"/>
  <c r="P15" i="18"/>
  <c r="W14" i="18"/>
  <c r="V14" i="18"/>
  <c r="Q14" i="18"/>
  <c r="P14" i="18"/>
  <c r="BQ13" i="18"/>
  <c r="BM13" i="18"/>
  <c r="W13" i="18"/>
  <c r="V13" i="18"/>
  <c r="Q13" i="18"/>
  <c r="P13" i="18"/>
  <c r="BM12" i="18"/>
  <c r="BQ47" i="18" s="1"/>
  <c r="W12" i="18"/>
  <c r="V12" i="18"/>
  <c r="Q12" i="18"/>
  <c r="P12" i="18"/>
  <c r="BM11" i="18"/>
  <c r="BQ38" i="18" s="1"/>
  <c r="BQ46" i="18" s="1"/>
  <c r="Q11" i="18"/>
  <c r="P11" i="18"/>
  <c r="W10" i="18"/>
  <c r="V10" i="18"/>
  <c r="W9" i="18"/>
  <c r="V9" i="18"/>
  <c r="Q9" i="18"/>
  <c r="P9" i="18"/>
  <c r="BQ8" i="18"/>
  <c r="BQ11" i="18" s="1"/>
  <c r="BQ15" i="18" s="1"/>
  <c r="BQ19" i="18" s="1"/>
  <c r="BQ25" i="18" s="1"/>
  <c r="BQ32" i="18" s="1"/>
  <c r="BQ40" i="18" s="1"/>
  <c r="W8" i="18"/>
  <c r="V8" i="18"/>
  <c r="Q8" i="18"/>
  <c r="P8" i="18"/>
  <c r="BQ7" i="18"/>
  <c r="BQ10" i="18" s="1"/>
  <c r="BQ14" i="18" s="1"/>
  <c r="BI49" i="18" s="1"/>
  <c r="BQ24" i="18" s="1"/>
  <c r="BQ31" i="18" s="1"/>
  <c r="BQ39" i="18" s="1"/>
  <c r="BM14" i="18" s="1"/>
  <c r="BM7" i="18"/>
  <c r="W7" i="18"/>
  <c r="V7" i="18"/>
  <c r="Q7" i="18"/>
  <c r="P7" i="18"/>
  <c r="BQ6" i="18"/>
  <c r="BM6" i="18"/>
  <c r="BQ9" i="18" s="1"/>
  <c r="BQ12" i="18" s="1"/>
  <c r="BQ16" i="18" s="1"/>
  <c r="BQ20" i="18" s="1"/>
  <c r="BQ26" i="18" s="1"/>
  <c r="BQ33" i="18" s="1"/>
  <c r="BQ41" i="18" s="1"/>
  <c r="W6" i="18"/>
  <c r="V6" i="18"/>
  <c r="Q6" i="18"/>
  <c r="P6" i="18"/>
  <c r="BQ5" i="18"/>
  <c r="W5" i="18"/>
  <c r="V5" i="18"/>
  <c r="Q5" i="18"/>
  <c r="P5" i="18"/>
  <c r="W4" i="18"/>
  <c r="V4" i="18"/>
  <c r="Q4" i="18"/>
  <c r="P4" i="18"/>
  <c r="D3" i="18"/>
  <c r="N1" i="18"/>
  <c r="N11" i="18" s="1"/>
  <c r="V11" i="18" l="1"/>
  <c r="R15" i="18"/>
  <c r="W11" i="18"/>
  <c r="D25" i="18"/>
  <c r="B31" i="18" s="1"/>
  <c r="W25" i="18" s="1"/>
  <c r="D26" i="18"/>
  <c r="D27" i="18" s="1"/>
  <c r="N5" i="18"/>
  <c r="R5" i="18" s="1"/>
  <c r="C31" i="18"/>
  <c r="W39" i="18" s="1"/>
  <c r="R11" i="18"/>
  <c r="N4" i="18"/>
  <c r="R4" i="18" s="1"/>
  <c r="N9" i="18"/>
  <c r="R9" i="18" s="1"/>
  <c r="N15" i="18"/>
  <c r="N14" i="18"/>
  <c r="R14" i="18" s="1"/>
  <c r="N13" i="18"/>
  <c r="R13" i="18" s="1"/>
  <c r="AB15" i="18"/>
  <c r="N8" i="18"/>
  <c r="R8" i="18" s="1"/>
  <c r="C22" i="18"/>
  <c r="G14" i="18" s="1"/>
  <c r="N6" i="18"/>
  <c r="R6" i="18" s="1"/>
  <c r="N7" i="18"/>
  <c r="R7" i="18" s="1"/>
  <c r="N10" i="18"/>
  <c r="R10" i="18" s="1"/>
  <c r="N12" i="18"/>
  <c r="R12" i="18" s="1"/>
  <c r="BF30" i="18"/>
  <c r="E23" i="18"/>
  <c r="W15" i="14"/>
  <c r="V15" i="14"/>
  <c r="U15" i="14"/>
  <c r="T15" i="14"/>
  <c r="W14" i="14"/>
  <c r="V14" i="14"/>
  <c r="U14" i="14"/>
  <c r="T14" i="14"/>
  <c r="W13" i="14"/>
  <c r="V13" i="14"/>
  <c r="U13" i="14"/>
  <c r="T13" i="14"/>
  <c r="W12" i="14"/>
  <c r="V12" i="14"/>
  <c r="U12" i="14"/>
  <c r="T12" i="14"/>
  <c r="W11" i="14"/>
  <c r="V11" i="14"/>
  <c r="U11" i="14"/>
  <c r="T11" i="14"/>
  <c r="W10" i="14"/>
  <c r="V10" i="14"/>
  <c r="U10" i="14"/>
  <c r="T10" i="14"/>
  <c r="W9" i="14"/>
  <c r="V9" i="14"/>
  <c r="U9" i="14"/>
  <c r="T9" i="14"/>
  <c r="W8" i="14"/>
  <c r="V8" i="14"/>
  <c r="U8" i="14"/>
  <c r="T8" i="14"/>
  <c r="W7" i="14"/>
  <c r="V7" i="14"/>
  <c r="U7" i="14"/>
  <c r="T7" i="14"/>
  <c r="W6" i="14"/>
  <c r="V6" i="14"/>
  <c r="U6" i="14"/>
  <c r="T6" i="14"/>
  <c r="W5" i="14"/>
  <c r="V5" i="14"/>
  <c r="U5" i="14"/>
  <c r="T5" i="14"/>
  <c r="W4" i="14"/>
  <c r="V4" i="14"/>
  <c r="U4" i="14"/>
  <c r="T4" i="14"/>
  <c r="U15" i="10"/>
  <c r="T15" i="10"/>
  <c r="Q15" i="10"/>
  <c r="P15" i="10"/>
  <c r="D23" i="18" l="1"/>
  <c r="B23" i="18"/>
  <c r="T48" i="18" s="1"/>
  <c r="N2" i="18"/>
  <c r="R2" i="18"/>
  <c r="W11" i="10"/>
  <c r="V11" i="10"/>
  <c r="BI56" i="16"/>
  <c r="BI58" i="16" s="1"/>
  <c r="BI59" i="16" s="1"/>
  <c r="BF48" i="16"/>
  <c r="BF47" i="16"/>
  <c r="BF46" i="16"/>
  <c r="BE45" i="16"/>
  <c r="BE44" i="16"/>
  <c r="BF45" i="16" s="1"/>
  <c r="BD44" i="16"/>
  <c r="BE43" i="16"/>
  <c r="BF44" i="16" s="1"/>
  <c r="BD43" i="16"/>
  <c r="BC43" i="16"/>
  <c r="BF42" i="16"/>
  <c r="BE42" i="16"/>
  <c r="BF43" i="16" s="1"/>
  <c r="BD42" i="16"/>
  <c r="BC42" i="16"/>
  <c r="BF41" i="16"/>
  <c r="BE41" i="16"/>
  <c r="BD41" i="16"/>
  <c r="BC41" i="16"/>
  <c r="BF40" i="16"/>
  <c r="BE40" i="16"/>
  <c r="BD40" i="16"/>
  <c r="BC40" i="16"/>
  <c r="BC39" i="16"/>
  <c r="AS38" i="16"/>
  <c r="AR38" i="16"/>
  <c r="AQ38" i="16"/>
  <c r="AP38" i="16"/>
  <c r="AO38" i="16"/>
  <c r="AN38" i="16"/>
  <c r="AM38" i="16"/>
  <c r="AL38" i="16"/>
  <c r="AK38" i="16"/>
  <c r="AJ38" i="16"/>
  <c r="AI38" i="16"/>
  <c r="AH38" i="16"/>
  <c r="AG38" i="16"/>
  <c r="AF38" i="16"/>
  <c r="AE38" i="16"/>
  <c r="AD38" i="16"/>
  <c r="AC38" i="16"/>
  <c r="AB38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BI34" i="16"/>
  <c r="BI40" i="16" s="1"/>
  <c r="BI45" i="16" s="1"/>
  <c r="BI50" i="16" s="1"/>
  <c r="BM11" i="16" s="1"/>
  <c r="BQ38" i="16" s="1"/>
  <c r="BQ46" i="16" s="1"/>
  <c r="BF34" i="16"/>
  <c r="BF33" i="16"/>
  <c r="C32" i="16"/>
  <c r="B32" i="16"/>
  <c r="BE31" i="16"/>
  <c r="BF32" i="16" s="1"/>
  <c r="BI30" i="16"/>
  <c r="BI37" i="16" s="1"/>
  <c r="BI43" i="16" s="1"/>
  <c r="BI48" i="16" s="1"/>
  <c r="BI53" i="16" s="1"/>
  <c r="BF30" i="16"/>
  <c r="BE30" i="16"/>
  <c r="BF31" i="16" s="1"/>
  <c r="BD30" i="16"/>
  <c r="E30" i="16"/>
  <c r="D30" i="16"/>
  <c r="BI29" i="16"/>
  <c r="BI36" i="16" s="1"/>
  <c r="BI42" i="16" s="1"/>
  <c r="BI47" i="16" s="1"/>
  <c r="BI52" i="16" s="1"/>
  <c r="BI55" i="16" s="1"/>
  <c r="BI57" i="16" s="1"/>
  <c r="BM13" i="16" s="1"/>
  <c r="BE29" i="16"/>
  <c r="BD29" i="16"/>
  <c r="BC29" i="16"/>
  <c r="C29" i="16"/>
  <c r="B29" i="16"/>
  <c r="BI28" i="16"/>
  <c r="BI35" i="16" s="1"/>
  <c r="BI41" i="16" s="1"/>
  <c r="BI46" i="16" s="1"/>
  <c r="BI51" i="16" s="1"/>
  <c r="BI54" i="16" s="1"/>
  <c r="BE28" i="16"/>
  <c r="BF29" i="16" s="1"/>
  <c r="BD28" i="16"/>
  <c r="BC28" i="16"/>
  <c r="BI27" i="16"/>
  <c r="BF27" i="16"/>
  <c r="BE27" i="16"/>
  <c r="BF28" i="16" s="1"/>
  <c r="BD27" i="16"/>
  <c r="BC27" i="16"/>
  <c r="E27" i="16"/>
  <c r="C27" i="16"/>
  <c r="B27" i="16"/>
  <c r="BI26" i="16"/>
  <c r="BI33" i="16" s="1"/>
  <c r="BI39" i="16" s="1"/>
  <c r="BI44" i="16" s="1"/>
  <c r="BF26" i="16"/>
  <c r="BE26" i="16"/>
  <c r="BD26" i="16"/>
  <c r="BC26" i="16"/>
  <c r="E26" i="16"/>
  <c r="D26" i="16"/>
  <c r="D27" i="16" s="1"/>
  <c r="D23" i="16" s="1"/>
  <c r="C26" i="16"/>
  <c r="B26" i="16"/>
  <c r="BI25" i="16"/>
  <c r="BI32" i="16" s="1"/>
  <c r="BI38" i="16" s="1"/>
  <c r="BM9" i="16" s="1"/>
  <c r="BQ23" i="16" s="1"/>
  <c r="BQ29" i="16" s="1"/>
  <c r="BQ36" i="16" s="1"/>
  <c r="BQ44" i="16" s="1"/>
  <c r="BC25" i="16"/>
  <c r="E25" i="16"/>
  <c r="D25" i="16"/>
  <c r="C25" i="16"/>
  <c r="B25" i="16"/>
  <c r="BI24" i="16"/>
  <c r="BI31" i="16" s="1"/>
  <c r="BM8" i="16" s="1"/>
  <c r="BQ18" i="16" s="1"/>
  <c r="BQ22" i="16" s="1"/>
  <c r="BQ28" i="16" s="1"/>
  <c r="BQ35" i="16" s="1"/>
  <c r="BQ43" i="16" s="1"/>
  <c r="BI23" i="16"/>
  <c r="B22" i="16"/>
  <c r="B20" i="16"/>
  <c r="B21" i="16" s="1"/>
  <c r="AA15" i="16"/>
  <c r="W15" i="16"/>
  <c r="V15" i="16"/>
  <c r="Q15" i="16"/>
  <c r="P15" i="16"/>
  <c r="W14" i="16"/>
  <c r="V14" i="16"/>
  <c r="Q14" i="16"/>
  <c r="P14" i="16"/>
  <c r="W13" i="16"/>
  <c r="V13" i="16"/>
  <c r="Q13" i="16"/>
  <c r="P13" i="16"/>
  <c r="BM12" i="16"/>
  <c r="BQ47" i="16" s="1"/>
  <c r="W12" i="16"/>
  <c r="V12" i="16"/>
  <c r="Q12" i="16"/>
  <c r="P12" i="16"/>
  <c r="Q11" i="16"/>
  <c r="P11" i="16"/>
  <c r="W11" i="16" s="1"/>
  <c r="BM10" i="16"/>
  <c r="BQ30" i="16" s="1"/>
  <c r="BQ37" i="16" s="1"/>
  <c r="BQ45" i="16" s="1"/>
  <c r="W10" i="16"/>
  <c r="V10" i="16"/>
  <c r="W9" i="16"/>
  <c r="V9" i="16"/>
  <c r="Q9" i="16"/>
  <c r="P9" i="16"/>
  <c r="W8" i="16"/>
  <c r="V8" i="16"/>
  <c r="Q8" i="16"/>
  <c r="P8" i="16"/>
  <c r="BM7" i="16"/>
  <c r="BQ13" i="16" s="1"/>
  <c r="BQ17" i="16" s="1"/>
  <c r="BQ21" i="16" s="1"/>
  <c r="BQ27" i="16" s="1"/>
  <c r="BQ34" i="16" s="1"/>
  <c r="BQ42" i="16" s="1"/>
  <c r="W7" i="16"/>
  <c r="V7" i="16"/>
  <c r="Q7" i="16"/>
  <c r="P7" i="16"/>
  <c r="BQ6" i="16"/>
  <c r="BQ8" i="16" s="1"/>
  <c r="BQ11" i="16" s="1"/>
  <c r="BQ15" i="16" s="1"/>
  <c r="BQ19" i="16" s="1"/>
  <c r="BQ25" i="16" s="1"/>
  <c r="BQ32" i="16" s="1"/>
  <c r="BQ40" i="16" s="1"/>
  <c r="BM6" i="16"/>
  <c r="BQ9" i="16" s="1"/>
  <c r="BQ12" i="16" s="1"/>
  <c r="BQ16" i="16" s="1"/>
  <c r="BQ20" i="16" s="1"/>
  <c r="BQ26" i="16" s="1"/>
  <c r="BQ33" i="16" s="1"/>
  <c r="BQ41" i="16" s="1"/>
  <c r="W6" i="16"/>
  <c r="V6" i="16"/>
  <c r="Q6" i="16"/>
  <c r="P6" i="16"/>
  <c r="BQ5" i="16"/>
  <c r="BQ7" i="16" s="1"/>
  <c r="BQ10" i="16" s="1"/>
  <c r="BQ14" i="16" s="1"/>
  <c r="BI49" i="16" s="1"/>
  <c r="BQ24" i="16" s="1"/>
  <c r="BQ31" i="16" s="1"/>
  <c r="BQ39" i="16" s="1"/>
  <c r="BM14" i="16" s="1"/>
  <c r="W5" i="16"/>
  <c r="V5" i="16"/>
  <c r="Q5" i="16"/>
  <c r="P5" i="16"/>
  <c r="W4" i="16"/>
  <c r="V4" i="16"/>
  <c r="Q4" i="16"/>
  <c r="P4" i="16"/>
  <c r="D3" i="16"/>
  <c r="N1" i="16"/>
  <c r="N14" i="16" s="1"/>
  <c r="S14" i="18" l="1"/>
  <c r="T14" i="18" s="1"/>
  <c r="X14" i="18" s="1"/>
  <c r="AA13" i="18" s="1"/>
  <c r="S13" i="18"/>
  <c r="T13" i="18" s="1"/>
  <c r="X13" i="18" s="1"/>
  <c r="AA12" i="18" s="1"/>
  <c r="T45" i="18"/>
  <c r="T46" i="18"/>
  <c r="T39" i="18"/>
  <c r="T43" i="18"/>
  <c r="T41" i="18"/>
  <c r="T47" i="18"/>
  <c r="T40" i="18"/>
  <c r="B24" i="18"/>
  <c r="N27" i="18" s="1"/>
  <c r="P27" i="18" s="1"/>
  <c r="T42" i="18"/>
  <c r="C23" i="18"/>
  <c r="T25" i="18" s="1"/>
  <c r="B34" i="18"/>
  <c r="T49" i="18"/>
  <c r="T44" i="18"/>
  <c r="S9" i="18"/>
  <c r="S10" i="18"/>
  <c r="S11" i="18"/>
  <c r="S6" i="18"/>
  <c r="S7" i="18"/>
  <c r="S4" i="18"/>
  <c r="S12" i="18"/>
  <c r="S15" i="18"/>
  <c r="S5" i="18"/>
  <c r="S8" i="18"/>
  <c r="V11" i="16"/>
  <c r="R7" i="16"/>
  <c r="R4" i="16"/>
  <c r="N5" i="16"/>
  <c r="R5" i="16"/>
  <c r="R14" i="16"/>
  <c r="R15" i="16"/>
  <c r="B31" i="16"/>
  <c r="W25" i="16" s="1"/>
  <c r="C22" i="16"/>
  <c r="G14" i="16" s="1"/>
  <c r="N6" i="16"/>
  <c r="R6" i="16" s="1"/>
  <c r="N7" i="16"/>
  <c r="N8" i="16"/>
  <c r="R8" i="16" s="1"/>
  <c r="AB15" i="16"/>
  <c r="N13" i="16"/>
  <c r="R13" i="16" s="1"/>
  <c r="N15" i="16"/>
  <c r="C31" i="16"/>
  <c r="W39" i="16" s="1"/>
  <c r="N4" i="16"/>
  <c r="N9" i="16"/>
  <c r="R9" i="16" s="1"/>
  <c r="N12" i="16"/>
  <c r="R12" i="16" s="1"/>
  <c r="N11" i="16"/>
  <c r="R11" i="16" s="1"/>
  <c r="N10" i="16"/>
  <c r="R10" i="16" s="1"/>
  <c r="E23" i="16"/>
  <c r="G13" i="16"/>
  <c r="T35" i="18" l="1"/>
  <c r="C34" i="18"/>
  <c r="T29" i="18"/>
  <c r="T33" i="18"/>
  <c r="T34" i="18"/>
  <c r="T31" i="18"/>
  <c r="T27" i="18"/>
  <c r="T28" i="18"/>
  <c r="T30" i="18"/>
  <c r="C24" i="18"/>
  <c r="N41" i="18" s="1"/>
  <c r="P41" i="18" s="1"/>
  <c r="N25" i="18"/>
  <c r="P25" i="18" s="1"/>
  <c r="N28" i="18"/>
  <c r="P28" i="18" s="1"/>
  <c r="U14" i="18"/>
  <c r="Y14" i="18" s="1"/>
  <c r="AG14" i="18" s="1"/>
  <c r="AH14" i="18" s="1"/>
  <c r="U13" i="18"/>
  <c r="Y13" i="18" s="1"/>
  <c r="AG13" i="18" s="1"/>
  <c r="AH13" i="18" s="1"/>
  <c r="T37" i="18"/>
  <c r="N26" i="18"/>
  <c r="P26" i="18" s="1"/>
  <c r="N29" i="18"/>
  <c r="P29" i="18" s="1"/>
  <c r="T32" i="18"/>
  <c r="N30" i="18"/>
  <c r="P30" i="18" s="1"/>
  <c r="R35" i="18" s="1"/>
  <c r="T26" i="18"/>
  <c r="T11" i="18"/>
  <c r="X11" i="18" s="1"/>
  <c r="AA10" i="18" s="1"/>
  <c r="U11" i="18"/>
  <c r="Y11" i="18" s="1"/>
  <c r="AG11" i="18" s="1"/>
  <c r="U12" i="18"/>
  <c r="Y12" i="18" s="1"/>
  <c r="AG12" i="18" s="1"/>
  <c r="T12" i="18"/>
  <c r="X12" i="18" s="1"/>
  <c r="AA11" i="18" s="1"/>
  <c r="T4" i="18"/>
  <c r="U4" i="18"/>
  <c r="S2" i="18"/>
  <c r="U15" i="18"/>
  <c r="Y15" i="18" s="1"/>
  <c r="AG15" i="18" s="1"/>
  <c r="T15" i="18"/>
  <c r="X15" i="18" s="1"/>
  <c r="AA14" i="18" s="1"/>
  <c r="U6" i="18"/>
  <c r="Y6" i="18" s="1"/>
  <c r="AG6" i="18" s="1"/>
  <c r="T6" i="18"/>
  <c r="X6" i="18" s="1"/>
  <c r="AA5" i="18" s="1"/>
  <c r="U10" i="18"/>
  <c r="Y10" i="18" s="1"/>
  <c r="AG10" i="18" s="1"/>
  <c r="T10" i="18"/>
  <c r="X10" i="18" s="1"/>
  <c r="AA9" i="18" s="1"/>
  <c r="U7" i="18"/>
  <c r="Y7" i="18" s="1"/>
  <c r="AG7" i="18" s="1"/>
  <c r="T7" i="18"/>
  <c r="X7" i="18" s="1"/>
  <c r="AA6" i="18" s="1"/>
  <c r="AB13" i="18"/>
  <c r="T8" i="18"/>
  <c r="X8" i="18" s="1"/>
  <c r="AA7" i="18" s="1"/>
  <c r="U8" i="18"/>
  <c r="Y8" i="18" s="1"/>
  <c r="AG8" i="18" s="1"/>
  <c r="U9" i="18"/>
  <c r="Y9" i="18" s="1"/>
  <c r="AG9" i="18" s="1"/>
  <c r="T9" i="18"/>
  <c r="X9" i="18" s="1"/>
  <c r="AA8" i="18" s="1"/>
  <c r="AB12" i="18"/>
  <c r="U5" i="18"/>
  <c r="Y5" i="18" s="1"/>
  <c r="AG5" i="18" s="1"/>
  <c r="T5" i="18"/>
  <c r="X5" i="18" s="1"/>
  <c r="AA4" i="18" s="1"/>
  <c r="B23" i="16"/>
  <c r="T48" i="16" s="1"/>
  <c r="R2" i="16"/>
  <c r="N2" i="16"/>
  <c r="BI50" i="14"/>
  <c r="BF48" i="14"/>
  <c r="BF47" i="14"/>
  <c r="BF46" i="14"/>
  <c r="BQ45" i="14"/>
  <c r="BF45" i="14"/>
  <c r="BE45" i="14"/>
  <c r="BE44" i="14"/>
  <c r="BD44" i="14"/>
  <c r="BE43" i="14"/>
  <c r="BF44" i="14" s="1"/>
  <c r="BD43" i="14"/>
  <c r="BC43" i="14"/>
  <c r="BE42" i="14"/>
  <c r="BF43" i="14" s="1"/>
  <c r="BD42" i="14"/>
  <c r="BC42" i="14"/>
  <c r="BF41" i="14"/>
  <c r="BE41" i="14"/>
  <c r="BD41" i="14"/>
  <c r="BC41" i="14"/>
  <c r="BF40" i="14"/>
  <c r="BE40" i="14"/>
  <c r="BD40" i="14"/>
  <c r="BC40" i="14"/>
  <c r="BC39" i="14"/>
  <c r="BQ38" i="14"/>
  <c r="BQ46" i="14" s="1"/>
  <c r="BI38" i="14"/>
  <c r="BM9" i="14" s="1"/>
  <c r="BQ23" i="14" s="1"/>
  <c r="BQ29" i="14" s="1"/>
  <c r="BQ36" i="14" s="1"/>
  <c r="BQ44" i="14" s="1"/>
  <c r="AS38" i="14"/>
  <c r="AR38" i="14"/>
  <c r="AQ38" i="14"/>
  <c r="AP38" i="14"/>
  <c r="AO38" i="14"/>
  <c r="AN38" i="14"/>
  <c r="AM38" i="14"/>
  <c r="AL38" i="14"/>
  <c r="AK38" i="14"/>
  <c r="AJ38" i="14"/>
  <c r="AI38" i="14"/>
  <c r="AH38" i="14"/>
  <c r="AG38" i="14"/>
  <c r="AF38" i="14"/>
  <c r="AE38" i="14"/>
  <c r="AD38" i="14"/>
  <c r="AC38" i="14"/>
  <c r="AB38" i="14"/>
  <c r="AA38" i="14"/>
  <c r="Z38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BF34" i="14"/>
  <c r="BF33" i="14"/>
  <c r="C33" i="14"/>
  <c r="B33" i="14"/>
  <c r="BF32" i="14"/>
  <c r="C32" i="14"/>
  <c r="B32" i="14"/>
  <c r="BE31" i="14"/>
  <c r="BI30" i="14"/>
  <c r="BI37" i="14" s="1"/>
  <c r="BI43" i="14" s="1"/>
  <c r="BI48" i="14" s="1"/>
  <c r="BI53" i="14" s="1"/>
  <c r="BI56" i="14" s="1"/>
  <c r="BI58" i="14" s="1"/>
  <c r="BI59" i="14" s="1"/>
  <c r="BE30" i="14"/>
  <c r="BD30" i="14"/>
  <c r="E30" i="14"/>
  <c r="D30" i="14"/>
  <c r="BI29" i="14"/>
  <c r="BI36" i="14" s="1"/>
  <c r="BI42" i="14" s="1"/>
  <c r="BI47" i="14" s="1"/>
  <c r="BI52" i="14" s="1"/>
  <c r="BI55" i="14" s="1"/>
  <c r="BI57" i="14" s="1"/>
  <c r="BF29" i="14"/>
  <c r="BE29" i="14"/>
  <c r="BD29" i="14"/>
  <c r="BC29" i="14"/>
  <c r="C29" i="14"/>
  <c r="B29" i="14"/>
  <c r="BI28" i="14"/>
  <c r="BI35" i="14" s="1"/>
  <c r="BI41" i="14" s="1"/>
  <c r="BI46" i="14" s="1"/>
  <c r="BI51" i="14" s="1"/>
  <c r="BI54" i="14" s="1"/>
  <c r="BM12" i="14" s="1"/>
  <c r="BQ47" i="14" s="1"/>
  <c r="BF28" i="14"/>
  <c r="BE28" i="14"/>
  <c r="BD28" i="14"/>
  <c r="BC28" i="14"/>
  <c r="BI27" i="14"/>
  <c r="BI34" i="14" s="1"/>
  <c r="BI40" i="14" s="1"/>
  <c r="BI45" i="14" s="1"/>
  <c r="BF27" i="14"/>
  <c r="BE27" i="14"/>
  <c r="BD27" i="14"/>
  <c r="BC27" i="14"/>
  <c r="D27" i="14"/>
  <c r="C27" i="14"/>
  <c r="B27" i="14"/>
  <c r="BI26" i="14"/>
  <c r="BI33" i="14" s="1"/>
  <c r="BI39" i="14" s="1"/>
  <c r="BI44" i="14" s="1"/>
  <c r="BF26" i="14"/>
  <c r="BE26" i="14"/>
  <c r="BD26" i="14"/>
  <c r="BC26" i="14"/>
  <c r="E26" i="14"/>
  <c r="D26" i="14"/>
  <c r="C26" i="14"/>
  <c r="B26" i="14"/>
  <c r="BI25" i="14"/>
  <c r="BI32" i="14" s="1"/>
  <c r="BC25" i="14"/>
  <c r="E25" i="14"/>
  <c r="D25" i="14"/>
  <c r="C25" i="14"/>
  <c r="B25" i="14"/>
  <c r="BI24" i="14"/>
  <c r="BI31" i="14" s="1"/>
  <c r="BM8" i="14" s="1"/>
  <c r="BQ18" i="14" s="1"/>
  <c r="BI23" i="14"/>
  <c r="BQ22" i="14"/>
  <c r="BQ28" i="14" s="1"/>
  <c r="BQ35" i="14" s="1"/>
  <c r="BQ43" i="14" s="1"/>
  <c r="B22" i="14"/>
  <c r="C22" i="14" s="1"/>
  <c r="G14" i="14" s="1"/>
  <c r="B20" i="14"/>
  <c r="B21" i="14" s="1"/>
  <c r="AA15" i="14"/>
  <c r="Q15" i="14"/>
  <c r="P15" i="14"/>
  <c r="Q14" i="14"/>
  <c r="P14" i="14"/>
  <c r="BM13" i="14"/>
  <c r="Q13" i="14"/>
  <c r="P13" i="14"/>
  <c r="Q12" i="14"/>
  <c r="P12" i="14"/>
  <c r="BM11" i="14"/>
  <c r="Q11" i="14"/>
  <c r="P11" i="14"/>
  <c r="BM10" i="14"/>
  <c r="BQ30" i="14" s="1"/>
  <c r="BQ37" i="14" s="1"/>
  <c r="BQ9" i="14"/>
  <c r="BQ12" i="14" s="1"/>
  <c r="BQ16" i="14" s="1"/>
  <c r="BQ20" i="14" s="1"/>
  <c r="BQ26" i="14" s="1"/>
  <c r="BQ33" i="14" s="1"/>
  <c r="BQ41" i="14" s="1"/>
  <c r="Q9" i="14"/>
  <c r="P9" i="14"/>
  <c r="Q8" i="14"/>
  <c r="P8" i="14"/>
  <c r="BM7" i="14"/>
  <c r="BQ13" i="14" s="1"/>
  <c r="BQ17" i="14" s="1"/>
  <c r="BQ21" i="14" s="1"/>
  <c r="BQ27" i="14" s="1"/>
  <c r="BQ34" i="14" s="1"/>
  <c r="BQ42" i="14" s="1"/>
  <c r="Q7" i="14"/>
  <c r="P7" i="14"/>
  <c r="BQ6" i="14"/>
  <c r="BQ8" i="14" s="1"/>
  <c r="BQ11" i="14" s="1"/>
  <c r="BQ15" i="14" s="1"/>
  <c r="BQ19" i="14" s="1"/>
  <c r="BQ25" i="14" s="1"/>
  <c r="BQ32" i="14" s="1"/>
  <c r="BQ40" i="14" s="1"/>
  <c r="BM6" i="14"/>
  <c r="Q6" i="14"/>
  <c r="P6" i="14"/>
  <c r="BQ5" i="14"/>
  <c r="BQ7" i="14" s="1"/>
  <c r="BQ10" i="14" s="1"/>
  <c r="BQ14" i="14" s="1"/>
  <c r="BI49" i="14" s="1"/>
  <c r="BQ24" i="14" s="1"/>
  <c r="BQ31" i="14" s="1"/>
  <c r="BQ39" i="14" s="1"/>
  <c r="BM14" i="14" s="1"/>
  <c r="Q5" i="14"/>
  <c r="P5" i="14"/>
  <c r="Q4" i="14"/>
  <c r="P4" i="14"/>
  <c r="D3" i="14"/>
  <c r="N1" i="14"/>
  <c r="N14" i="14" s="1"/>
  <c r="N39" i="18" l="1"/>
  <c r="P39" i="18" s="1"/>
  <c r="N43" i="18"/>
  <c r="P43" i="18" s="1"/>
  <c r="R34" i="18"/>
  <c r="N42" i="18"/>
  <c r="P42" i="18" s="1"/>
  <c r="N44" i="18"/>
  <c r="P44" i="18" s="1"/>
  <c r="R49" i="18" s="1"/>
  <c r="N40" i="18"/>
  <c r="P40" i="18" s="1"/>
  <c r="T23" i="18"/>
  <c r="N23" i="18"/>
  <c r="R33" i="18"/>
  <c r="R32" i="18"/>
  <c r="R31" i="18"/>
  <c r="AH5" i="18"/>
  <c r="AH8" i="18"/>
  <c r="AB9" i="18"/>
  <c r="AB5" i="18"/>
  <c r="T2" i="18"/>
  <c r="X4" i="18"/>
  <c r="X2" i="18" s="1"/>
  <c r="AB7" i="18"/>
  <c r="AH10" i="18"/>
  <c r="AH6" i="18"/>
  <c r="AB14" i="18"/>
  <c r="AB11" i="18"/>
  <c r="AH15" i="18"/>
  <c r="AH12" i="18"/>
  <c r="P23" i="18"/>
  <c r="R30" i="18"/>
  <c r="R29" i="18"/>
  <c r="R28" i="18"/>
  <c r="R27" i="18"/>
  <c r="R25" i="18"/>
  <c r="R26" i="18"/>
  <c r="AB8" i="18"/>
  <c r="AB6" i="18"/>
  <c r="AH11" i="18"/>
  <c r="AB4" i="18"/>
  <c r="AH9" i="18"/>
  <c r="AH7" i="18"/>
  <c r="U2" i="18"/>
  <c r="Y4" i="18"/>
  <c r="AB10" i="18"/>
  <c r="T41" i="16"/>
  <c r="T45" i="16"/>
  <c r="T44" i="16"/>
  <c r="T42" i="16"/>
  <c r="T43" i="16"/>
  <c r="T40" i="16"/>
  <c r="T47" i="16"/>
  <c r="B24" i="16"/>
  <c r="C23" i="16"/>
  <c r="T29" i="16" s="1"/>
  <c r="T49" i="16"/>
  <c r="B34" i="16"/>
  <c r="T46" i="16"/>
  <c r="T39" i="16"/>
  <c r="S11" i="16"/>
  <c r="T11" i="16" s="1"/>
  <c r="X11" i="16" s="1"/>
  <c r="AA10" i="16" s="1"/>
  <c r="T34" i="16"/>
  <c r="T26" i="16"/>
  <c r="T25" i="16"/>
  <c r="T31" i="16"/>
  <c r="T28" i="16"/>
  <c r="S10" i="16"/>
  <c r="S9" i="16"/>
  <c r="S15" i="16"/>
  <c r="S14" i="16"/>
  <c r="S4" i="16"/>
  <c r="S5" i="16"/>
  <c r="S6" i="16"/>
  <c r="S7" i="16"/>
  <c r="S12" i="16"/>
  <c r="S8" i="16"/>
  <c r="S13" i="16"/>
  <c r="R8" i="14"/>
  <c r="N6" i="14"/>
  <c r="R12" i="14"/>
  <c r="N7" i="14"/>
  <c r="R7" i="14"/>
  <c r="N8" i="14"/>
  <c r="N12" i="14"/>
  <c r="G13" i="14"/>
  <c r="R15" i="14"/>
  <c r="R6" i="14"/>
  <c r="B31" i="14"/>
  <c r="W25" i="14" s="1"/>
  <c r="R14" i="14"/>
  <c r="BF31" i="14"/>
  <c r="BF30" i="14"/>
  <c r="N9" i="14"/>
  <c r="R9" i="14" s="1"/>
  <c r="N5" i="14"/>
  <c r="R5" i="14" s="1"/>
  <c r="N13" i="14"/>
  <c r="R13" i="14" s="1"/>
  <c r="N10" i="14"/>
  <c r="R10" i="14" s="1"/>
  <c r="AB15" i="14"/>
  <c r="N4" i="14"/>
  <c r="R4" i="14" s="1"/>
  <c r="N11" i="14"/>
  <c r="R11" i="14" s="1"/>
  <c r="N15" i="14"/>
  <c r="B23" i="14"/>
  <c r="BF42" i="14"/>
  <c r="D23" i="14"/>
  <c r="E27" i="14"/>
  <c r="E23" i="14" s="1"/>
  <c r="R42" i="18" l="1"/>
  <c r="N37" i="18"/>
  <c r="R45" i="18"/>
  <c r="R47" i="18"/>
  <c r="R44" i="18"/>
  <c r="R46" i="18"/>
  <c r="R48" i="18"/>
  <c r="V26" i="18"/>
  <c r="AA26" i="18" s="1"/>
  <c r="AD6" i="18"/>
  <c r="AD10" i="18"/>
  <c r="AD5" i="18"/>
  <c r="AD9" i="18"/>
  <c r="AD13" i="18"/>
  <c r="AC5" i="18"/>
  <c r="R40" i="18"/>
  <c r="AD14" i="18"/>
  <c r="AD8" i="18"/>
  <c r="AC7" i="18"/>
  <c r="AC14" i="18"/>
  <c r="AC4" i="18"/>
  <c r="AC11" i="18"/>
  <c r="AD7" i="18"/>
  <c r="AC9" i="18"/>
  <c r="AC10" i="18"/>
  <c r="AC6" i="18"/>
  <c r="AD12" i="18"/>
  <c r="Y2" i="18"/>
  <c r="AG4" i="18"/>
  <c r="V25" i="18"/>
  <c r="R23" i="18"/>
  <c r="V29" i="18"/>
  <c r="V30" i="18"/>
  <c r="V32" i="18"/>
  <c r="V33" i="18"/>
  <c r="V34" i="18"/>
  <c r="V31" i="18"/>
  <c r="R39" i="18"/>
  <c r="P37" i="18"/>
  <c r="AD4" i="18"/>
  <c r="AC8" i="18"/>
  <c r="V27" i="18"/>
  <c r="R43" i="18"/>
  <c r="R41" i="18"/>
  <c r="AB18" i="18"/>
  <c r="AD15" i="18"/>
  <c r="AC15" i="18"/>
  <c r="AC13" i="18"/>
  <c r="AC12" i="18"/>
  <c r="V28" i="18"/>
  <c r="AD11" i="18"/>
  <c r="U13" i="16"/>
  <c r="Y13" i="16" s="1"/>
  <c r="AG13" i="16" s="1"/>
  <c r="T13" i="16"/>
  <c r="X13" i="16" s="1"/>
  <c r="AA12" i="16" s="1"/>
  <c r="T27" i="16"/>
  <c r="C24" i="16"/>
  <c r="N44" i="16" s="1"/>
  <c r="P44" i="16" s="1"/>
  <c r="R49" i="16" s="1"/>
  <c r="T30" i="16"/>
  <c r="T33" i="16"/>
  <c r="C34" i="16"/>
  <c r="T37" i="16"/>
  <c r="T35" i="16"/>
  <c r="T32" i="16"/>
  <c r="N29" i="16"/>
  <c r="P29" i="16" s="1"/>
  <c r="N30" i="16"/>
  <c r="P30" i="16" s="1"/>
  <c r="R35" i="16" s="1"/>
  <c r="N26" i="16"/>
  <c r="P26" i="16" s="1"/>
  <c r="N27" i="16"/>
  <c r="P27" i="16" s="1"/>
  <c r="N28" i="16"/>
  <c r="P28" i="16" s="1"/>
  <c r="N25" i="16"/>
  <c r="U11" i="16"/>
  <c r="Y11" i="16" s="1"/>
  <c r="AG11" i="16" s="1"/>
  <c r="AH11" i="16" s="1"/>
  <c r="U14" i="16"/>
  <c r="Y14" i="16" s="1"/>
  <c r="AG14" i="16" s="1"/>
  <c r="T14" i="16"/>
  <c r="X14" i="16" s="1"/>
  <c r="AA13" i="16" s="1"/>
  <c r="U15" i="16"/>
  <c r="Y15" i="16" s="1"/>
  <c r="AG15" i="16" s="1"/>
  <c r="T15" i="16"/>
  <c r="X15" i="16" s="1"/>
  <c r="AA14" i="16" s="1"/>
  <c r="U7" i="16"/>
  <c r="Y7" i="16" s="1"/>
  <c r="AG7" i="16" s="1"/>
  <c r="T7" i="16"/>
  <c r="X7" i="16" s="1"/>
  <c r="AA6" i="16" s="1"/>
  <c r="T8" i="16"/>
  <c r="X8" i="16" s="1"/>
  <c r="AA7" i="16" s="1"/>
  <c r="U8" i="16"/>
  <c r="Y8" i="16" s="1"/>
  <c r="AG8" i="16" s="1"/>
  <c r="U6" i="16"/>
  <c r="Y6" i="16" s="1"/>
  <c r="AG6" i="16" s="1"/>
  <c r="T6" i="16"/>
  <c r="X6" i="16" s="1"/>
  <c r="AA5" i="16" s="1"/>
  <c r="U10" i="16"/>
  <c r="Y10" i="16" s="1"/>
  <c r="AG10" i="16" s="1"/>
  <c r="T10" i="16"/>
  <c r="X10" i="16" s="1"/>
  <c r="AA9" i="16" s="1"/>
  <c r="U12" i="16"/>
  <c r="Y12" i="16" s="1"/>
  <c r="AG12" i="16" s="1"/>
  <c r="T12" i="16"/>
  <c r="X12" i="16" s="1"/>
  <c r="AA11" i="16" s="1"/>
  <c r="U9" i="16"/>
  <c r="Y9" i="16" s="1"/>
  <c r="AG9" i="16" s="1"/>
  <c r="T9" i="16"/>
  <c r="X9" i="16" s="1"/>
  <c r="AA8" i="16" s="1"/>
  <c r="U5" i="16"/>
  <c r="Y5" i="16" s="1"/>
  <c r="AG5" i="16" s="1"/>
  <c r="T5" i="16"/>
  <c r="X5" i="16" s="1"/>
  <c r="AA4" i="16" s="1"/>
  <c r="S2" i="16"/>
  <c r="U4" i="16"/>
  <c r="T4" i="16"/>
  <c r="AB10" i="16"/>
  <c r="C31" i="14"/>
  <c r="W39" i="14" s="1"/>
  <c r="R2" i="14"/>
  <c r="S9" i="14" s="1"/>
  <c r="B34" i="14"/>
  <c r="B24" i="14"/>
  <c r="T49" i="14"/>
  <c r="T39" i="14"/>
  <c r="T48" i="14"/>
  <c r="T45" i="14"/>
  <c r="T47" i="14"/>
  <c r="N2" i="14"/>
  <c r="T44" i="14"/>
  <c r="T40" i="14"/>
  <c r="T46" i="14"/>
  <c r="T42" i="14"/>
  <c r="T43" i="14"/>
  <c r="T41" i="14"/>
  <c r="C23" i="14"/>
  <c r="N1" i="10"/>
  <c r="N7" i="10" s="1"/>
  <c r="AA15" i="10"/>
  <c r="W12" i="10"/>
  <c r="V12" i="10"/>
  <c r="W10" i="10"/>
  <c r="V10" i="10"/>
  <c r="W7" i="10"/>
  <c r="V7" i="10"/>
  <c r="W6" i="10"/>
  <c r="V6" i="10"/>
  <c r="W15" i="10"/>
  <c r="V15" i="10"/>
  <c r="W14" i="10"/>
  <c r="V14" i="10"/>
  <c r="W13" i="10"/>
  <c r="V13" i="10"/>
  <c r="W9" i="10"/>
  <c r="V9" i="10"/>
  <c r="W8" i="10"/>
  <c r="V8" i="10"/>
  <c r="W5" i="10"/>
  <c r="V5" i="10"/>
  <c r="W4" i="10"/>
  <c r="V4" i="10"/>
  <c r="Q14" i="10"/>
  <c r="P14" i="10"/>
  <c r="Q13" i="10"/>
  <c r="P13" i="10"/>
  <c r="Q12" i="10"/>
  <c r="P12" i="10"/>
  <c r="Q11" i="10"/>
  <c r="P11" i="10"/>
  <c r="Q9" i="10"/>
  <c r="P9" i="10"/>
  <c r="Q8" i="10"/>
  <c r="P8" i="10"/>
  <c r="Q7" i="10"/>
  <c r="P7" i="10"/>
  <c r="Q6" i="10"/>
  <c r="P6" i="10"/>
  <c r="Q5" i="10"/>
  <c r="P5" i="10"/>
  <c r="Q4" i="10"/>
  <c r="P4" i="10"/>
  <c r="BF48" i="10"/>
  <c r="BF47" i="10"/>
  <c r="BE45" i="10"/>
  <c r="BF46" i="10" s="1"/>
  <c r="BE44" i="10"/>
  <c r="BD44" i="10"/>
  <c r="BE43" i="10"/>
  <c r="BD43" i="10"/>
  <c r="BC43" i="10"/>
  <c r="BE42" i="10"/>
  <c r="BD42" i="10"/>
  <c r="BC42" i="10"/>
  <c r="BF41" i="10"/>
  <c r="BE41" i="10"/>
  <c r="BF42" i="10" s="1"/>
  <c r="BD41" i="10"/>
  <c r="BC41" i="10"/>
  <c r="BF40" i="10"/>
  <c r="BE40" i="10"/>
  <c r="BD40" i="10"/>
  <c r="BC40" i="10"/>
  <c r="BC39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BF34" i="10"/>
  <c r="BF33" i="10"/>
  <c r="C33" i="10"/>
  <c r="B33" i="10"/>
  <c r="C32" i="10"/>
  <c r="B32" i="10"/>
  <c r="BE31" i="10"/>
  <c r="BF32" i="10" s="1"/>
  <c r="BI30" i="10"/>
  <c r="BI37" i="10" s="1"/>
  <c r="BI43" i="10" s="1"/>
  <c r="BI48" i="10" s="1"/>
  <c r="BI53" i="10" s="1"/>
  <c r="BI56" i="10" s="1"/>
  <c r="BI58" i="10" s="1"/>
  <c r="BI59" i="10" s="1"/>
  <c r="BE30" i="10"/>
  <c r="BD30" i="10"/>
  <c r="E30" i="10"/>
  <c r="D30" i="10"/>
  <c r="BI29" i="10"/>
  <c r="BI36" i="10" s="1"/>
  <c r="BI42" i="10" s="1"/>
  <c r="BI47" i="10" s="1"/>
  <c r="BI52" i="10" s="1"/>
  <c r="BI55" i="10" s="1"/>
  <c r="BI57" i="10" s="1"/>
  <c r="BM13" i="10" s="1"/>
  <c r="BE29" i="10"/>
  <c r="BD29" i="10"/>
  <c r="BC29" i="10"/>
  <c r="C29" i="10"/>
  <c r="B29" i="10"/>
  <c r="BI28" i="10"/>
  <c r="BI35" i="10" s="1"/>
  <c r="BI41" i="10" s="1"/>
  <c r="BI46" i="10" s="1"/>
  <c r="BI51" i="10" s="1"/>
  <c r="BI54" i="10" s="1"/>
  <c r="BM12" i="10" s="1"/>
  <c r="BQ47" i="10" s="1"/>
  <c r="BE28" i="10"/>
  <c r="BD28" i="10"/>
  <c r="BC28" i="10"/>
  <c r="BI27" i="10"/>
  <c r="BI34" i="10" s="1"/>
  <c r="BI40" i="10" s="1"/>
  <c r="BI45" i="10" s="1"/>
  <c r="BI50" i="10" s="1"/>
  <c r="BM11" i="10" s="1"/>
  <c r="BQ38" i="10" s="1"/>
  <c r="BQ46" i="10" s="1"/>
  <c r="BF27" i="10"/>
  <c r="BE27" i="10"/>
  <c r="BD27" i="10"/>
  <c r="BC27" i="10"/>
  <c r="C27" i="10"/>
  <c r="B27" i="10"/>
  <c r="BI26" i="10"/>
  <c r="BI33" i="10" s="1"/>
  <c r="BI39" i="10" s="1"/>
  <c r="BI44" i="10" s="1"/>
  <c r="BM10" i="10" s="1"/>
  <c r="BQ30" i="10" s="1"/>
  <c r="BQ37" i="10" s="1"/>
  <c r="BQ45" i="10" s="1"/>
  <c r="BF26" i="10"/>
  <c r="BE26" i="10"/>
  <c r="BD26" i="10"/>
  <c r="BC26" i="10"/>
  <c r="E26" i="10"/>
  <c r="E27" i="10" s="1"/>
  <c r="D26" i="10"/>
  <c r="D27" i="10" s="1"/>
  <c r="C26" i="10"/>
  <c r="B26" i="10"/>
  <c r="BI25" i="10"/>
  <c r="BI32" i="10" s="1"/>
  <c r="BI38" i="10" s="1"/>
  <c r="BM9" i="10" s="1"/>
  <c r="BQ23" i="10" s="1"/>
  <c r="BQ29" i="10" s="1"/>
  <c r="BQ36" i="10" s="1"/>
  <c r="BQ44" i="10" s="1"/>
  <c r="BC25" i="10"/>
  <c r="E25" i="10"/>
  <c r="D25" i="10"/>
  <c r="C25" i="10"/>
  <c r="B25" i="10"/>
  <c r="BI24" i="10"/>
  <c r="BI31" i="10" s="1"/>
  <c r="BM8" i="10" s="1"/>
  <c r="BQ18" i="10" s="1"/>
  <c r="BQ22" i="10" s="1"/>
  <c r="BQ28" i="10" s="1"/>
  <c r="BQ35" i="10" s="1"/>
  <c r="BQ43" i="10" s="1"/>
  <c r="BI23" i="10"/>
  <c r="BM7" i="10" s="1"/>
  <c r="BQ13" i="10" s="1"/>
  <c r="BQ17" i="10" s="1"/>
  <c r="BQ21" i="10" s="1"/>
  <c r="BQ27" i="10" s="1"/>
  <c r="BQ34" i="10" s="1"/>
  <c r="BQ42" i="10" s="1"/>
  <c r="B22" i="10"/>
  <c r="C22" i="10" s="1"/>
  <c r="G14" i="10" s="1"/>
  <c r="B20" i="10"/>
  <c r="B21" i="10" s="1"/>
  <c r="BQ6" i="10"/>
  <c r="BQ8" i="10" s="1"/>
  <c r="BQ11" i="10" s="1"/>
  <c r="BQ15" i="10" s="1"/>
  <c r="BQ19" i="10" s="1"/>
  <c r="BQ25" i="10" s="1"/>
  <c r="BQ32" i="10" s="1"/>
  <c r="BQ40" i="10" s="1"/>
  <c r="BM6" i="10"/>
  <c r="BQ9" i="10" s="1"/>
  <c r="BQ12" i="10" s="1"/>
  <c r="BQ16" i="10" s="1"/>
  <c r="BQ20" i="10" s="1"/>
  <c r="BQ26" i="10" s="1"/>
  <c r="BQ33" i="10" s="1"/>
  <c r="BQ41" i="10" s="1"/>
  <c r="BQ5" i="10"/>
  <c r="BQ7" i="10" s="1"/>
  <c r="BQ10" i="10" s="1"/>
  <c r="BQ14" i="10" s="1"/>
  <c r="BI49" i="10" s="1"/>
  <c r="BQ24" i="10" s="1"/>
  <c r="BQ31" i="10" s="1"/>
  <c r="BQ39" i="10" s="1"/>
  <c r="BM14" i="10" s="1"/>
  <c r="D3" i="10"/>
  <c r="AA25" i="18" l="1"/>
  <c r="AA23" i="18" s="1"/>
  <c r="AC18" i="18"/>
  <c r="L26" i="18" s="1"/>
  <c r="R37" i="18"/>
  <c r="V39" i="18"/>
  <c r="V48" i="18"/>
  <c r="V46" i="18"/>
  <c r="V45" i="18"/>
  <c r="V47" i="18"/>
  <c r="V43" i="18"/>
  <c r="V44" i="18"/>
  <c r="AK25" i="18"/>
  <c r="AK31" i="18"/>
  <c r="AK26" i="18"/>
  <c r="AK30" i="18"/>
  <c r="AK29" i="18"/>
  <c r="AK28" i="18"/>
  <c r="AK27" i="18"/>
  <c r="Y25" i="18"/>
  <c r="V23" i="18"/>
  <c r="V35" i="18" s="1"/>
  <c r="V22" i="18" s="1"/>
  <c r="V41" i="18"/>
  <c r="AQ30" i="18"/>
  <c r="AQ29" i="18"/>
  <c r="AQ28" i="18"/>
  <c r="AQ26" i="18"/>
  <c r="AQ27" i="18"/>
  <c r="AQ32" i="18"/>
  <c r="AQ31" i="18"/>
  <c r="AQ33" i="18"/>
  <c r="AQ25" i="18"/>
  <c r="AQ34" i="18"/>
  <c r="V42" i="18"/>
  <c r="AO29" i="18"/>
  <c r="AO26" i="18"/>
  <c r="AO28" i="18"/>
  <c r="AO32" i="18"/>
  <c r="AO27" i="18"/>
  <c r="AO30" i="18"/>
  <c r="AO33" i="18"/>
  <c r="AO31" i="18"/>
  <c r="AO25" i="18"/>
  <c r="AJ4" i="18"/>
  <c r="AI4" i="18"/>
  <c r="AH4" i="18"/>
  <c r="AE28" i="18"/>
  <c r="AE26" i="18"/>
  <c r="AE27" i="18"/>
  <c r="AE25" i="18"/>
  <c r="AC26" i="18"/>
  <c r="AC27" i="18"/>
  <c r="AC25" i="18"/>
  <c r="AM28" i="18"/>
  <c r="AM25" i="18"/>
  <c r="AM27" i="18"/>
  <c r="AM26" i="18"/>
  <c r="AM29" i="18"/>
  <c r="AM30" i="18"/>
  <c r="AM32" i="18"/>
  <c r="AM31" i="18"/>
  <c r="V40" i="18"/>
  <c r="L25" i="18"/>
  <c r="AD18" i="18"/>
  <c r="L27" i="18" s="1"/>
  <c r="AI27" i="18"/>
  <c r="AI25" i="18"/>
  <c r="AI28" i="18"/>
  <c r="AI26" i="18"/>
  <c r="AI30" i="18"/>
  <c r="AI29" i="18"/>
  <c r="AG28" i="18"/>
  <c r="AG27" i="18"/>
  <c r="AG26" i="18"/>
  <c r="AG25" i="18"/>
  <c r="AG29" i="18"/>
  <c r="N39" i="16"/>
  <c r="P39" i="16" s="1"/>
  <c r="P37" i="16" s="1"/>
  <c r="N42" i="16"/>
  <c r="P42" i="16" s="1"/>
  <c r="R45" i="16" s="1"/>
  <c r="N41" i="16"/>
  <c r="P41" i="16" s="1"/>
  <c r="N40" i="16"/>
  <c r="P40" i="16" s="1"/>
  <c r="N43" i="16"/>
  <c r="P43" i="16" s="1"/>
  <c r="R43" i="16" s="1"/>
  <c r="R33" i="16"/>
  <c r="T23" i="16"/>
  <c r="N23" i="16"/>
  <c r="P25" i="16"/>
  <c r="R26" i="16" s="1"/>
  <c r="R31" i="16"/>
  <c r="R32" i="16"/>
  <c r="R34" i="16"/>
  <c r="R40" i="16"/>
  <c r="R48" i="16"/>
  <c r="U2" i="16"/>
  <c r="Y4" i="16"/>
  <c r="AH12" i="16"/>
  <c r="AB9" i="16"/>
  <c r="AH9" i="16"/>
  <c r="T2" i="16"/>
  <c r="X4" i="16"/>
  <c r="X2" i="16" s="1"/>
  <c r="AB12" i="16"/>
  <c r="AH10" i="16"/>
  <c r="AB6" i="16"/>
  <c r="AH13" i="16"/>
  <c r="AB5" i="16"/>
  <c r="AB14" i="16"/>
  <c r="AB11" i="16"/>
  <c r="AB4" i="16"/>
  <c r="R39" i="16"/>
  <c r="AH6" i="16"/>
  <c r="AH15" i="16"/>
  <c r="AH7" i="16"/>
  <c r="AH5" i="16"/>
  <c r="AH8" i="16"/>
  <c r="AB13" i="16"/>
  <c r="AB8" i="16"/>
  <c r="AB7" i="16"/>
  <c r="AH14" i="16"/>
  <c r="S11" i="14"/>
  <c r="X11" i="14" s="1"/>
  <c r="AA10" i="14" s="1"/>
  <c r="S10" i="14"/>
  <c r="X10" i="14" s="1"/>
  <c r="AA9" i="14" s="1"/>
  <c r="S14" i="14"/>
  <c r="Y14" i="14" s="1"/>
  <c r="AG14" i="14" s="1"/>
  <c r="C24" i="14"/>
  <c r="T28" i="14"/>
  <c r="C34" i="14"/>
  <c r="T33" i="14"/>
  <c r="T35" i="14"/>
  <c r="T27" i="14"/>
  <c r="T30" i="14"/>
  <c r="T29" i="14"/>
  <c r="T34" i="14"/>
  <c r="T32" i="14"/>
  <c r="T31" i="14"/>
  <c r="T25" i="14"/>
  <c r="T26" i="14"/>
  <c r="T37" i="14"/>
  <c r="N25" i="14"/>
  <c r="N30" i="14"/>
  <c r="P30" i="14" s="1"/>
  <c r="R35" i="14" s="1"/>
  <c r="N29" i="14"/>
  <c r="P29" i="14" s="1"/>
  <c r="N26" i="14"/>
  <c r="N28" i="14"/>
  <c r="P28" i="14" s="1"/>
  <c r="N27" i="14"/>
  <c r="P27" i="14" s="1"/>
  <c r="X9" i="14"/>
  <c r="AA8" i="14" s="1"/>
  <c r="Y9" i="14"/>
  <c r="AG9" i="14" s="1"/>
  <c r="S7" i="14"/>
  <c r="S5" i="14"/>
  <c r="S8" i="14"/>
  <c r="S12" i="14"/>
  <c r="S4" i="14"/>
  <c r="S15" i="14"/>
  <c r="S6" i="14"/>
  <c r="S13" i="14"/>
  <c r="N11" i="10"/>
  <c r="N14" i="10"/>
  <c r="N6" i="10"/>
  <c r="N13" i="10"/>
  <c r="R13" i="10" s="1"/>
  <c r="N5" i="10"/>
  <c r="N12" i="10"/>
  <c r="N10" i="10"/>
  <c r="R10" i="10" s="1"/>
  <c r="N4" i="10"/>
  <c r="N8" i="10"/>
  <c r="N9" i="10"/>
  <c r="R9" i="10" s="1"/>
  <c r="N15" i="10"/>
  <c r="BF44" i="10"/>
  <c r="BF29" i="10"/>
  <c r="R7" i="10"/>
  <c r="R15" i="10"/>
  <c r="BF30" i="10"/>
  <c r="BF45" i="10"/>
  <c r="R5" i="10"/>
  <c r="G13" i="10"/>
  <c r="AB15" i="10"/>
  <c r="R12" i="10"/>
  <c r="D23" i="10"/>
  <c r="R6" i="10"/>
  <c r="R4" i="10"/>
  <c r="B31" i="10"/>
  <c r="W25" i="10" s="1"/>
  <c r="BF43" i="10"/>
  <c r="C31" i="10"/>
  <c r="W39" i="10" s="1"/>
  <c r="E23" i="10"/>
  <c r="BF28" i="10"/>
  <c r="BF31" i="10"/>
  <c r="B23" i="10"/>
  <c r="BF48" i="8"/>
  <c r="BF47" i="8"/>
  <c r="BE45" i="8"/>
  <c r="BF46" i="8" s="1"/>
  <c r="BE44" i="8"/>
  <c r="BF45" i="8" s="1"/>
  <c r="BD44" i="8"/>
  <c r="BE43" i="8"/>
  <c r="BF44" i="8" s="1"/>
  <c r="BD43" i="8"/>
  <c r="BC43" i="8"/>
  <c r="BF42" i="8"/>
  <c r="BE42" i="8"/>
  <c r="BF43" i="8" s="1"/>
  <c r="BD42" i="8"/>
  <c r="BC42" i="8"/>
  <c r="BF41" i="8"/>
  <c r="BE41" i="8"/>
  <c r="BD41" i="8"/>
  <c r="BC41" i="8"/>
  <c r="BF40" i="8"/>
  <c r="BE40" i="8"/>
  <c r="BD40" i="8"/>
  <c r="BC40" i="8"/>
  <c r="BC39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BF34" i="8"/>
  <c r="BF33" i="8"/>
  <c r="C33" i="8"/>
  <c r="B33" i="8"/>
  <c r="C32" i="8"/>
  <c r="B32" i="8"/>
  <c r="BE31" i="8"/>
  <c r="BF32" i="8" s="1"/>
  <c r="BH30" i="8"/>
  <c r="BH37" i="8" s="1"/>
  <c r="BH43" i="8" s="1"/>
  <c r="BH48" i="8" s="1"/>
  <c r="BH53" i="8" s="1"/>
  <c r="BH56" i="8" s="1"/>
  <c r="BH58" i="8" s="1"/>
  <c r="BH59" i="8" s="1"/>
  <c r="BF30" i="8"/>
  <c r="BE30" i="8"/>
  <c r="BF31" i="8" s="1"/>
  <c r="BD30" i="8"/>
  <c r="E30" i="8"/>
  <c r="D30" i="8"/>
  <c r="BH29" i="8"/>
  <c r="BH36" i="8" s="1"/>
  <c r="BH42" i="8" s="1"/>
  <c r="BH47" i="8" s="1"/>
  <c r="BH52" i="8" s="1"/>
  <c r="BH55" i="8" s="1"/>
  <c r="BH57" i="8" s="1"/>
  <c r="BL13" i="8" s="1"/>
  <c r="BE29" i="8"/>
  <c r="BD29" i="8"/>
  <c r="BC29" i="8"/>
  <c r="C29" i="8"/>
  <c r="B29" i="8"/>
  <c r="BH28" i="8"/>
  <c r="BH35" i="8" s="1"/>
  <c r="BH41" i="8" s="1"/>
  <c r="BH46" i="8" s="1"/>
  <c r="BH51" i="8" s="1"/>
  <c r="BH54" i="8" s="1"/>
  <c r="BE28" i="8"/>
  <c r="BF28" i="8" s="1"/>
  <c r="BD28" i="8"/>
  <c r="BC28" i="8"/>
  <c r="BH27" i="8"/>
  <c r="BH34" i="8" s="1"/>
  <c r="BH40" i="8" s="1"/>
  <c r="BH45" i="8" s="1"/>
  <c r="BH50" i="8" s="1"/>
  <c r="BL11" i="8" s="1"/>
  <c r="BP38" i="8" s="1"/>
  <c r="BP46" i="8" s="1"/>
  <c r="BF27" i="8"/>
  <c r="BE27" i="8"/>
  <c r="BD27" i="8"/>
  <c r="BC27" i="8"/>
  <c r="C27" i="8"/>
  <c r="B27" i="8"/>
  <c r="BH26" i="8"/>
  <c r="BH33" i="8" s="1"/>
  <c r="BH39" i="8" s="1"/>
  <c r="BH44" i="8" s="1"/>
  <c r="BL10" i="8" s="1"/>
  <c r="BP30" i="8" s="1"/>
  <c r="BP37" i="8" s="1"/>
  <c r="BP45" i="8" s="1"/>
  <c r="BF26" i="8"/>
  <c r="BE26" i="8"/>
  <c r="BD26" i="8"/>
  <c r="BC26" i="8"/>
  <c r="E26" i="8"/>
  <c r="E27" i="8" s="1"/>
  <c r="E23" i="8" s="1"/>
  <c r="D26" i="8"/>
  <c r="D27" i="8" s="1"/>
  <c r="B31" i="8" s="1"/>
  <c r="W24" i="8" s="1"/>
  <c r="C26" i="8"/>
  <c r="B26" i="8"/>
  <c r="BH25" i="8"/>
  <c r="BH32" i="8" s="1"/>
  <c r="BH38" i="8" s="1"/>
  <c r="BC25" i="8"/>
  <c r="E25" i="8"/>
  <c r="D25" i="8"/>
  <c r="D23" i="8" s="1"/>
  <c r="C25" i="8"/>
  <c r="C31" i="8" s="1"/>
  <c r="W38" i="8" s="1"/>
  <c r="B25" i="8"/>
  <c r="BH24" i="8"/>
  <c r="BH31" i="8" s="1"/>
  <c r="BH23" i="8"/>
  <c r="C22" i="8"/>
  <c r="B22" i="8"/>
  <c r="B20" i="8"/>
  <c r="B21" i="8" s="1"/>
  <c r="Z19" i="8"/>
  <c r="AA19" i="8" s="1"/>
  <c r="Y19" i="8"/>
  <c r="P19" i="8"/>
  <c r="O19" i="8"/>
  <c r="Q19" i="8" s="1"/>
  <c r="AA18" i="8"/>
  <c r="Q18" i="8"/>
  <c r="Z17" i="8"/>
  <c r="AA17" i="8" s="1"/>
  <c r="Y17" i="8"/>
  <c r="P17" i="8"/>
  <c r="O17" i="8"/>
  <c r="Q17" i="8" s="1"/>
  <c r="Y16" i="8"/>
  <c r="AA16" i="8" s="1"/>
  <c r="O16" i="8"/>
  <c r="Q16" i="8" s="1"/>
  <c r="C16" i="8"/>
  <c r="B16" i="8"/>
  <c r="AA15" i="8"/>
  <c r="Q15" i="8"/>
  <c r="Y14" i="8"/>
  <c r="AA14" i="8" s="1"/>
  <c r="O14" i="8"/>
  <c r="Q14" i="8" s="1"/>
  <c r="AA13" i="8"/>
  <c r="Z13" i="8"/>
  <c r="Q13" i="8"/>
  <c r="P13" i="8"/>
  <c r="BL12" i="8"/>
  <c r="BP47" i="8" s="1"/>
  <c r="AA12" i="8"/>
  <c r="Q12" i="8"/>
  <c r="AA11" i="8"/>
  <c r="Z11" i="8"/>
  <c r="Y11" i="8"/>
  <c r="P11" i="8"/>
  <c r="O11" i="8"/>
  <c r="BP10" i="8"/>
  <c r="BP14" i="8" s="1"/>
  <c r="BH49" i="8" s="1"/>
  <c r="BP24" i="8" s="1"/>
  <c r="BP31" i="8" s="1"/>
  <c r="BP39" i="8" s="1"/>
  <c r="BL14" i="8" s="1"/>
  <c r="AA10" i="8"/>
  <c r="Z10" i="8"/>
  <c r="Y10" i="8"/>
  <c r="P10" i="8"/>
  <c r="Q10" i="8" s="1"/>
  <c r="O10" i="8"/>
  <c r="BL9" i="8"/>
  <c r="BP23" i="8" s="1"/>
  <c r="BP29" i="8" s="1"/>
  <c r="BP36" i="8" s="1"/>
  <c r="BP44" i="8" s="1"/>
  <c r="AA9" i="8"/>
  <c r="Y9" i="8"/>
  <c r="O9" i="8"/>
  <c r="Q9" i="8" s="1"/>
  <c r="BL8" i="8"/>
  <c r="BP18" i="8" s="1"/>
  <c r="BP22" i="8" s="1"/>
  <c r="BP28" i="8" s="1"/>
  <c r="BP35" i="8" s="1"/>
  <c r="BP43" i="8" s="1"/>
  <c r="Z8" i="8"/>
  <c r="AA8" i="8" s="1"/>
  <c r="Y8" i="8"/>
  <c r="P8" i="8"/>
  <c r="O8" i="8"/>
  <c r="Q8" i="8" s="1"/>
  <c r="BL7" i="8"/>
  <c r="BP13" i="8" s="1"/>
  <c r="BP17" i="8" s="1"/>
  <c r="BP21" i="8" s="1"/>
  <c r="BP27" i="8" s="1"/>
  <c r="BP34" i="8" s="1"/>
  <c r="BP42" i="8" s="1"/>
  <c r="AA7" i="8"/>
  <c r="Q7" i="8"/>
  <c r="BP6" i="8"/>
  <c r="BP8" i="8" s="1"/>
  <c r="BP11" i="8" s="1"/>
  <c r="BP15" i="8" s="1"/>
  <c r="BP19" i="8" s="1"/>
  <c r="BP25" i="8" s="1"/>
  <c r="BP32" i="8" s="1"/>
  <c r="BP40" i="8" s="1"/>
  <c r="BL6" i="8"/>
  <c r="BP9" i="8" s="1"/>
  <c r="BP12" i="8" s="1"/>
  <c r="BP16" i="8" s="1"/>
  <c r="BP20" i="8" s="1"/>
  <c r="BP26" i="8" s="1"/>
  <c r="BP33" i="8" s="1"/>
  <c r="BP41" i="8" s="1"/>
  <c r="Z6" i="8"/>
  <c r="Y6" i="8"/>
  <c r="AA6" i="8" s="1"/>
  <c r="P6" i="8"/>
  <c r="Q6" i="8" s="1"/>
  <c r="O6" i="8"/>
  <c r="BP5" i="8"/>
  <c r="BP7" i="8" s="1"/>
  <c r="AA5" i="8"/>
  <c r="Z5" i="8"/>
  <c r="Y5" i="8"/>
  <c r="P5" i="8"/>
  <c r="O5" i="8"/>
  <c r="D3" i="8"/>
  <c r="K3" i="8" s="1"/>
  <c r="S2" i="8"/>
  <c r="K2" i="8"/>
  <c r="G2" i="8"/>
  <c r="AF1" i="8"/>
  <c r="S1" i="8"/>
  <c r="G1" i="8"/>
  <c r="BF48" i="7"/>
  <c r="BF47" i="7"/>
  <c r="BE45" i="7"/>
  <c r="BF46" i="7" s="1"/>
  <c r="BE44" i="7"/>
  <c r="BD44" i="7"/>
  <c r="BE43" i="7"/>
  <c r="BD43" i="7"/>
  <c r="BC43" i="7"/>
  <c r="BF42" i="7"/>
  <c r="BE42" i="7"/>
  <c r="BF43" i="7" s="1"/>
  <c r="BD42" i="7"/>
  <c r="BC42" i="7"/>
  <c r="BF41" i="7"/>
  <c r="BE41" i="7"/>
  <c r="BD41" i="7"/>
  <c r="BC41" i="7"/>
  <c r="BH40" i="7"/>
  <c r="BH45" i="7" s="1"/>
  <c r="BH50" i="7" s="1"/>
  <c r="BF40" i="7"/>
  <c r="BE40" i="7"/>
  <c r="BD40" i="7"/>
  <c r="BC40" i="7"/>
  <c r="BC39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BH36" i="7"/>
  <c r="BH42" i="7" s="1"/>
  <c r="BH47" i="7" s="1"/>
  <c r="BH52" i="7" s="1"/>
  <c r="BH55" i="7" s="1"/>
  <c r="BH57" i="7" s="1"/>
  <c r="BL13" i="7" s="1"/>
  <c r="BH35" i="7"/>
  <c r="BH41" i="7" s="1"/>
  <c r="BH46" i="7" s="1"/>
  <c r="BH51" i="7" s="1"/>
  <c r="BH54" i="7" s="1"/>
  <c r="BL12" i="7" s="1"/>
  <c r="BP47" i="7" s="1"/>
  <c r="BP34" i="7"/>
  <c r="BP42" i="7" s="1"/>
  <c r="BH34" i="7"/>
  <c r="BF34" i="7"/>
  <c r="BH33" i="7"/>
  <c r="BH39" i="7" s="1"/>
  <c r="BH44" i="7" s="1"/>
  <c r="BF33" i="7"/>
  <c r="C33" i="7"/>
  <c r="B33" i="7"/>
  <c r="C32" i="7"/>
  <c r="B32" i="7"/>
  <c r="BF31" i="7"/>
  <c r="BE31" i="7"/>
  <c r="BF32" i="7" s="1"/>
  <c r="BH30" i="7"/>
  <c r="BH37" i="7" s="1"/>
  <c r="BH43" i="7" s="1"/>
  <c r="BH48" i="7" s="1"/>
  <c r="BH53" i="7" s="1"/>
  <c r="BH56" i="7" s="1"/>
  <c r="BH58" i="7" s="1"/>
  <c r="BH59" i="7" s="1"/>
  <c r="BF30" i="7"/>
  <c r="BE30" i="7"/>
  <c r="BD30" i="7"/>
  <c r="E30" i="7"/>
  <c r="D30" i="7"/>
  <c r="BH29" i="7"/>
  <c r="BE29" i="7"/>
  <c r="BD29" i="7"/>
  <c r="BC29" i="7"/>
  <c r="C29" i="7"/>
  <c r="B29" i="7"/>
  <c r="BH28" i="7"/>
  <c r="BE28" i="7"/>
  <c r="BD28" i="7"/>
  <c r="BC28" i="7"/>
  <c r="BH27" i="7"/>
  <c r="BF27" i="7"/>
  <c r="BE27" i="7"/>
  <c r="BD27" i="7"/>
  <c r="BC27" i="7"/>
  <c r="C27" i="7"/>
  <c r="B27" i="7"/>
  <c r="BP26" i="7"/>
  <c r="BP33" i="7" s="1"/>
  <c r="BP41" i="7" s="1"/>
  <c r="BH26" i="7"/>
  <c r="BF26" i="7"/>
  <c r="BE26" i="7"/>
  <c r="BD26" i="7"/>
  <c r="BC26" i="7"/>
  <c r="E26" i="7"/>
  <c r="E27" i="7" s="1"/>
  <c r="D26" i="7"/>
  <c r="D27" i="7" s="1"/>
  <c r="C26" i="7"/>
  <c r="B26" i="7"/>
  <c r="BH25" i="7"/>
  <c r="BH32" i="7" s="1"/>
  <c r="BH38" i="7" s="1"/>
  <c r="BC25" i="7"/>
  <c r="E25" i="7"/>
  <c r="D25" i="7"/>
  <c r="C25" i="7"/>
  <c r="C31" i="7" s="1"/>
  <c r="W39" i="7" s="1"/>
  <c r="B25" i="7"/>
  <c r="B31" i="7" s="1"/>
  <c r="W25" i="7" s="1"/>
  <c r="BH24" i="7"/>
  <c r="BH31" i="7" s="1"/>
  <c r="BH23" i="7"/>
  <c r="E23" i="7"/>
  <c r="D23" i="7"/>
  <c r="C22" i="7"/>
  <c r="B22" i="7"/>
  <c r="B20" i="7"/>
  <c r="B21" i="7" s="1"/>
  <c r="AA19" i="7"/>
  <c r="Z19" i="7"/>
  <c r="Y19" i="7"/>
  <c r="Q19" i="7"/>
  <c r="P19" i="7"/>
  <c r="O19" i="7"/>
  <c r="BP18" i="7"/>
  <c r="BP22" i="7" s="1"/>
  <c r="BP28" i="7" s="1"/>
  <c r="BP35" i="7" s="1"/>
  <c r="BP43" i="7" s="1"/>
  <c r="AA18" i="7"/>
  <c r="Q18" i="7"/>
  <c r="AA17" i="7"/>
  <c r="Z17" i="7"/>
  <c r="Y17" i="7"/>
  <c r="P17" i="7"/>
  <c r="Q17" i="7" s="1"/>
  <c r="O17" i="7"/>
  <c r="AA16" i="7"/>
  <c r="Y16" i="7"/>
  <c r="O16" i="7"/>
  <c r="Q16" i="7" s="1"/>
  <c r="C16" i="7"/>
  <c r="B16" i="7"/>
  <c r="AA15" i="7"/>
  <c r="Q15" i="7"/>
  <c r="Y14" i="7"/>
  <c r="AA14" i="7" s="1"/>
  <c r="O14" i="7"/>
  <c r="Q14" i="7" s="1"/>
  <c r="AA13" i="7"/>
  <c r="Z13" i="7"/>
  <c r="Q13" i="7"/>
  <c r="P13" i="7"/>
  <c r="AA12" i="7"/>
  <c r="Q12" i="7"/>
  <c r="BL11" i="7"/>
  <c r="BP38" i="7" s="1"/>
  <c r="BP46" i="7" s="1"/>
  <c r="Z11" i="7"/>
  <c r="Y11" i="7"/>
  <c r="AA11" i="7" s="1"/>
  <c r="P11" i="7"/>
  <c r="Q11" i="7" s="1"/>
  <c r="O11" i="7"/>
  <c r="BL10" i="7"/>
  <c r="BP30" i="7" s="1"/>
  <c r="BP37" i="7" s="1"/>
  <c r="BP45" i="7" s="1"/>
  <c r="Z10" i="7"/>
  <c r="Y10" i="7"/>
  <c r="Q10" i="7"/>
  <c r="P10" i="7"/>
  <c r="O10" i="7"/>
  <c r="BP9" i="7"/>
  <c r="BP12" i="7" s="1"/>
  <c r="BP16" i="7" s="1"/>
  <c r="BP20" i="7" s="1"/>
  <c r="BL9" i="7"/>
  <c r="BP23" i="7" s="1"/>
  <c r="BP29" i="7" s="1"/>
  <c r="BP36" i="7" s="1"/>
  <c r="BP44" i="7" s="1"/>
  <c r="AA9" i="7"/>
  <c r="Y9" i="7"/>
  <c r="O9" i="7"/>
  <c r="Q9" i="7" s="1"/>
  <c r="BP8" i="7"/>
  <c r="BP11" i="7" s="1"/>
  <c r="BP15" i="7" s="1"/>
  <c r="BP19" i="7" s="1"/>
  <c r="BP25" i="7" s="1"/>
  <c r="BP32" i="7" s="1"/>
  <c r="BP40" i="7" s="1"/>
  <c r="BL8" i="7"/>
  <c r="AA8" i="7"/>
  <c r="Z8" i="7"/>
  <c r="Y8" i="7"/>
  <c r="Q8" i="7"/>
  <c r="P8" i="7"/>
  <c r="O8" i="7"/>
  <c r="BP7" i="7"/>
  <c r="BP10" i="7" s="1"/>
  <c r="BP14" i="7" s="1"/>
  <c r="BH49" i="7" s="1"/>
  <c r="BP24" i="7" s="1"/>
  <c r="BP31" i="7" s="1"/>
  <c r="BP39" i="7" s="1"/>
  <c r="BL14" i="7" s="1"/>
  <c r="BL7" i="7"/>
  <c r="BP13" i="7" s="1"/>
  <c r="BP17" i="7" s="1"/>
  <c r="BP21" i="7" s="1"/>
  <c r="BP27" i="7" s="1"/>
  <c r="AA7" i="7"/>
  <c r="Q7" i="7"/>
  <c r="BP6" i="7"/>
  <c r="BL6" i="7"/>
  <c r="Z6" i="7"/>
  <c r="AA6" i="7" s="1"/>
  <c r="Y6" i="7"/>
  <c r="P6" i="7"/>
  <c r="O6" i="7"/>
  <c r="Q6" i="7" s="1"/>
  <c r="BP5" i="7"/>
  <c r="Z5" i="7"/>
  <c r="Y5" i="7"/>
  <c r="AA5" i="7" s="1"/>
  <c r="Q5" i="7"/>
  <c r="P5" i="7"/>
  <c r="O5" i="7"/>
  <c r="D3" i="7"/>
  <c r="K3" i="7" s="1"/>
  <c r="S2" i="7"/>
  <c r="K2" i="7"/>
  <c r="G2" i="7"/>
  <c r="AF1" i="7"/>
  <c r="V1" i="7"/>
  <c r="S1" i="7"/>
  <c r="G1" i="7"/>
  <c r="BF48" i="6"/>
  <c r="BF47" i="6"/>
  <c r="BF46" i="6"/>
  <c r="BE45" i="6"/>
  <c r="BE44" i="6"/>
  <c r="BF45" i="6" s="1"/>
  <c r="BD44" i="6"/>
  <c r="BE43" i="6"/>
  <c r="BF44" i="6" s="1"/>
  <c r="BD43" i="6"/>
  <c r="BC43" i="6"/>
  <c r="BF42" i="6"/>
  <c r="BE42" i="6"/>
  <c r="BF43" i="6" s="1"/>
  <c r="BD42" i="6"/>
  <c r="BC42" i="6"/>
  <c r="BF41" i="6"/>
  <c r="BE41" i="6"/>
  <c r="BD41" i="6"/>
  <c r="BC41" i="6"/>
  <c r="BF40" i="6"/>
  <c r="BE40" i="6"/>
  <c r="BD40" i="6"/>
  <c r="BC40" i="6"/>
  <c r="BC39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BF34" i="6"/>
  <c r="BF33" i="6"/>
  <c r="C33" i="6"/>
  <c r="B33" i="6"/>
  <c r="C32" i="6"/>
  <c r="B32" i="6"/>
  <c r="BE31" i="6"/>
  <c r="BF32" i="6" s="1"/>
  <c r="BH30" i="6"/>
  <c r="BH37" i="6" s="1"/>
  <c r="BH43" i="6" s="1"/>
  <c r="BH48" i="6" s="1"/>
  <c r="BH53" i="6" s="1"/>
  <c r="BH56" i="6" s="1"/>
  <c r="BH58" i="6" s="1"/>
  <c r="BH59" i="6" s="1"/>
  <c r="BE30" i="6"/>
  <c r="BF31" i="6" s="1"/>
  <c r="BD30" i="6"/>
  <c r="E30" i="6"/>
  <c r="D30" i="6"/>
  <c r="BH29" i="6"/>
  <c r="BH36" i="6" s="1"/>
  <c r="BH42" i="6" s="1"/>
  <c r="BH47" i="6" s="1"/>
  <c r="BH52" i="6" s="1"/>
  <c r="BH55" i="6" s="1"/>
  <c r="BH57" i="6" s="1"/>
  <c r="BL13" i="6" s="1"/>
  <c r="BE29" i="6"/>
  <c r="BF30" i="6" s="1"/>
  <c r="BD29" i="6"/>
  <c r="BC29" i="6"/>
  <c r="C29" i="6"/>
  <c r="B29" i="6"/>
  <c r="BH28" i="6"/>
  <c r="BH35" i="6" s="1"/>
  <c r="BH41" i="6" s="1"/>
  <c r="BH46" i="6" s="1"/>
  <c r="BH51" i="6" s="1"/>
  <c r="BH54" i="6" s="1"/>
  <c r="BL12" i="6" s="1"/>
  <c r="BP47" i="6" s="1"/>
  <c r="BE28" i="6"/>
  <c r="BF29" i="6" s="1"/>
  <c r="BD28" i="6"/>
  <c r="BC28" i="6"/>
  <c r="BP27" i="6"/>
  <c r="BP34" i="6" s="1"/>
  <c r="BP42" i="6" s="1"/>
  <c r="BH27" i="6"/>
  <c r="BH34" i="6" s="1"/>
  <c r="BH40" i="6" s="1"/>
  <c r="BH45" i="6" s="1"/>
  <c r="BH50" i="6" s="1"/>
  <c r="BL11" i="6" s="1"/>
  <c r="BP38" i="6" s="1"/>
  <c r="BP46" i="6" s="1"/>
  <c r="BF27" i="6"/>
  <c r="BE27" i="6"/>
  <c r="BF28" i="6" s="1"/>
  <c r="BD27" i="6"/>
  <c r="BC27" i="6"/>
  <c r="E27" i="6"/>
  <c r="C27" i="6"/>
  <c r="B27" i="6"/>
  <c r="BH26" i="6"/>
  <c r="BH33" i="6" s="1"/>
  <c r="BH39" i="6" s="1"/>
  <c r="BH44" i="6" s="1"/>
  <c r="BF26" i="6"/>
  <c r="BE26" i="6"/>
  <c r="BD26" i="6"/>
  <c r="BC26" i="6"/>
  <c r="E26" i="6"/>
  <c r="E23" i="6" s="1"/>
  <c r="D26" i="6"/>
  <c r="D27" i="6" s="1"/>
  <c r="C26" i="6"/>
  <c r="C31" i="6" s="1"/>
  <c r="W39" i="6" s="1"/>
  <c r="B26" i="6"/>
  <c r="BH25" i="6"/>
  <c r="BH32" i="6" s="1"/>
  <c r="BH38" i="6" s="1"/>
  <c r="BC25" i="6"/>
  <c r="E25" i="6"/>
  <c r="D25" i="6"/>
  <c r="C25" i="6"/>
  <c r="B25" i="6"/>
  <c r="BH24" i="6"/>
  <c r="BH31" i="6" s="1"/>
  <c r="BL8" i="6" s="1"/>
  <c r="BH23" i="6"/>
  <c r="B22" i="6"/>
  <c r="C22" i="6" s="1"/>
  <c r="B20" i="6"/>
  <c r="B21" i="6" s="1"/>
  <c r="Z19" i="6"/>
  <c r="Y19" i="6"/>
  <c r="P19" i="6"/>
  <c r="Q19" i="6" s="1"/>
  <c r="O19" i="6"/>
  <c r="BP18" i="6"/>
  <c r="BP22" i="6" s="1"/>
  <c r="BP28" i="6" s="1"/>
  <c r="BP35" i="6" s="1"/>
  <c r="BP43" i="6" s="1"/>
  <c r="Y18" i="6"/>
  <c r="AA18" i="6" s="1"/>
  <c r="O18" i="6"/>
  <c r="Q18" i="6" s="1"/>
  <c r="Z17" i="6"/>
  <c r="AA17" i="6" s="1"/>
  <c r="Y17" i="6"/>
  <c r="P17" i="6"/>
  <c r="Q17" i="6" s="1"/>
  <c r="O17" i="6"/>
  <c r="AA16" i="6"/>
  <c r="Q16" i="6"/>
  <c r="C16" i="6"/>
  <c r="B16" i="6"/>
  <c r="AA15" i="6"/>
  <c r="Q15" i="6"/>
  <c r="Z14" i="6"/>
  <c r="AA14" i="6" s="1"/>
  <c r="Y14" i="6"/>
  <c r="P14" i="6"/>
  <c r="O14" i="6"/>
  <c r="AA13" i="6"/>
  <c r="Z13" i="6"/>
  <c r="Y13" i="6"/>
  <c r="P13" i="6"/>
  <c r="Q13" i="6" s="1"/>
  <c r="O13" i="6"/>
  <c r="AA12" i="6"/>
  <c r="Q12" i="6"/>
  <c r="BP11" i="6"/>
  <c r="BP15" i="6" s="1"/>
  <c r="BP19" i="6" s="1"/>
  <c r="BP25" i="6" s="1"/>
  <c r="BP32" i="6" s="1"/>
  <c r="BP40" i="6" s="1"/>
  <c r="AA11" i="6"/>
  <c r="Z11" i="6"/>
  <c r="Y11" i="6"/>
  <c r="Q11" i="6"/>
  <c r="P11" i="6"/>
  <c r="O11" i="6"/>
  <c r="BL10" i="6"/>
  <c r="BP30" i="6" s="1"/>
  <c r="BP37" i="6" s="1"/>
  <c r="BP45" i="6" s="1"/>
  <c r="Z10" i="6"/>
  <c r="AA10" i="6" s="1"/>
  <c r="Y10" i="6"/>
  <c r="P10" i="6"/>
  <c r="O10" i="6"/>
  <c r="BL9" i="6"/>
  <c r="BP23" i="6" s="1"/>
  <c r="BP29" i="6" s="1"/>
  <c r="BP36" i="6" s="1"/>
  <c r="BP44" i="6" s="1"/>
  <c r="AA9" i="6"/>
  <c r="Z9" i="6"/>
  <c r="Y9" i="6"/>
  <c r="P9" i="6"/>
  <c r="Q9" i="6" s="1"/>
  <c r="O9" i="6"/>
  <c r="Z8" i="6"/>
  <c r="Y8" i="6"/>
  <c r="AA8" i="6" s="1"/>
  <c r="Q8" i="6"/>
  <c r="P8" i="6"/>
  <c r="O8" i="6"/>
  <c r="BL7" i="6"/>
  <c r="BP13" i="6" s="1"/>
  <c r="BP17" i="6" s="1"/>
  <c r="BP21" i="6" s="1"/>
  <c r="Z7" i="6"/>
  <c r="AA7" i="6" s="1"/>
  <c r="P7" i="6"/>
  <c r="Q7" i="6" s="1"/>
  <c r="BP6" i="6"/>
  <c r="BP8" i="6" s="1"/>
  <c r="BL6" i="6"/>
  <c r="BP9" i="6" s="1"/>
  <c r="BP12" i="6" s="1"/>
  <c r="BP16" i="6" s="1"/>
  <c r="BP20" i="6" s="1"/>
  <c r="BP26" i="6" s="1"/>
  <c r="BP33" i="6" s="1"/>
  <c r="BP41" i="6" s="1"/>
  <c r="AA6" i="6"/>
  <c r="Z6" i="6"/>
  <c r="Y6" i="6"/>
  <c r="P6" i="6"/>
  <c r="O6" i="6"/>
  <c r="BP5" i="6"/>
  <c r="BP7" i="6" s="1"/>
  <c r="BP10" i="6" s="1"/>
  <c r="BP14" i="6" s="1"/>
  <c r="BH49" i="6" s="1"/>
  <c r="BP24" i="6" s="1"/>
  <c r="BP31" i="6" s="1"/>
  <c r="BP39" i="6" s="1"/>
  <c r="BL14" i="6" s="1"/>
  <c r="Z5" i="6"/>
  <c r="AA5" i="6" s="1"/>
  <c r="Y5" i="6"/>
  <c r="Q5" i="6"/>
  <c r="P5" i="6"/>
  <c r="O5" i="6"/>
  <c r="K3" i="6"/>
  <c r="D3" i="6"/>
  <c r="K1" i="6" s="1"/>
  <c r="AE2" i="6"/>
  <c r="U2" i="6"/>
  <c r="S2" i="6"/>
  <c r="K2" i="6"/>
  <c r="G2" i="6"/>
  <c r="V1" i="6"/>
  <c r="S1" i="6"/>
  <c r="BF48" i="5"/>
  <c r="BF47" i="5"/>
  <c r="BF46" i="5"/>
  <c r="BF45" i="5"/>
  <c r="BE45" i="5"/>
  <c r="BF44" i="5"/>
  <c r="BE44" i="5"/>
  <c r="BD44" i="5"/>
  <c r="BE43" i="5"/>
  <c r="BD43" i="5"/>
  <c r="BC43" i="5"/>
  <c r="BE42" i="5"/>
  <c r="BF43" i="5" s="1"/>
  <c r="BD42" i="5"/>
  <c r="BC42" i="5"/>
  <c r="BF41" i="5"/>
  <c r="BE41" i="5"/>
  <c r="BF42" i="5" s="1"/>
  <c r="BD41" i="5"/>
  <c r="BC41" i="5"/>
  <c r="BF40" i="5"/>
  <c r="BE40" i="5"/>
  <c r="BD40" i="5"/>
  <c r="BC40" i="5"/>
  <c r="BC39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BH34" i="5"/>
  <c r="BH40" i="5" s="1"/>
  <c r="BH45" i="5" s="1"/>
  <c r="BH50" i="5" s="1"/>
  <c r="BF34" i="5"/>
  <c r="BF33" i="5"/>
  <c r="C33" i="5"/>
  <c r="B33" i="5"/>
  <c r="C32" i="5"/>
  <c r="B32" i="5"/>
  <c r="BE31" i="5"/>
  <c r="BF32" i="5" s="1"/>
  <c r="BH30" i="5"/>
  <c r="BH37" i="5" s="1"/>
  <c r="BH43" i="5" s="1"/>
  <c r="BH48" i="5" s="1"/>
  <c r="BH53" i="5" s="1"/>
  <c r="BH56" i="5" s="1"/>
  <c r="BH58" i="5" s="1"/>
  <c r="BH59" i="5" s="1"/>
  <c r="BF30" i="5"/>
  <c r="BE30" i="5"/>
  <c r="BF31" i="5" s="1"/>
  <c r="BD30" i="5"/>
  <c r="E30" i="5"/>
  <c r="D30" i="5"/>
  <c r="BH29" i="5"/>
  <c r="BH36" i="5" s="1"/>
  <c r="BH42" i="5" s="1"/>
  <c r="BH47" i="5" s="1"/>
  <c r="BH52" i="5" s="1"/>
  <c r="BH55" i="5" s="1"/>
  <c r="BH57" i="5" s="1"/>
  <c r="BL13" i="5" s="1"/>
  <c r="BE29" i="5"/>
  <c r="BD29" i="5"/>
  <c r="BC29" i="5"/>
  <c r="C29" i="5"/>
  <c r="B29" i="5"/>
  <c r="BH28" i="5"/>
  <c r="BH35" i="5" s="1"/>
  <c r="BH41" i="5" s="1"/>
  <c r="BH46" i="5" s="1"/>
  <c r="BH51" i="5" s="1"/>
  <c r="BH54" i="5" s="1"/>
  <c r="BL12" i="5" s="1"/>
  <c r="BP47" i="5" s="1"/>
  <c r="BE28" i="5"/>
  <c r="BF29" i="5" s="1"/>
  <c r="BD28" i="5"/>
  <c r="BC28" i="5"/>
  <c r="BH27" i="5"/>
  <c r="BF27" i="5"/>
  <c r="BE27" i="5"/>
  <c r="BF28" i="5" s="1"/>
  <c r="BD27" i="5"/>
  <c r="BC27" i="5"/>
  <c r="C27" i="5"/>
  <c r="B27" i="5"/>
  <c r="BH26" i="5"/>
  <c r="BH33" i="5" s="1"/>
  <c r="BH39" i="5" s="1"/>
  <c r="BH44" i="5" s="1"/>
  <c r="BL10" i="5" s="1"/>
  <c r="BP30" i="5" s="1"/>
  <c r="BP37" i="5" s="1"/>
  <c r="BP45" i="5" s="1"/>
  <c r="BF26" i="5"/>
  <c r="BE26" i="5"/>
  <c r="BD26" i="5"/>
  <c r="BC26" i="5"/>
  <c r="E26" i="5"/>
  <c r="E27" i="5" s="1"/>
  <c r="D26" i="5"/>
  <c r="D27" i="5" s="1"/>
  <c r="D23" i="5" s="1"/>
  <c r="C26" i="5"/>
  <c r="B26" i="5"/>
  <c r="BH25" i="5"/>
  <c r="BH32" i="5" s="1"/>
  <c r="BH38" i="5" s="1"/>
  <c r="BC25" i="5"/>
  <c r="E25" i="5"/>
  <c r="D25" i="5"/>
  <c r="C25" i="5"/>
  <c r="C31" i="5" s="1"/>
  <c r="W39" i="5" s="1"/>
  <c r="B25" i="5"/>
  <c r="BH24" i="5"/>
  <c r="BH31" i="5" s="1"/>
  <c r="BH23" i="5"/>
  <c r="C22" i="5"/>
  <c r="AB18" i="5" s="1"/>
  <c r="B22" i="5"/>
  <c r="R18" i="5" s="1"/>
  <c r="B21" i="5"/>
  <c r="B20" i="5"/>
  <c r="AN19" i="5"/>
  <c r="AI19" i="5" s="1"/>
  <c r="Y19" i="5" s="1"/>
  <c r="AK19" i="5"/>
  <c r="AG19" i="5"/>
  <c r="Z19" i="5"/>
  <c r="P19" i="5"/>
  <c r="AA18" i="5"/>
  <c r="Q18" i="5"/>
  <c r="AN17" i="5"/>
  <c r="AI17" i="5" s="1"/>
  <c r="Y17" i="5" s="1"/>
  <c r="AK17" i="5"/>
  <c r="AG17" i="5"/>
  <c r="Z17" i="5"/>
  <c r="AA17" i="5" s="1"/>
  <c r="AB17" i="5" s="1"/>
  <c r="P17" i="5"/>
  <c r="O17" i="5"/>
  <c r="AA16" i="5"/>
  <c r="AB16" i="5" s="1"/>
  <c r="Q16" i="5"/>
  <c r="R16" i="5" s="1"/>
  <c r="C16" i="5"/>
  <c r="B16" i="5"/>
  <c r="AA15" i="5"/>
  <c r="Q15" i="5"/>
  <c r="AN14" i="5"/>
  <c r="AI14" i="5"/>
  <c r="Z14" i="5"/>
  <c r="Y14" i="5"/>
  <c r="AA14" i="5" s="1"/>
  <c r="AB14" i="5" s="1"/>
  <c r="P14" i="5"/>
  <c r="Q14" i="5" s="1"/>
  <c r="R14" i="5" s="1"/>
  <c r="O14" i="5"/>
  <c r="Z13" i="5"/>
  <c r="P13" i="5"/>
  <c r="AC12" i="5"/>
  <c r="AA12" i="5"/>
  <c r="AB12" i="5" s="1"/>
  <c r="Q12" i="5"/>
  <c r="BL11" i="5"/>
  <c r="BP38" i="5" s="1"/>
  <c r="BP46" i="5" s="1"/>
  <c r="AK11" i="5"/>
  <c r="AG11" i="5"/>
  <c r="Z11" i="5"/>
  <c r="P11" i="5"/>
  <c r="AN10" i="5"/>
  <c r="AI10" i="5" s="1"/>
  <c r="AK10" i="5"/>
  <c r="AG10" i="5"/>
  <c r="Z10" i="5"/>
  <c r="P10" i="5"/>
  <c r="BL9" i="5"/>
  <c r="BP23" i="5" s="1"/>
  <c r="BP29" i="5" s="1"/>
  <c r="BP36" i="5" s="1"/>
  <c r="BP44" i="5" s="1"/>
  <c r="AK9" i="5"/>
  <c r="AN9" i="5" s="1"/>
  <c r="AI9" i="5" s="1"/>
  <c r="Y9" i="5" s="1"/>
  <c r="AG9" i="5"/>
  <c r="Z9" i="5"/>
  <c r="P9" i="5"/>
  <c r="O9" i="5"/>
  <c r="Q9" i="5" s="1"/>
  <c r="R9" i="5" s="1"/>
  <c r="BL8" i="5"/>
  <c r="BP18" i="5" s="1"/>
  <c r="BP22" i="5" s="1"/>
  <c r="BP28" i="5" s="1"/>
  <c r="BP35" i="5" s="1"/>
  <c r="BP43" i="5" s="1"/>
  <c r="AK8" i="5"/>
  <c r="AN8" i="5" s="1"/>
  <c r="AI8" i="5"/>
  <c r="O8" i="5" s="1"/>
  <c r="AG8" i="5"/>
  <c r="Z8" i="5"/>
  <c r="P8" i="5"/>
  <c r="Q8" i="5" s="1"/>
  <c r="R8" i="5" s="1"/>
  <c r="BL7" i="5"/>
  <c r="BP13" i="5" s="1"/>
  <c r="BP17" i="5" s="1"/>
  <c r="BP21" i="5" s="1"/>
  <c r="BP27" i="5" s="1"/>
  <c r="BP34" i="5" s="1"/>
  <c r="BP42" i="5" s="1"/>
  <c r="AB7" i="5"/>
  <c r="Z7" i="5"/>
  <c r="AA7" i="5" s="1"/>
  <c r="P7" i="5"/>
  <c r="Q7" i="5" s="1"/>
  <c r="R7" i="5" s="1"/>
  <c r="S7" i="5" s="1"/>
  <c r="BP6" i="5"/>
  <c r="BP8" i="5" s="1"/>
  <c r="BP11" i="5" s="1"/>
  <c r="BP15" i="5" s="1"/>
  <c r="BP19" i="5" s="1"/>
  <c r="BP25" i="5" s="1"/>
  <c r="BP32" i="5" s="1"/>
  <c r="BP40" i="5" s="1"/>
  <c r="BL6" i="5"/>
  <c r="BP9" i="5" s="1"/>
  <c r="BP12" i="5" s="1"/>
  <c r="BP16" i="5" s="1"/>
  <c r="BP20" i="5" s="1"/>
  <c r="BP26" i="5" s="1"/>
  <c r="BP33" i="5" s="1"/>
  <c r="BP41" i="5" s="1"/>
  <c r="AK6" i="5"/>
  <c r="AN6" i="5" s="1"/>
  <c r="AI6" i="5" s="1"/>
  <c r="AG6" i="5"/>
  <c r="Z6" i="5"/>
  <c r="P6" i="5"/>
  <c r="BP5" i="5"/>
  <c r="BP7" i="5" s="1"/>
  <c r="BP10" i="5" s="1"/>
  <c r="BP14" i="5" s="1"/>
  <c r="BH49" i="5" s="1"/>
  <c r="BP24" i="5" s="1"/>
  <c r="BP31" i="5" s="1"/>
  <c r="BP39" i="5" s="1"/>
  <c r="BL14" i="5" s="1"/>
  <c r="AN5" i="5"/>
  <c r="AI5" i="5" s="1"/>
  <c r="AK5" i="5"/>
  <c r="AG5" i="5"/>
  <c r="Z5" i="5"/>
  <c r="P5" i="5"/>
  <c r="D3" i="5"/>
  <c r="AI2" i="5"/>
  <c r="S2" i="5"/>
  <c r="R12" i="5" s="1"/>
  <c r="S1" i="5"/>
  <c r="BF48" i="4"/>
  <c r="BF47" i="4"/>
  <c r="BF45" i="4"/>
  <c r="BE45" i="4"/>
  <c r="BF46" i="4" s="1"/>
  <c r="BF44" i="4"/>
  <c r="BE44" i="4"/>
  <c r="BD44" i="4"/>
  <c r="BH43" i="4"/>
  <c r="BH48" i="4" s="1"/>
  <c r="BH53" i="4" s="1"/>
  <c r="BH56" i="4" s="1"/>
  <c r="BH58" i="4" s="1"/>
  <c r="BH59" i="4" s="1"/>
  <c r="BE43" i="4"/>
  <c r="BD43" i="4"/>
  <c r="BC43" i="4"/>
  <c r="BE42" i="4"/>
  <c r="BF43" i="4" s="1"/>
  <c r="BD42" i="4"/>
  <c r="BC42" i="4"/>
  <c r="BF41" i="4"/>
  <c r="BE41" i="4"/>
  <c r="BF42" i="4" s="1"/>
  <c r="BD41" i="4"/>
  <c r="BC41" i="4"/>
  <c r="BF40" i="4"/>
  <c r="BE40" i="4"/>
  <c r="BD40" i="4"/>
  <c r="BC40" i="4"/>
  <c r="BH39" i="4"/>
  <c r="BH44" i="4" s="1"/>
  <c r="BL10" i="4" s="1"/>
  <c r="BP30" i="4" s="1"/>
  <c r="BP37" i="4" s="1"/>
  <c r="BP45" i="4" s="1"/>
  <c r="BC39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BH36" i="4"/>
  <c r="BH42" i="4" s="1"/>
  <c r="BH47" i="4" s="1"/>
  <c r="BH52" i="4" s="1"/>
  <c r="BH55" i="4" s="1"/>
  <c r="BH57" i="4" s="1"/>
  <c r="BL13" i="4" s="1"/>
  <c r="BH35" i="4"/>
  <c r="BH41" i="4" s="1"/>
  <c r="BH46" i="4" s="1"/>
  <c r="BH51" i="4" s="1"/>
  <c r="BH54" i="4" s="1"/>
  <c r="BL12" i="4" s="1"/>
  <c r="BP47" i="4" s="1"/>
  <c r="BH34" i="4"/>
  <c r="BH40" i="4" s="1"/>
  <c r="BH45" i="4" s="1"/>
  <c r="BH50" i="4" s="1"/>
  <c r="BF34" i="4"/>
  <c r="BF33" i="4"/>
  <c r="C33" i="4"/>
  <c r="B33" i="4"/>
  <c r="C32" i="4"/>
  <c r="B32" i="4"/>
  <c r="BE31" i="4"/>
  <c r="BF32" i="4" s="1"/>
  <c r="BH30" i="4"/>
  <c r="BH37" i="4" s="1"/>
  <c r="BF30" i="4"/>
  <c r="BE30" i="4"/>
  <c r="BF31" i="4" s="1"/>
  <c r="BD30" i="4"/>
  <c r="E30" i="4"/>
  <c r="D30" i="4"/>
  <c r="BH29" i="4"/>
  <c r="BE29" i="4"/>
  <c r="BD29" i="4"/>
  <c r="BC29" i="4"/>
  <c r="C29" i="4"/>
  <c r="B29" i="4"/>
  <c r="BH28" i="4"/>
  <c r="BE28" i="4"/>
  <c r="BF29" i="4" s="1"/>
  <c r="BD28" i="4"/>
  <c r="BC28" i="4"/>
  <c r="BH27" i="4"/>
  <c r="BF27" i="4"/>
  <c r="BE27" i="4"/>
  <c r="BF28" i="4" s="1"/>
  <c r="BD27" i="4"/>
  <c r="BC27" i="4"/>
  <c r="E27" i="4"/>
  <c r="E23" i="4" s="1"/>
  <c r="C27" i="4"/>
  <c r="B27" i="4"/>
  <c r="BH26" i="4"/>
  <c r="BH33" i="4" s="1"/>
  <c r="BF26" i="4"/>
  <c r="BE26" i="4"/>
  <c r="BD26" i="4"/>
  <c r="BC26" i="4"/>
  <c r="E26" i="4"/>
  <c r="D26" i="4"/>
  <c r="C26" i="4"/>
  <c r="B26" i="4"/>
  <c r="BH25" i="4"/>
  <c r="BH32" i="4" s="1"/>
  <c r="BH38" i="4" s="1"/>
  <c r="BC25" i="4"/>
  <c r="E25" i="4"/>
  <c r="D25" i="4"/>
  <c r="C25" i="4"/>
  <c r="B25" i="4"/>
  <c r="BH24" i="4"/>
  <c r="BH31" i="4" s="1"/>
  <c r="BL8" i="4" s="1"/>
  <c r="BP18" i="4" s="1"/>
  <c r="BP22" i="4" s="1"/>
  <c r="BP28" i="4" s="1"/>
  <c r="BP35" i="4" s="1"/>
  <c r="BP43" i="4" s="1"/>
  <c r="BH23" i="4"/>
  <c r="BL7" i="4" s="1"/>
  <c r="BP13" i="4" s="1"/>
  <c r="BP17" i="4" s="1"/>
  <c r="BP21" i="4" s="1"/>
  <c r="BP27" i="4" s="1"/>
  <c r="BP34" i="4" s="1"/>
  <c r="BP42" i="4" s="1"/>
  <c r="B22" i="4"/>
  <c r="C22" i="4" s="1"/>
  <c r="B20" i="4"/>
  <c r="B21" i="4" s="1"/>
  <c r="BP19" i="4"/>
  <c r="BP25" i="4" s="1"/>
  <c r="BP32" i="4" s="1"/>
  <c r="BP40" i="4" s="1"/>
  <c r="AO19" i="4"/>
  <c r="AL19" i="4"/>
  <c r="AK19" i="4"/>
  <c r="AH19" i="4"/>
  <c r="AG19" i="4"/>
  <c r="Z19" i="4"/>
  <c r="P19" i="4"/>
  <c r="AO18" i="4"/>
  <c r="AL18" i="4"/>
  <c r="AK18" i="4"/>
  <c r="AH18" i="4"/>
  <c r="AG18" i="4"/>
  <c r="AO17" i="4"/>
  <c r="AL17" i="4"/>
  <c r="AK17" i="4"/>
  <c r="AH17" i="4"/>
  <c r="AG17" i="4"/>
  <c r="Z17" i="4"/>
  <c r="P17" i="4"/>
  <c r="C16" i="4"/>
  <c r="B16" i="4"/>
  <c r="AG15" i="4"/>
  <c r="Z15" i="4"/>
  <c r="P15" i="4"/>
  <c r="AL14" i="4"/>
  <c r="AG14" i="4" s="1"/>
  <c r="AN14" i="4" s="1"/>
  <c r="AH14" i="4"/>
  <c r="AK14" i="4" s="1"/>
  <c r="Z14" i="4"/>
  <c r="P14" i="4"/>
  <c r="Z13" i="4"/>
  <c r="P13" i="4"/>
  <c r="BP12" i="4"/>
  <c r="BP16" i="4" s="1"/>
  <c r="BP20" i="4" s="1"/>
  <c r="BP26" i="4" s="1"/>
  <c r="BP33" i="4" s="1"/>
  <c r="BP41" i="4" s="1"/>
  <c r="AO12" i="4"/>
  <c r="AL12" i="4"/>
  <c r="AK12" i="4"/>
  <c r="AH12" i="4"/>
  <c r="AG12" i="4"/>
  <c r="AN12" i="4" s="1"/>
  <c r="Z12" i="4"/>
  <c r="P12" i="4"/>
  <c r="BL11" i="4"/>
  <c r="BP38" i="4" s="1"/>
  <c r="BP46" i="4" s="1"/>
  <c r="AO11" i="4"/>
  <c r="AL11" i="4"/>
  <c r="AK11" i="4"/>
  <c r="AH11" i="4"/>
  <c r="AG11" i="4"/>
  <c r="Z11" i="4"/>
  <c r="P11" i="4"/>
  <c r="AO10" i="4"/>
  <c r="AL10" i="4"/>
  <c r="AK10" i="4"/>
  <c r="AH10" i="4"/>
  <c r="AG10" i="4"/>
  <c r="Z10" i="4"/>
  <c r="P10" i="4"/>
  <c r="BP9" i="4"/>
  <c r="BL9" i="4"/>
  <c r="BP23" i="4" s="1"/>
  <c r="BP29" i="4" s="1"/>
  <c r="BP36" i="4" s="1"/>
  <c r="BP44" i="4" s="1"/>
  <c r="AL9" i="4"/>
  <c r="AK9" i="4"/>
  <c r="AH9" i="4"/>
  <c r="AG9" i="4"/>
  <c r="Z9" i="4"/>
  <c r="P9" i="4"/>
  <c r="BP8" i="4"/>
  <c r="BP11" i="4" s="1"/>
  <c r="BP15" i="4" s="1"/>
  <c r="AO8" i="4"/>
  <c r="AL8" i="4"/>
  <c r="AK8" i="4"/>
  <c r="AH8" i="4"/>
  <c r="AG8" i="4"/>
  <c r="Z8" i="4"/>
  <c r="P8" i="4"/>
  <c r="BP7" i="4"/>
  <c r="BP10" i="4" s="1"/>
  <c r="BP14" i="4" s="1"/>
  <c r="BH49" i="4" s="1"/>
  <c r="BP24" i="4" s="1"/>
  <c r="BP31" i="4" s="1"/>
  <c r="BP39" i="4" s="1"/>
  <c r="BL14" i="4" s="1"/>
  <c r="AL7" i="4"/>
  <c r="AK7" i="4"/>
  <c r="AH7" i="4"/>
  <c r="AG7" i="4"/>
  <c r="AN7" i="4" s="1"/>
  <c r="Z7" i="4"/>
  <c r="P7" i="4"/>
  <c r="BP6" i="4"/>
  <c r="BL6" i="4"/>
  <c r="AO6" i="4"/>
  <c r="AL6" i="4"/>
  <c r="AK6" i="4"/>
  <c r="AH6" i="4"/>
  <c r="AG6" i="4"/>
  <c r="Z6" i="4"/>
  <c r="P6" i="4"/>
  <c r="BP5" i="4"/>
  <c r="AO5" i="4"/>
  <c r="AL5" i="4"/>
  <c r="AK5" i="4"/>
  <c r="AH5" i="4"/>
  <c r="AG5" i="4"/>
  <c r="AN5" i="4" s="1"/>
  <c r="Z5" i="4"/>
  <c r="P5" i="4"/>
  <c r="AM3" i="4"/>
  <c r="D3" i="4"/>
  <c r="K3" i="4" s="1"/>
  <c r="G2" i="4"/>
  <c r="K1" i="4"/>
  <c r="G1" i="4"/>
  <c r="AE23" i="18" l="1"/>
  <c r="AI23" i="18"/>
  <c r="AO23" i="18"/>
  <c r="AE41" i="18"/>
  <c r="AE39" i="18"/>
  <c r="AE40" i="18"/>
  <c r="AE42" i="18"/>
  <c r="AO42" i="18"/>
  <c r="AO43" i="18"/>
  <c r="AO41" i="18"/>
  <c r="AO40" i="18"/>
  <c r="AO46" i="18"/>
  <c r="AO45" i="18"/>
  <c r="AO44" i="18"/>
  <c r="AO39" i="18"/>
  <c r="AO47" i="18"/>
  <c r="AE18" i="18"/>
  <c r="L28" i="18" s="1"/>
  <c r="L23" i="18" s="1"/>
  <c r="AQ23" i="18"/>
  <c r="AK41" i="18"/>
  <c r="AK40" i="18"/>
  <c r="AK44" i="18"/>
  <c r="AK39" i="18"/>
  <c r="AK42" i="18"/>
  <c r="AK45" i="18"/>
  <c r="AK43" i="18"/>
  <c r="AM23" i="18"/>
  <c r="AC41" i="18"/>
  <c r="AC40" i="18"/>
  <c r="AC39" i="18"/>
  <c r="AM42" i="18"/>
  <c r="AM41" i="18"/>
  <c r="AM40" i="18"/>
  <c r="AM43" i="18"/>
  <c r="AM39" i="18"/>
  <c r="AM45" i="18"/>
  <c r="AM46" i="18"/>
  <c r="AM44" i="18"/>
  <c r="AG41" i="18"/>
  <c r="AG40" i="18"/>
  <c r="AG39" i="18"/>
  <c r="AG43" i="18"/>
  <c r="AG42" i="18"/>
  <c r="AA40" i="18"/>
  <c r="AA39" i="18"/>
  <c r="AH18" i="18"/>
  <c r="AI14" i="18"/>
  <c r="AI13" i="18"/>
  <c r="AJ14" i="18"/>
  <c r="AI5" i="18"/>
  <c r="AJ12" i="18"/>
  <c r="AI10" i="18"/>
  <c r="AI8" i="18"/>
  <c r="AI9" i="18"/>
  <c r="AI15" i="18"/>
  <c r="AJ9" i="18"/>
  <c r="AI7" i="18"/>
  <c r="AI6" i="18"/>
  <c r="AJ6" i="18"/>
  <c r="AJ13" i="18"/>
  <c r="AI11" i="18"/>
  <c r="AJ15" i="18"/>
  <c r="AJ11" i="18"/>
  <c r="AJ7" i="18"/>
  <c r="AI12" i="18"/>
  <c r="AJ8" i="18"/>
  <c r="AJ10" i="18"/>
  <c r="AJ5" i="18"/>
  <c r="AQ42" i="18"/>
  <c r="AQ41" i="18"/>
  <c r="AQ48" i="18"/>
  <c r="AQ47" i="18"/>
  <c r="AQ46" i="18"/>
  <c r="AQ40" i="18"/>
  <c r="AQ45" i="18"/>
  <c r="AQ39" i="18"/>
  <c r="AQ44" i="18"/>
  <c r="AQ43" i="18"/>
  <c r="AC23" i="18"/>
  <c r="AS28" i="18"/>
  <c r="J28" i="18" s="1"/>
  <c r="AS30" i="18"/>
  <c r="J30" i="18" s="1"/>
  <c r="AS26" i="18"/>
  <c r="J26" i="18" s="1"/>
  <c r="AS27" i="18"/>
  <c r="J27" i="18" s="1"/>
  <c r="AS32" i="18"/>
  <c r="J32" i="18" s="1"/>
  <c r="AS35" i="18"/>
  <c r="J35" i="18" s="1"/>
  <c r="AS29" i="18"/>
  <c r="J29" i="18" s="1"/>
  <c r="AS34" i="18"/>
  <c r="J34" i="18" s="1"/>
  <c r="AS33" i="18"/>
  <c r="J33" i="18" s="1"/>
  <c r="AS25" i="18"/>
  <c r="AS31" i="18"/>
  <c r="J31" i="18" s="1"/>
  <c r="AK23" i="18"/>
  <c r="V37" i="18"/>
  <c r="V49" i="18" s="1"/>
  <c r="Y39" i="18"/>
  <c r="AG23" i="18"/>
  <c r="Y23" i="18"/>
  <c r="AI41" i="18"/>
  <c r="AI40" i="18"/>
  <c r="AI39" i="18"/>
  <c r="AI44" i="18"/>
  <c r="AI42" i="18"/>
  <c r="AI43" i="18"/>
  <c r="X15" i="14"/>
  <c r="AA14" i="14" s="1"/>
  <c r="Y15" i="14"/>
  <c r="AG15" i="14" s="1"/>
  <c r="R47" i="16"/>
  <c r="R42" i="16"/>
  <c r="R37" i="16" s="1"/>
  <c r="R44" i="16"/>
  <c r="R41" i="16"/>
  <c r="V41" i="16" s="1"/>
  <c r="AC39" i="16" s="1"/>
  <c r="N37" i="16"/>
  <c r="R46" i="16"/>
  <c r="V40" i="16"/>
  <c r="AA40" i="16" s="1"/>
  <c r="P23" i="16"/>
  <c r="R27" i="16"/>
  <c r="R30" i="16"/>
  <c r="R29" i="16"/>
  <c r="R28" i="16"/>
  <c r="R25" i="16"/>
  <c r="AD11" i="16"/>
  <c r="AC11" i="16"/>
  <c r="AC7" i="16"/>
  <c r="AC13" i="16"/>
  <c r="AC8" i="16"/>
  <c r="AD13" i="16"/>
  <c r="AD12" i="16"/>
  <c r="AD8" i="16"/>
  <c r="AD6" i="16"/>
  <c r="AD9" i="16"/>
  <c r="AC14" i="16"/>
  <c r="AD10" i="16"/>
  <c r="V42" i="16"/>
  <c r="AE39" i="16" s="1"/>
  <c r="AC40" i="16"/>
  <c r="AB18" i="16"/>
  <c r="AD15" i="16"/>
  <c r="AC15" i="16"/>
  <c r="AC10" i="16"/>
  <c r="AD14" i="16"/>
  <c r="AC4" i="16"/>
  <c r="AD5" i="16"/>
  <c r="AG4" i="16"/>
  <c r="Y2" i="16"/>
  <c r="AD7" i="16"/>
  <c r="AD4" i="16"/>
  <c r="V39" i="16"/>
  <c r="V45" i="16"/>
  <c r="V46" i="16"/>
  <c r="V43" i="16"/>
  <c r="AC5" i="16"/>
  <c r="AC6" i="16"/>
  <c r="AC12" i="16"/>
  <c r="AC9" i="16"/>
  <c r="X13" i="14"/>
  <c r="AA12" i="14" s="1"/>
  <c r="Y13" i="14"/>
  <c r="AG13" i="14" s="1"/>
  <c r="X14" i="14"/>
  <c r="AA13" i="14" s="1"/>
  <c r="AB13" i="14" s="1"/>
  <c r="Y10" i="14"/>
  <c r="AG10" i="14" s="1"/>
  <c r="AH10" i="14" s="1"/>
  <c r="Y11" i="14"/>
  <c r="AG11" i="14" s="1"/>
  <c r="AH11" i="14" s="1"/>
  <c r="AB9" i="14"/>
  <c r="S2" i="14"/>
  <c r="R32" i="14"/>
  <c r="Y12" i="14"/>
  <c r="AG12" i="14" s="1"/>
  <c r="X12" i="14"/>
  <c r="AA11" i="14" s="1"/>
  <c r="R33" i="14"/>
  <c r="X8" i="14"/>
  <c r="AA7" i="14" s="1"/>
  <c r="Y8" i="14"/>
  <c r="AG8" i="14" s="1"/>
  <c r="P26" i="14"/>
  <c r="R31" i="14" s="1"/>
  <c r="AH14" i="14"/>
  <c r="X5" i="14"/>
  <c r="AA4" i="14" s="1"/>
  <c r="Y5" i="14"/>
  <c r="AG5" i="14" s="1"/>
  <c r="R34" i="14"/>
  <c r="T23" i="14"/>
  <c r="X7" i="14"/>
  <c r="AA6" i="14" s="1"/>
  <c r="Y7" i="14"/>
  <c r="AG7" i="14" s="1"/>
  <c r="P25" i="14"/>
  <c r="N23" i="14"/>
  <c r="AB10" i="14"/>
  <c r="X6" i="14"/>
  <c r="AA5" i="14" s="1"/>
  <c r="Y6" i="14"/>
  <c r="AG6" i="14" s="1"/>
  <c r="AH9" i="14"/>
  <c r="N42" i="14"/>
  <c r="P42" i="14" s="1"/>
  <c r="N41" i="14"/>
  <c r="P41" i="14" s="1"/>
  <c r="N44" i="14"/>
  <c r="P44" i="14" s="1"/>
  <c r="N43" i="14"/>
  <c r="P43" i="14" s="1"/>
  <c r="N40" i="14"/>
  <c r="P40" i="14" s="1"/>
  <c r="N39" i="14"/>
  <c r="AB8" i="14"/>
  <c r="T45" i="10"/>
  <c r="T46" i="10"/>
  <c r="T40" i="10"/>
  <c r="B34" i="10"/>
  <c r="B24" i="10"/>
  <c r="T43" i="10"/>
  <c r="T41" i="10"/>
  <c r="C23" i="10"/>
  <c r="T42" i="10"/>
  <c r="T49" i="10"/>
  <c r="T39" i="10"/>
  <c r="T44" i="10"/>
  <c r="T48" i="10"/>
  <c r="T47" i="10"/>
  <c r="AG13" i="4"/>
  <c r="AK15" i="4"/>
  <c r="AG16" i="4"/>
  <c r="AN16" i="4" s="1"/>
  <c r="AK13" i="4"/>
  <c r="AK16" i="4"/>
  <c r="AN11" i="4"/>
  <c r="AN8" i="4"/>
  <c r="AN6" i="4"/>
  <c r="C31" i="4"/>
  <c r="W39" i="4" s="1"/>
  <c r="S9" i="5"/>
  <c r="S8" i="5"/>
  <c r="O6" i="5"/>
  <c r="Y6" i="5"/>
  <c r="S18" i="5"/>
  <c r="AC18" i="5"/>
  <c r="AA8" i="5"/>
  <c r="AB8" i="5" s="1"/>
  <c r="B23" i="4"/>
  <c r="C23" i="4" s="1"/>
  <c r="D27" i="4"/>
  <c r="B31" i="4" s="1"/>
  <c r="K2" i="5"/>
  <c r="G2" i="5"/>
  <c r="K3" i="5"/>
  <c r="K1" i="5"/>
  <c r="G3" i="5"/>
  <c r="G1" i="5"/>
  <c r="AN9" i="4"/>
  <c r="AN19" i="4"/>
  <c r="AN13" i="4"/>
  <c r="S14" i="5"/>
  <c r="AN15" i="4"/>
  <c r="AC7" i="5"/>
  <c r="S16" i="5"/>
  <c r="AC16" i="5"/>
  <c r="AN10" i="4"/>
  <c r="AN17" i="4"/>
  <c r="AN18" i="4"/>
  <c r="AI13" i="5"/>
  <c r="Q6" i="5"/>
  <c r="R6" i="5" s="1"/>
  <c r="Y8" i="5"/>
  <c r="Q19" i="5"/>
  <c r="R19" i="5" s="1"/>
  <c r="C23" i="5"/>
  <c r="T33" i="5" s="1"/>
  <c r="K2" i="4"/>
  <c r="Y5" i="5"/>
  <c r="AA5" i="5" s="1"/>
  <c r="AB5" i="5" s="1"/>
  <c r="O5" i="5"/>
  <c r="Q5" i="5" s="1"/>
  <c r="R5" i="5" s="1"/>
  <c r="AA6" i="5"/>
  <c r="AB6" i="5" s="1"/>
  <c r="Z18" i="4"/>
  <c r="AA9" i="5"/>
  <c r="AB9" i="5" s="1"/>
  <c r="O10" i="5"/>
  <c r="Q10" i="5" s="1"/>
  <c r="R10" i="5" s="1"/>
  <c r="Y10" i="5"/>
  <c r="AA10" i="5" s="1"/>
  <c r="AB10" i="5" s="1"/>
  <c r="G3" i="4"/>
  <c r="P18" i="4"/>
  <c r="AC14" i="5"/>
  <c r="S12" i="5"/>
  <c r="AN11" i="5"/>
  <c r="AI11" i="5" s="1"/>
  <c r="AC17" i="5"/>
  <c r="B23" i="6"/>
  <c r="T43" i="6" s="1"/>
  <c r="R15" i="5"/>
  <c r="O19" i="5"/>
  <c r="L1" i="6"/>
  <c r="B31" i="6"/>
  <c r="W25" i="6" s="1"/>
  <c r="AB15" i="5"/>
  <c r="Q17" i="5"/>
  <c r="R17" i="5" s="1"/>
  <c r="Q6" i="6"/>
  <c r="B23" i="5"/>
  <c r="B31" i="5"/>
  <c r="W25" i="5" s="1"/>
  <c r="T28" i="5"/>
  <c r="T27" i="5"/>
  <c r="T34" i="5"/>
  <c r="T30" i="5"/>
  <c r="T29" i="5"/>
  <c r="AA19" i="5"/>
  <c r="AB19" i="5" s="1"/>
  <c r="T46" i="5"/>
  <c r="T41" i="5"/>
  <c r="T47" i="5"/>
  <c r="E23" i="5"/>
  <c r="BF29" i="7"/>
  <c r="BF28" i="7"/>
  <c r="G3" i="6"/>
  <c r="Q14" i="6"/>
  <c r="G1" i="6"/>
  <c r="H1" i="6" s="1"/>
  <c r="H1" i="7"/>
  <c r="Q10" i="6"/>
  <c r="AA19" i="6"/>
  <c r="D23" i="6"/>
  <c r="T46" i="6"/>
  <c r="T45" i="6"/>
  <c r="T49" i="6"/>
  <c r="T39" i="6"/>
  <c r="AA10" i="7"/>
  <c r="K1" i="7"/>
  <c r="L1" i="7" s="1"/>
  <c r="B23" i="7"/>
  <c r="BF45" i="7"/>
  <c r="G3" i="7"/>
  <c r="BF44" i="7"/>
  <c r="T39" i="7"/>
  <c r="T37" i="7" s="1"/>
  <c r="T46" i="7"/>
  <c r="K1" i="8"/>
  <c r="L1" i="8" s="1"/>
  <c r="Q5" i="8"/>
  <c r="Q11" i="8"/>
  <c r="B23" i="8"/>
  <c r="T43" i="8" s="1"/>
  <c r="G3" i="8"/>
  <c r="H1" i="8" s="1"/>
  <c r="T42" i="8"/>
  <c r="T39" i="8"/>
  <c r="T46" i="8"/>
  <c r="BF29" i="8"/>
  <c r="AI18" i="18" l="1"/>
  <c r="L40" i="18" s="1"/>
  <c r="AA37" i="18"/>
  <c r="H31" i="18"/>
  <c r="AG37" i="18"/>
  <c r="AJ18" i="18"/>
  <c r="L41" i="18" s="1"/>
  <c r="AS23" i="18"/>
  <c r="AS22" i="18" s="1"/>
  <c r="H30" i="18"/>
  <c r="H33" i="18"/>
  <c r="H34" i="18"/>
  <c r="AS42" i="18"/>
  <c r="J42" i="18" s="1"/>
  <c r="AS43" i="18"/>
  <c r="J43" i="18" s="1"/>
  <c r="AS41" i="18"/>
  <c r="J41" i="18" s="1"/>
  <c r="AS40" i="18"/>
  <c r="J40" i="18" s="1"/>
  <c r="AS46" i="18"/>
  <c r="J46" i="18" s="1"/>
  <c r="AS47" i="18"/>
  <c r="J47" i="18" s="1"/>
  <c r="AS49" i="18"/>
  <c r="J49" i="18" s="1"/>
  <c r="AS39" i="18"/>
  <c r="J39" i="18" s="1"/>
  <c r="AS48" i="18"/>
  <c r="J48" i="18" s="1"/>
  <c r="AS44" i="18"/>
  <c r="J44" i="18" s="1"/>
  <c r="AS45" i="18"/>
  <c r="J45" i="18" s="1"/>
  <c r="Y37" i="18"/>
  <c r="AK37" i="18"/>
  <c r="V36" i="18"/>
  <c r="J25" i="18"/>
  <c r="L39" i="18"/>
  <c r="AE37" i="18"/>
  <c r="H35" i="18"/>
  <c r="H29" i="18"/>
  <c r="AQ37" i="18"/>
  <c r="AC37" i="18"/>
  <c r="H32" i="18"/>
  <c r="AI37" i="18"/>
  <c r="AM37" i="18"/>
  <c r="AO37" i="18"/>
  <c r="AC41" i="16"/>
  <c r="AC37" i="16" s="1"/>
  <c r="V44" i="16"/>
  <c r="AI42" i="16" s="1"/>
  <c r="V47" i="16"/>
  <c r="AO41" i="16" s="1"/>
  <c r="V48" i="16"/>
  <c r="AQ45" i="16" s="1"/>
  <c r="AA39" i="16"/>
  <c r="AA37" i="16" s="1"/>
  <c r="V28" i="16"/>
  <c r="V26" i="16"/>
  <c r="V31" i="16"/>
  <c r="V34" i="16"/>
  <c r="V30" i="16"/>
  <c r="V29" i="16"/>
  <c r="V33" i="16"/>
  <c r="V32" i="16"/>
  <c r="R23" i="16"/>
  <c r="V25" i="16"/>
  <c r="V27" i="16"/>
  <c r="AE41" i="16"/>
  <c r="AE42" i="16"/>
  <c r="AE40" i="16"/>
  <c r="AO43" i="16"/>
  <c r="AQ46" i="16"/>
  <c r="AQ44" i="16"/>
  <c r="AC18" i="16"/>
  <c r="L26" i="16" s="1"/>
  <c r="Y39" i="16"/>
  <c r="L25" i="16"/>
  <c r="AG39" i="16"/>
  <c r="AG40" i="16"/>
  <c r="AG41" i="16"/>
  <c r="AG42" i="16"/>
  <c r="AG43" i="16"/>
  <c r="AM44" i="16"/>
  <c r="AM39" i="16"/>
  <c r="AM43" i="16"/>
  <c r="AM41" i="16"/>
  <c r="AM46" i="16"/>
  <c r="AM42" i="16"/>
  <c r="AM40" i="16"/>
  <c r="AM45" i="16"/>
  <c r="AD18" i="16"/>
  <c r="L27" i="16" s="1"/>
  <c r="AK39" i="16"/>
  <c r="AK42" i="16"/>
  <c r="AK43" i="16"/>
  <c r="AK40" i="16"/>
  <c r="AK45" i="16"/>
  <c r="AK44" i="16"/>
  <c r="AK41" i="16"/>
  <c r="AI40" i="16"/>
  <c r="AJ4" i="16"/>
  <c r="AI4" i="16"/>
  <c r="AH4" i="16"/>
  <c r="R26" i="14"/>
  <c r="V26" i="14" s="1"/>
  <c r="N37" i="14"/>
  <c r="P39" i="14"/>
  <c r="R40" i="14" s="1"/>
  <c r="AH7" i="14"/>
  <c r="P23" i="14"/>
  <c r="R27" i="14"/>
  <c r="R25" i="14"/>
  <c r="R28" i="14"/>
  <c r="R29" i="14"/>
  <c r="R30" i="14"/>
  <c r="AB6" i="14"/>
  <c r="AH6" i="14"/>
  <c r="AB12" i="14"/>
  <c r="U2" i="14"/>
  <c r="Y4" i="14"/>
  <c r="R49" i="14"/>
  <c r="R46" i="14"/>
  <c r="R45" i="14"/>
  <c r="R44" i="14"/>
  <c r="R47" i="14"/>
  <c r="R48" i="14"/>
  <c r="AB5" i="14"/>
  <c r="AH13" i="14"/>
  <c r="AB11" i="14"/>
  <c r="X4" i="14"/>
  <c r="X2" i="14" s="1"/>
  <c r="T2" i="14"/>
  <c r="R41" i="14"/>
  <c r="AH12" i="14"/>
  <c r="AH8" i="14"/>
  <c r="AB14" i="14"/>
  <c r="AB4" i="14"/>
  <c r="AB7" i="14"/>
  <c r="AH5" i="14"/>
  <c r="AH15" i="14"/>
  <c r="T37" i="10"/>
  <c r="N25" i="10"/>
  <c r="N30" i="10"/>
  <c r="P30" i="10" s="1"/>
  <c r="R35" i="10" s="1"/>
  <c r="N29" i="10"/>
  <c r="P29" i="10" s="1"/>
  <c r="N26" i="10"/>
  <c r="N28" i="10"/>
  <c r="P28" i="10" s="1"/>
  <c r="N27" i="10"/>
  <c r="P27" i="10" s="1"/>
  <c r="C34" i="10"/>
  <c r="T27" i="10"/>
  <c r="C24" i="10"/>
  <c r="T25" i="10"/>
  <c r="T32" i="10"/>
  <c r="T31" i="10"/>
  <c r="T33" i="10"/>
  <c r="T34" i="10"/>
  <c r="T30" i="10"/>
  <c r="T28" i="10"/>
  <c r="T35" i="10"/>
  <c r="T26" i="10"/>
  <c r="T29" i="10"/>
  <c r="T34" i="4"/>
  <c r="T31" i="4"/>
  <c r="W25" i="4"/>
  <c r="T46" i="4"/>
  <c r="T45" i="4"/>
  <c r="T49" i="4"/>
  <c r="T42" i="4"/>
  <c r="T47" i="4"/>
  <c r="T44" i="4"/>
  <c r="T40" i="4"/>
  <c r="T48" i="4"/>
  <c r="T39" i="4"/>
  <c r="S10" i="5"/>
  <c r="S19" i="5"/>
  <c r="AC8" i="5"/>
  <c r="B34" i="7"/>
  <c r="T47" i="7"/>
  <c r="B24" i="7"/>
  <c r="T40" i="7"/>
  <c r="T44" i="7"/>
  <c r="T40" i="8"/>
  <c r="M1" i="7"/>
  <c r="M2" i="7" s="1"/>
  <c r="T41" i="6"/>
  <c r="T43" i="5"/>
  <c r="T25" i="5"/>
  <c r="T23" i="5" s="1"/>
  <c r="B24" i="5"/>
  <c r="B34" i="5"/>
  <c r="T39" i="5"/>
  <c r="T37" i="5" s="1"/>
  <c r="T49" i="5"/>
  <c r="T48" i="8"/>
  <c r="T44" i="8"/>
  <c r="T41" i="8"/>
  <c r="T38" i="8"/>
  <c r="T36" i="8" s="1"/>
  <c r="M1" i="8"/>
  <c r="M2" i="8" s="1"/>
  <c r="T49" i="7"/>
  <c r="T48" i="7"/>
  <c r="T45" i="5"/>
  <c r="T31" i="5"/>
  <c r="S6" i="5"/>
  <c r="S15" i="5"/>
  <c r="Y13" i="5"/>
  <c r="AA13" i="5" s="1"/>
  <c r="AB13" i="5" s="1"/>
  <c r="O13" i="5"/>
  <c r="Q13" i="5" s="1"/>
  <c r="R13" i="5" s="1"/>
  <c r="AC10" i="5"/>
  <c r="AD9" i="5" s="1"/>
  <c r="T42" i="7"/>
  <c r="T48" i="5"/>
  <c r="S17" i="5"/>
  <c r="U15" i="5" s="1"/>
  <c r="U17" i="5"/>
  <c r="T17" i="5"/>
  <c r="B34" i="6"/>
  <c r="B24" i="6"/>
  <c r="T40" i="6"/>
  <c r="T44" i="6"/>
  <c r="T37" i="6" s="1"/>
  <c r="AD6" i="5"/>
  <c r="AC6" i="5"/>
  <c r="T45" i="8"/>
  <c r="T47" i="8"/>
  <c r="T45" i="7"/>
  <c r="T42" i="5"/>
  <c r="S5" i="5"/>
  <c r="U14" i="5" s="1"/>
  <c r="T5" i="5"/>
  <c r="T20" i="5" s="1"/>
  <c r="L26" i="5" s="1"/>
  <c r="T43" i="7"/>
  <c r="T47" i="6"/>
  <c r="T42" i="6"/>
  <c r="T40" i="5"/>
  <c r="AC19" i="5"/>
  <c r="T32" i="5"/>
  <c r="AD15" i="5"/>
  <c r="AE15" i="5"/>
  <c r="AC15" i="5"/>
  <c r="C23" i="6"/>
  <c r="AD5" i="5"/>
  <c r="AD20" i="5" s="1"/>
  <c r="L40" i="5" s="1"/>
  <c r="AC5" i="5"/>
  <c r="D23" i="4"/>
  <c r="T41" i="7"/>
  <c r="T48" i="6"/>
  <c r="T44" i="5"/>
  <c r="T26" i="5"/>
  <c r="AC9" i="5"/>
  <c r="B24" i="4"/>
  <c r="B34" i="4"/>
  <c r="T43" i="4"/>
  <c r="T41" i="4"/>
  <c r="AN3" i="4"/>
  <c r="AI9" i="4" s="1"/>
  <c r="B34" i="8"/>
  <c r="B24" i="8"/>
  <c r="C23" i="7"/>
  <c r="M1" i="6"/>
  <c r="M2" i="6" s="1"/>
  <c r="O11" i="5"/>
  <c r="Q11" i="5" s="1"/>
  <c r="R11" i="5" s="1"/>
  <c r="Y11" i="5"/>
  <c r="AA11" i="5" s="1"/>
  <c r="AB11" i="5" s="1"/>
  <c r="C24" i="5"/>
  <c r="T35" i="5"/>
  <c r="C34" i="5"/>
  <c r="C24" i="4"/>
  <c r="T25" i="4"/>
  <c r="C34" i="4"/>
  <c r="T33" i="4"/>
  <c r="T32" i="4"/>
  <c r="T27" i="4"/>
  <c r="T30" i="4"/>
  <c r="T26" i="4"/>
  <c r="T28" i="4"/>
  <c r="T35" i="4"/>
  <c r="T29" i="4"/>
  <c r="C23" i="8"/>
  <c r="U18" i="5"/>
  <c r="AK18" i="18" l="1"/>
  <c r="L42" i="18" s="1"/>
  <c r="H44" i="18" s="1"/>
  <c r="BS29" i="18" s="1"/>
  <c r="J37" i="18"/>
  <c r="H41" i="18"/>
  <c r="BS41" i="18" s="1"/>
  <c r="H40" i="18"/>
  <c r="BS40" i="18" s="1"/>
  <c r="H39" i="18"/>
  <c r="BS24" i="18" s="1"/>
  <c r="J23" i="18"/>
  <c r="H25" i="18"/>
  <c r="H28" i="18"/>
  <c r="AS37" i="18"/>
  <c r="AS36" i="18" s="1"/>
  <c r="H27" i="18"/>
  <c r="H26" i="18"/>
  <c r="AI41" i="16"/>
  <c r="AI39" i="16"/>
  <c r="AI44" i="16"/>
  <c r="AO39" i="16"/>
  <c r="AI43" i="16"/>
  <c r="AO45" i="16"/>
  <c r="AO46" i="16"/>
  <c r="AO47" i="16"/>
  <c r="AO44" i="16"/>
  <c r="AO40" i="16"/>
  <c r="AO42" i="16"/>
  <c r="V37" i="16"/>
  <c r="V49" i="16" s="1"/>
  <c r="AS42" i="16" s="1"/>
  <c r="AQ41" i="16"/>
  <c r="AQ40" i="16"/>
  <c r="AQ43" i="16"/>
  <c r="AQ42" i="16"/>
  <c r="AQ47" i="16"/>
  <c r="AQ48" i="16"/>
  <c r="AQ39" i="16"/>
  <c r="AE28" i="16"/>
  <c r="AE25" i="16"/>
  <c r="AE27" i="16"/>
  <c r="AE26" i="16"/>
  <c r="AM25" i="16"/>
  <c r="AM29" i="16"/>
  <c r="AM30" i="16"/>
  <c r="AM32" i="16"/>
  <c r="AM31" i="16"/>
  <c r="AM28" i="16"/>
  <c r="AM27" i="16"/>
  <c r="AM26" i="16"/>
  <c r="AA26" i="16"/>
  <c r="AA25" i="16"/>
  <c r="AG25" i="16"/>
  <c r="AG28" i="16"/>
  <c r="AG29" i="16"/>
  <c r="AG26" i="16"/>
  <c r="AG27" i="16"/>
  <c r="AI26" i="16"/>
  <c r="AI28" i="16"/>
  <c r="AI27" i="16"/>
  <c r="AI29" i="16"/>
  <c r="AI25" i="16"/>
  <c r="AI30" i="16"/>
  <c r="AQ32" i="16"/>
  <c r="AQ27" i="16"/>
  <c r="AQ34" i="16"/>
  <c r="AQ26" i="16"/>
  <c r="AQ29" i="16"/>
  <c r="AQ25" i="16"/>
  <c r="AQ30" i="16"/>
  <c r="AQ33" i="16"/>
  <c r="AQ31" i="16"/>
  <c r="AQ28" i="16"/>
  <c r="V23" i="16"/>
  <c r="V35" i="16" s="1"/>
  <c r="Y25" i="16"/>
  <c r="Y23" i="16" s="1"/>
  <c r="AO25" i="16"/>
  <c r="AO32" i="16"/>
  <c r="AO28" i="16"/>
  <c r="AO26" i="16"/>
  <c r="AO27" i="16"/>
  <c r="AO30" i="16"/>
  <c r="AO31" i="16"/>
  <c r="AO33" i="16"/>
  <c r="AO29" i="16"/>
  <c r="AC27" i="16"/>
  <c r="AC25" i="16"/>
  <c r="AC26" i="16"/>
  <c r="AK30" i="16"/>
  <c r="AK29" i="16"/>
  <c r="AK25" i="16"/>
  <c r="AK31" i="16"/>
  <c r="AK26" i="16"/>
  <c r="AK28" i="16"/>
  <c r="AK27" i="16"/>
  <c r="AE37" i="16"/>
  <c r="AE18" i="16"/>
  <c r="L28" i="16" s="1"/>
  <c r="AK37" i="16"/>
  <c r="AS46" i="16"/>
  <c r="J46" i="16" s="1"/>
  <c r="AS47" i="16"/>
  <c r="AS48" i="16"/>
  <c r="AS49" i="16"/>
  <c r="J49" i="16" s="1"/>
  <c r="AS44" i="16"/>
  <c r="AS45" i="16"/>
  <c r="AS41" i="16"/>
  <c r="AM37" i="16"/>
  <c r="Y37" i="16"/>
  <c r="AH18" i="16"/>
  <c r="AI11" i="16"/>
  <c r="AI6" i="16"/>
  <c r="AI5" i="16"/>
  <c r="AI10" i="16"/>
  <c r="AI8" i="16"/>
  <c r="AI14" i="16"/>
  <c r="AI7" i="16"/>
  <c r="AJ6" i="16"/>
  <c r="AJ15" i="16"/>
  <c r="AI9" i="16"/>
  <c r="AI15" i="16"/>
  <c r="AJ8" i="16"/>
  <c r="AI12" i="16"/>
  <c r="AJ10" i="16"/>
  <c r="AJ7" i="16"/>
  <c r="AI13" i="16"/>
  <c r="AJ9" i="16"/>
  <c r="AJ14" i="16"/>
  <c r="AJ12" i="16"/>
  <c r="AJ13" i="16"/>
  <c r="AJ11" i="16"/>
  <c r="AJ5" i="16"/>
  <c r="AG37" i="16"/>
  <c r="R42" i="14"/>
  <c r="R43" i="14"/>
  <c r="AC7" i="14"/>
  <c r="V27" i="14"/>
  <c r="AC25" i="14" s="1"/>
  <c r="AC5" i="14"/>
  <c r="AC4" i="14"/>
  <c r="AD4" i="14"/>
  <c r="AD6" i="14"/>
  <c r="AD5" i="14"/>
  <c r="AD11" i="14"/>
  <c r="AC11" i="14"/>
  <c r="AD13" i="14"/>
  <c r="AD12" i="14"/>
  <c r="AC14" i="14"/>
  <c r="AA26" i="14"/>
  <c r="AA25" i="14"/>
  <c r="AD7" i="14"/>
  <c r="AD14" i="14"/>
  <c r="V28" i="14"/>
  <c r="R39" i="14"/>
  <c r="P37" i="14"/>
  <c r="V25" i="14"/>
  <c r="R23" i="14"/>
  <c r="V31" i="14"/>
  <c r="V32" i="14"/>
  <c r="V34" i="14"/>
  <c r="V33" i="14"/>
  <c r="V29" i="14"/>
  <c r="V30" i="14"/>
  <c r="AG4" i="14"/>
  <c r="Y2" i="14"/>
  <c r="AC6" i="14"/>
  <c r="AD9" i="14"/>
  <c r="AD10" i="14"/>
  <c r="AB18" i="14"/>
  <c r="AC15" i="14"/>
  <c r="AD15" i="14"/>
  <c r="AC9" i="14"/>
  <c r="AD8" i="14"/>
  <c r="AC10" i="14"/>
  <c r="AC8" i="14"/>
  <c r="AC13" i="14"/>
  <c r="AC12" i="14"/>
  <c r="R34" i="10"/>
  <c r="R32" i="10"/>
  <c r="R33" i="10"/>
  <c r="T23" i="10"/>
  <c r="P25" i="10"/>
  <c r="N23" i="10"/>
  <c r="N43" i="10"/>
  <c r="P43" i="10" s="1"/>
  <c r="N41" i="10"/>
  <c r="P41" i="10" s="1"/>
  <c r="N44" i="10"/>
  <c r="P44" i="10" s="1"/>
  <c r="N40" i="10"/>
  <c r="P40" i="10" s="1"/>
  <c r="N39" i="10"/>
  <c r="N42" i="10"/>
  <c r="P42" i="10" s="1"/>
  <c r="P26" i="10"/>
  <c r="R31" i="10" s="1"/>
  <c r="AI17" i="4"/>
  <c r="O17" i="4" s="1"/>
  <c r="Q17" i="4" s="1"/>
  <c r="R17" i="4" s="1"/>
  <c r="AI13" i="4"/>
  <c r="O13" i="4" s="1"/>
  <c r="Q13" i="4" s="1"/>
  <c r="R13" i="4" s="1"/>
  <c r="Y9" i="4"/>
  <c r="AA9" i="4" s="1"/>
  <c r="AB9" i="4" s="1"/>
  <c r="O9" i="4"/>
  <c r="Q9" i="4" s="1"/>
  <c r="R9" i="4" s="1"/>
  <c r="AE7" i="5"/>
  <c r="N39" i="5"/>
  <c r="N42" i="5"/>
  <c r="P42" i="5" s="1"/>
  <c r="N44" i="5"/>
  <c r="P44" i="5" s="1"/>
  <c r="N40" i="5"/>
  <c r="P40" i="5" s="1"/>
  <c r="N43" i="5"/>
  <c r="P43" i="5" s="1"/>
  <c r="N41" i="5"/>
  <c r="P41" i="5" s="1"/>
  <c r="AE17" i="5"/>
  <c r="AE16" i="5"/>
  <c r="R19" i="6"/>
  <c r="R18" i="6"/>
  <c r="R17" i="6"/>
  <c r="AB14" i="6"/>
  <c r="AB10" i="6"/>
  <c r="AB17" i="6"/>
  <c r="AB15" i="6"/>
  <c r="AB19" i="6"/>
  <c r="AB18" i="6"/>
  <c r="AB16" i="6"/>
  <c r="R16" i="6"/>
  <c r="R14" i="6"/>
  <c r="R10" i="6"/>
  <c r="R7" i="6"/>
  <c r="AB8" i="6"/>
  <c r="AB7" i="6"/>
  <c r="R11" i="6"/>
  <c r="AB9" i="6"/>
  <c r="R5" i="6"/>
  <c r="R12" i="6"/>
  <c r="AB11" i="6"/>
  <c r="R6" i="6"/>
  <c r="AB5" i="6"/>
  <c r="R13" i="6"/>
  <c r="AB13" i="6"/>
  <c r="AB6" i="6"/>
  <c r="R15" i="6"/>
  <c r="AB12" i="6"/>
  <c r="R9" i="6"/>
  <c r="R8" i="6"/>
  <c r="T15" i="5"/>
  <c r="N30" i="5"/>
  <c r="P30" i="5" s="1"/>
  <c r="R35" i="5" s="1"/>
  <c r="N29" i="5"/>
  <c r="P29" i="5" s="1"/>
  <c r="R34" i="5" s="1"/>
  <c r="N26" i="5"/>
  <c r="N28" i="5"/>
  <c r="P28" i="5" s="1"/>
  <c r="N27" i="5"/>
  <c r="P27" i="5" s="1"/>
  <c r="N25" i="5"/>
  <c r="AI19" i="4"/>
  <c r="N39" i="4"/>
  <c r="N42" i="4"/>
  <c r="P42" i="4" s="1"/>
  <c r="N44" i="4"/>
  <c r="P44" i="4" s="1"/>
  <c r="N40" i="4"/>
  <c r="P40" i="4" s="1"/>
  <c r="N43" i="4"/>
  <c r="P43" i="4" s="1"/>
  <c r="N41" i="4"/>
  <c r="P41" i="4" s="1"/>
  <c r="C34" i="7"/>
  <c r="T26" i="7"/>
  <c r="T28" i="7"/>
  <c r="T27" i="7"/>
  <c r="T25" i="7"/>
  <c r="T23" i="7" s="1"/>
  <c r="C24" i="7"/>
  <c r="T31" i="7"/>
  <c r="T34" i="7"/>
  <c r="T32" i="7"/>
  <c r="T35" i="7"/>
  <c r="T33" i="7"/>
  <c r="T29" i="7"/>
  <c r="T30" i="7"/>
  <c r="AI15" i="4"/>
  <c r="T19" i="5"/>
  <c r="N30" i="4"/>
  <c r="P30" i="4" s="1"/>
  <c r="R35" i="4" s="1"/>
  <c r="N29" i="4"/>
  <c r="P29" i="4" s="1"/>
  <c r="N26" i="4"/>
  <c r="N28" i="4"/>
  <c r="P28" i="4" s="1"/>
  <c r="N27" i="4"/>
  <c r="P27" i="4" s="1"/>
  <c r="N25" i="4"/>
  <c r="AI7" i="4"/>
  <c r="AI8" i="4"/>
  <c r="AI6" i="4"/>
  <c r="AI12" i="4"/>
  <c r="AI11" i="4"/>
  <c r="AI5" i="4"/>
  <c r="AI16" i="4"/>
  <c r="AI14" i="4"/>
  <c r="AI10" i="4"/>
  <c r="AC20" i="5"/>
  <c r="AD14" i="5"/>
  <c r="AD18" i="5"/>
  <c r="AD16" i="5"/>
  <c r="AD12" i="5"/>
  <c r="AD7" i="5"/>
  <c r="AD17" i="5"/>
  <c r="AE18" i="5"/>
  <c r="AD19" i="5"/>
  <c r="AI18" i="4"/>
  <c r="U13" i="5"/>
  <c r="T13" i="5"/>
  <c r="S13" i="5"/>
  <c r="U12" i="5"/>
  <c r="R18" i="7"/>
  <c r="R19" i="7"/>
  <c r="AB12" i="7"/>
  <c r="AB6" i="7"/>
  <c r="AB18" i="7"/>
  <c r="R10" i="7"/>
  <c r="AB7" i="7"/>
  <c r="R5" i="7"/>
  <c r="AB10" i="7"/>
  <c r="AB5" i="7"/>
  <c r="R9" i="7"/>
  <c r="R17" i="7"/>
  <c r="R16" i="7"/>
  <c r="R15" i="7"/>
  <c r="R14" i="7"/>
  <c r="AB15" i="7"/>
  <c r="AB13" i="7"/>
  <c r="AB11" i="7"/>
  <c r="R6" i="7"/>
  <c r="R7" i="7"/>
  <c r="AB17" i="7"/>
  <c r="AB16" i="7"/>
  <c r="AB9" i="7"/>
  <c r="AB8" i="7"/>
  <c r="R12" i="7"/>
  <c r="R11" i="7"/>
  <c r="R13" i="7"/>
  <c r="AB14" i="7"/>
  <c r="AB19" i="7"/>
  <c r="R8" i="7"/>
  <c r="N24" i="8"/>
  <c r="N26" i="8"/>
  <c r="P26" i="8" s="1"/>
  <c r="N27" i="8"/>
  <c r="P27" i="8" s="1"/>
  <c r="R32" i="8" s="1"/>
  <c r="N25" i="8"/>
  <c r="N29" i="8"/>
  <c r="P29" i="8" s="1"/>
  <c r="R34" i="8" s="1"/>
  <c r="N28" i="8"/>
  <c r="P28" i="8" s="1"/>
  <c r="R33" i="8" s="1"/>
  <c r="AE13" i="5"/>
  <c r="AD13" i="5"/>
  <c r="AC13" i="5"/>
  <c r="AE12" i="5" s="1"/>
  <c r="AB10" i="8"/>
  <c r="AB5" i="8"/>
  <c r="R17" i="8"/>
  <c r="R16" i="8"/>
  <c r="R15" i="8"/>
  <c r="R14" i="8"/>
  <c r="R18" i="8"/>
  <c r="AB17" i="8"/>
  <c r="R13" i="8"/>
  <c r="R12" i="8"/>
  <c r="R19" i="8"/>
  <c r="AB16" i="8"/>
  <c r="AB14" i="8"/>
  <c r="AB15" i="8"/>
  <c r="AB13" i="8"/>
  <c r="AB11" i="8"/>
  <c r="AB19" i="8"/>
  <c r="AB18" i="8"/>
  <c r="R8" i="8"/>
  <c r="R7" i="8"/>
  <c r="R6" i="8"/>
  <c r="R11" i="8"/>
  <c r="AB6" i="8"/>
  <c r="R5" i="8"/>
  <c r="R9" i="8"/>
  <c r="AB12" i="8"/>
  <c r="R10" i="8"/>
  <c r="AB9" i="8"/>
  <c r="AB7" i="8"/>
  <c r="AB8" i="8"/>
  <c r="N25" i="7"/>
  <c r="N30" i="7"/>
  <c r="P30" i="7" s="1"/>
  <c r="R35" i="7" s="1"/>
  <c r="N29" i="7"/>
  <c r="P29" i="7" s="1"/>
  <c r="R34" i="7" s="1"/>
  <c r="N26" i="7"/>
  <c r="N27" i="7"/>
  <c r="P27" i="7" s="1"/>
  <c r="N28" i="7"/>
  <c r="P28" i="7" s="1"/>
  <c r="R33" i="7" s="1"/>
  <c r="AD11" i="5"/>
  <c r="AC11" i="5"/>
  <c r="AE5" i="5" s="1"/>
  <c r="AE20" i="5" s="1"/>
  <c r="L41" i="5" s="1"/>
  <c r="AE11" i="5"/>
  <c r="AE14" i="5"/>
  <c r="S20" i="5"/>
  <c r="T16" i="5"/>
  <c r="T7" i="5"/>
  <c r="T18" i="5"/>
  <c r="T14" i="5"/>
  <c r="T8" i="5"/>
  <c r="T9" i="5"/>
  <c r="T12" i="5"/>
  <c r="AD8" i="5"/>
  <c r="T37" i="4"/>
  <c r="U16" i="5"/>
  <c r="T23" i="4"/>
  <c r="C34" i="8"/>
  <c r="C24" i="8"/>
  <c r="T24" i="8"/>
  <c r="T22" i="8" s="1"/>
  <c r="T25" i="8"/>
  <c r="T30" i="8"/>
  <c r="T29" i="8"/>
  <c r="T27" i="8"/>
  <c r="T31" i="8"/>
  <c r="T32" i="8"/>
  <c r="T34" i="8"/>
  <c r="T33" i="8"/>
  <c r="T26" i="8"/>
  <c r="T28" i="8"/>
  <c r="S11" i="5"/>
  <c r="T11" i="5"/>
  <c r="U11" i="5"/>
  <c r="C24" i="6"/>
  <c r="T25" i="6"/>
  <c r="C34" i="6"/>
  <c r="T30" i="6"/>
  <c r="T26" i="6"/>
  <c r="T28" i="6"/>
  <c r="T29" i="6"/>
  <c r="T35" i="6"/>
  <c r="T31" i="6"/>
  <c r="T27" i="6"/>
  <c r="T32" i="6"/>
  <c r="T34" i="6"/>
  <c r="T33" i="6"/>
  <c r="U5" i="5"/>
  <c r="U20" i="5" s="1"/>
  <c r="L27" i="5" s="1"/>
  <c r="AE6" i="5"/>
  <c r="N30" i="6"/>
  <c r="P30" i="6" s="1"/>
  <c r="R35" i="6" s="1"/>
  <c r="N29" i="6"/>
  <c r="P29" i="6" s="1"/>
  <c r="N26" i="6"/>
  <c r="N28" i="6"/>
  <c r="P28" i="6" s="1"/>
  <c r="N27" i="6"/>
  <c r="P27" i="6" s="1"/>
  <c r="N25" i="6"/>
  <c r="AE10" i="5"/>
  <c r="T6" i="5"/>
  <c r="AE8" i="5"/>
  <c r="H43" i="18" l="1"/>
  <c r="BO8" i="18" s="1"/>
  <c r="H45" i="18"/>
  <c r="BO10" i="18" s="1"/>
  <c r="H47" i="18"/>
  <c r="BO12" i="18" s="1"/>
  <c r="L37" i="18"/>
  <c r="H49" i="18"/>
  <c r="BK58" i="18" s="1"/>
  <c r="H46" i="18"/>
  <c r="BS38" i="18" s="1"/>
  <c r="H42" i="18"/>
  <c r="BS27" i="18" s="1"/>
  <c r="H48" i="18"/>
  <c r="BK42" i="18" s="1"/>
  <c r="BS39" i="18"/>
  <c r="BS10" i="18"/>
  <c r="BS11" i="18"/>
  <c r="BS31" i="18"/>
  <c r="BS25" i="18"/>
  <c r="BS32" i="18"/>
  <c r="BS33" i="18"/>
  <c r="BS44" i="18"/>
  <c r="BS12" i="18"/>
  <c r="BS23" i="18"/>
  <c r="BO9" i="18"/>
  <c r="BK38" i="18"/>
  <c r="H23" i="18"/>
  <c r="BK8" i="18"/>
  <c r="BO4" i="18"/>
  <c r="BK4" i="18"/>
  <c r="BK5" i="18"/>
  <c r="BS20" i="18"/>
  <c r="BS16" i="18"/>
  <c r="BK32" i="18"/>
  <c r="BS9" i="18"/>
  <c r="BS7" i="18"/>
  <c r="BS8" i="18"/>
  <c r="BS26" i="18"/>
  <c r="BS36" i="18"/>
  <c r="BS14" i="18"/>
  <c r="BK49" i="18"/>
  <c r="BK17" i="18"/>
  <c r="BS4" i="18"/>
  <c r="BO5" i="18"/>
  <c r="BK14" i="18"/>
  <c r="BK25" i="18"/>
  <c r="BS6" i="18"/>
  <c r="BS5" i="18"/>
  <c r="BO6" i="18"/>
  <c r="BS19" i="18"/>
  <c r="BS15" i="18"/>
  <c r="AO37" i="16"/>
  <c r="AI37" i="16"/>
  <c r="J44" i="16"/>
  <c r="J42" i="16"/>
  <c r="J45" i="16"/>
  <c r="AS39" i="16"/>
  <c r="J39" i="16" s="1"/>
  <c r="AS43" i="16"/>
  <c r="J43" i="16" s="1"/>
  <c r="AS40" i="16"/>
  <c r="J40" i="16" s="1"/>
  <c r="V36" i="16"/>
  <c r="J41" i="16"/>
  <c r="J47" i="16"/>
  <c r="AQ37" i="16"/>
  <c r="J48" i="16"/>
  <c r="AC23" i="16"/>
  <c r="AI23" i="16"/>
  <c r="AQ23" i="16"/>
  <c r="AG23" i="16"/>
  <c r="AO23" i="16"/>
  <c r="AA23" i="16"/>
  <c r="AM23" i="16"/>
  <c r="AK23" i="16"/>
  <c r="V22" i="16"/>
  <c r="AS30" i="16"/>
  <c r="J30" i="16" s="1"/>
  <c r="AS27" i="16"/>
  <c r="J27" i="16" s="1"/>
  <c r="AS34" i="16"/>
  <c r="J34" i="16" s="1"/>
  <c r="AS35" i="16"/>
  <c r="J35" i="16" s="1"/>
  <c r="AS25" i="16"/>
  <c r="J25" i="16" s="1"/>
  <c r="AS33" i="16"/>
  <c r="J33" i="16" s="1"/>
  <c r="AS32" i="16"/>
  <c r="J32" i="16" s="1"/>
  <c r="AS26" i="16"/>
  <c r="J26" i="16" s="1"/>
  <c r="AS29" i="16"/>
  <c r="J29" i="16" s="1"/>
  <c r="AS31" i="16"/>
  <c r="J31" i="16" s="1"/>
  <c r="AS28" i="16"/>
  <c r="J28" i="16" s="1"/>
  <c r="AE23" i="16"/>
  <c r="AJ18" i="16"/>
  <c r="L41" i="16" s="1"/>
  <c r="AI18" i="16"/>
  <c r="L40" i="16" s="1"/>
  <c r="L23" i="16"/>
  <c r="L39" i="16"/>
  <c r="V42" i="14"/>
  <c r="AE41" i="14" s="1"/>
  <c r="AC27" i="14"/>
  <c r="AC26" i="14"/>
  <c r="AD18" i="14"/>
  <c r="L27" i="14" s="1"/>
  <c r="AC18" i="14"/>
  <c r="L26" i="14" s="1"/>
  <c r="AA23" i="14"/>
  <c r="AI25" i="14"/>
  <c r="AI28" i="14"/>
  <c r="AI30" i="14"/>
  <c r="AI27" i="14"/>
  <c r="AI29" i="14"/>
  <c r="AI26" i="14"/>
  <c r="V23" i="14"/>
  <c r="V35" i="14" s="1"/>
  <c r="V22" i="14" s="1"/>
  <c r="Y25" i="14"/>
  <c r="AJ4" i="14"/>
  <c r="AI4" i="14"/>
  <c r="AH4" i="14"/>
  <c r="AG28" i="14"/>
  <c r="AG26" i="14"/>
  <c r="AG25" i="14"/>
  <c r="AG29" i="14"/>
  <c r="AG27" i="14"/>
  <c r="L25" i="14"/>
  <c r="AE26" i="14"/>
  <c r="AE25" i="14"/>
  <c r="AE28" i="14"/>
  <c r="AE27" i="14"/>
  <c r="R37" i="14"/>
  <c r="V39" i="14"/>
  <c r="V48" i="14"/>
  <c r="V45" i="14"/>
  <c r="V44" i="14"/>
  <c r="V43" i="14"/>
  <c r="V47" i="14"/>
  <c r="V46" i="14"/>
  <c r="V40" i="14"/>
  <c r="AQ25" i="14"/>
  <c r="AQ29" i="14"/>
  <c r="AQ26" i="14"/>
  <c r="AQ32" i="14"/>
  <c r="AQ28" i="14"/>
  <c r="AQ31" i="14"/>
  <c r="AQ30" i="14"/>
  <c r="AQ27" i="14"/>
  <c r="AQ33" i="14"/>
  <c r="AQ34" i="14"/>
  <c r="AO29" i="14"/>
  <c r="AO26" i="14"/>
  <c r="AO27" i="14"/>
  <c r="AO25" i="14"/>
  <c r="AO33" i="14"/>
  <c r="AO31" i="14"/>
  <c r="AO30" i="14"/>
  <c r="AO32" i="14"/>
  <c r="AO28" i="14"/>
  <c r="AM31" i="14"/>
  <c r="AM26" i="14"/>
  <c r="AM25" i="14"/>
  <c r="AM30" i="14"/>
  <c r="AM29" i="14"/>
  <c r="AM28" i="14"/>
  <c r="AM27" i="14"/>
  <c r="AM32" i="14"/>
  <c r="V41" i="14"/>
  <c r="AK25" i="14"/>
  <c r="AK26" i="14"/>
  <c r="AK30" i="14"/>
  <c r="AK28" i="14"/>
  <c r="AK31" i="14"/>
  <c r="AK27" i="14"/>
  <c r="AK29" i="14"/>
  <c r="P39" i="10"/>
  <c r="R40" i="10" s="1"/>
  <c r="N37" i="10"/>
  <c r="R25" i="10"/>
  <c r="P23" i="10"/>
  <c r="R30" i="10"/>
  <c r="R29" i="10"/>
  <c r="R28" i="10"/>
  <c r="R27" i="10"/>
  <c r="R43" i="10"/>
  <c r="R26" i="10"/>
  <c r="R47" i="10"/>
  <c r="R49" i="10"/>
  <c r="R48" i="10"/>
  <c r="R46" i="10"/>
  <c r="R45" i="10"/>
  <c r="Y17" i="4"/>
  <c r="AA17" i="4" s="1"/>
  <c r="AB17" i="4" s="1"/>
  <c r="AC17" i="4" s="1"/>
  <c r="R33" i="4"/>
  <c r="R34" i="4"/>
  <c r="Y13" i="4"/>
  <c r="AA13" i="4" s="1"/>
  <c r="AB13" i="4" s="1"/>
  <c r="AC13" i="4" s="1"/>
  <c r="S6" i="8"/>
  <c r="S13" i="4"/>
  <c r="T16" i="7"/>
  <c r="S16" i="7"/>
  <c r="S17" i="4"/>
  <c r="AC15" i="6"/>
  <c r="S9" i="8"/>
  <c r="S13" i="8"/>
  <c r="U12" i="8" s="1"/>
  <c r="T13" i="8"/>
  <c r="S12" i="7"/>
  <c r="U18" i="7"/>
  <c r="S18" i="7"/>
  <c r="O19" i="4"/>
  <c r="Q19" i="4" s="1"/>
  <c r="R19" i="4" s="1"/>
  <c r="Y19" i="4"/>
  <c r="AA19" i="4" s="1"/>
  <c r="AB19" i="4" s="1"/>
  <c r="S15" i="6"/>
  <c r="AC9" i="4"/>
  <c r="R34" i="6"/>
  <c r="AD8" i="8"/>
  <c r="AC8" i="8"/>
  <c r="S11" i="8"/>
  <c r="U10" i="8" s="1"/>
  <c r="U11" i="8"/>
  <c r="AC15" i="8"/>
  <c r="S14" i="8"/>
  <c r="U13" i="8" s="1"/>
  <c r="T8" i="7"/>
  <c r="S8" i="7"/>
  <c r="AC16" i="7"/>
  <c r="AE15" i="7" s="1"/>
  <c r="S15" i="7"/>
  <c r="T14" i="7" s="1"/>
  <c r="S10" i="7"/>
  <c r="U8" i="7" s="1"/>
  <c r="Y16" i="4"/>
  <c r="AA16" i="4" s="1"/>
  <c r="AB16" i="4" s="1"/>
  <c r="O16" i="4"/>
  <c r="Q16" i="4" s="1"/>
  <c r="R16" i="4" s="1"/>
  <c r="R32" i="4"/>
  <c r="R48" i="4"/>
  <c r="R46" i="4"/>
  <c r="R45" i="4"/>
  <c r="R49" i="4"/>
  <c r="R47" i="4"/>
  <c r="R33" i="5"/>
  <c r="S13" i="6"/>
  <c r="AC7" i="6"/>
  <c r="AD9" i="6" s="1"/>
  <c r="AC19" i="6"/>
  <c r="AE16" i="6" s="1"/>
  <c r="AC19" i="7"/>
  <c r="AC18" i="7"/>
  <c r="AD17" i="7" s="1"/>
  <c r="Y5" i="4"/>
  <c r="AA5" i="4" s="1"/>
  <c r="AB5" i="4" s="1"/>
  <c r="AI3" i="4"/>
  <c r="O5" i="4"/>
  <c r="Q5" i="4" s="1"/>
  <c r="R5" i="4" s="1"/>
  <c r="P26" i="5"/>
  <c r="R31" i="5" s="1"/>
  <c r="AC5" i="6"/>
  <c r="T10" i="5"/>
  <c r="U8" i="5"/>
  <c r="S7" i="8"/>
  <c r="AD14" i="7"/>
  <c r="AC14" i="7"/>
  <c r="U8" i="6"/>
  <c r="S8" i="6"/>
  <c r="S6" i="6"/>
  <c r="AC17" i="6"/>
  <c r="R32" i="7"/>
  <c r="T10" i="8"/>
  <c r="S10" i="8"/>
  <c r="S8" i="8"/>
  <c r="S19" i="8"/>
  <c r="U17" i="8" s="1"/>
  <c r="T17" i="8"/>
  <c r="S17" i="8"/>
  <c r="T13" i="7"/>
  <c r="S13" i="7"/>
  <c r="U12" i="7" s="1"/>
  <c r="T6" i="7"/>
  <c r="S6" i="7"/>
  <c r="T5" i="7" s="1"/>
  <c r="T20" i="7" s="1"/>
  <c r="T21" i="7" s="1"/>
  <c r="S9" i="7"/>
  <c r="U7" i="7" s="1"/>
  <c r="AC12" i="7"/>
  <c r="AE11" i="7" s="1"/>
  <c r="O12" i="4"/>
  <c r="Q12" i="4" s="1"/>
  <c r="R12" i="4" s="1"/>
  <c r="Y12" i="4"/>
  <c r="AA12" i="4" s="1"/>
  <c r="AB12" i="4" s="1"/>
  <c r="U9" i="6"/>
  <c r="S9" i="6"/>
  <c r="AC11" i="6"/>
  <c r="AE10" i="6" s="1"/>
  <c r="S10" i="6"/>
  <c r="AC10" i="6"/>
  <c r="AD16" i="6" s="1"/>
  <c r="AD10" i="5"/>
  <c r="AD14" i="8"/>
  <c r="AC14" i="8"/>
  <c r="AD13" i="8" s="1"/>
  <c r="V20" i="5"/>
  <c r="L28" i="5" s="1"/>
  <c r="L25" i="5"/>
  <c r="AC9" i="8"/>
  <c r="AD9" i="8"/>
  <c r="AD16" i="8"/>
  <c r="AC16" i="8"/>
  <c r="AE15" i="8" s="1"/>
  <c r="S16" i="8"/>
  <c r="S7" i="7"/>
  <c r="S17" i="7"/>
  <c r="U15" i="7" s="1"/>
  <c r="AC6" i="7"/>
  <c r="AE6" i="7"/>
  <c r="O11" i="4"/>
  <c r="Q11" i="4" s="1"/>
  <c r="R11" i="4" s="1"/>
  <c r="Y11" i="4"/>
  <c r="AA11" i="4" s="1"/>
  <c r="AB11" i="4" s="1"/>
  <c r="P26" i="4"/>
  <c r="R31" i="4" s="1"/>
  <c r="P39" i="4"/>
  <c r="R44" i="4" s="1"/>
  <c r="N37" i="4"/>
  <c r="S7" i="6"/>
  <c r="R41" i="5"/>
  <c r="P25" i="6"/>
  <c r="N23" i="6"/>
  <c r="AE9" i="5"/>
  <c r="P26" i="7"/>
  <c r="R31" i="7" s="1"/>
  <c r="AE12" i="8"/>
  <c r="AC12" i="8"/>
  <c r="AD18" i="8"/>
  <c r="AC18" i="8"/>
  <c r="S12" i="8"/>
  <c r="T12" i="8"/>
  <c r="AC5" i="8"/>
  <c r="AC20" i="8" s="1"/>
  <c r="R25" i="8"/>
  <c r="P25" i="8"/>
  <c r="R30" i="8" s="1"/>
  <c r="T11" i="7"/>
  <c r="S11" i="7"/>
  <c r="U10" i="7" s="1"/>
  <c r="AC11" i="7"/>
  <c r="AD5" i="7"/>
  <c r="AD20" i="7" s="1"/>
  <c r="AD21" i="7" s="1"/>
  <c r="AC5" i="7"/>
  <c r="AC20" i="7" s="1"/>
  <c r="S19" i="7"/>
  <c r="U17" i="7" s="1"/>
  <c r="T19" i="7"/>
  <c r="Y18" i="4"/>
  <c r="AA18" i="4" s="1"/>
  <c r="AB18" i="4" s="1"/>
  <c r="O18" i="4"/>
  <c r="Q18" i="4" s="1"/>
  <c r="R18" i="4" s="1"/>
  <c r="Y6" i="4"/>
  <c r="AA6" i="4" s="1"/>
  <c r="AB6" i="4" s="1"/>
  <c r="O6" i="4"/>
  <c r="Q6" i="4" s="1"/>
  <c r="R6" i="4" s="1"/>
  <c r="Y15" i="4"/>
  <c r="AA15" i="4" s="1"/>
  <c r="AB15" i="4" s="1"/>
  <c r="O15" i="4"/>
  <c r="Q15" i="4" s="1"/>
  <c r="R15" i="4" s="1"/>
  <c r="N44" i="7"/>
  <c r="P44" i="7" s="1"/>
  <c r="N40" i="7"/>
  <c r="P40" i="7" s="1"/>
  <c r="N39" i="7"/>
  <c r="N43" i="7"/>
  <c r="P43" i="7" s="1"/>
  <c r="N41" i="7"/>
  <c r="P41" i="7" s="1"/>
  <c r="N42" i="7"/>
  <c r="P42" i="7" s="1"/>
  <c r="U9" i="5"/>
  <c r="AC12" i="6"/>
  <c r="S12" i="6"/>
  <c r="S14" i="6"/>
  <c r="T11" i="6" s="1"/>
  <c r="T14" i="6"/>
  <c r="AC14" i="6"/>
  <c r="R40" i="5"/>
  <c r="S9" i="4"/>
  <c r="AD7" i="8"/>
  <c r="AC7" i="8"/>
  <c r="AE5" i="8" s="1"/>
  <c r="AE20" i="8" s="1"/>
  <c r="L40" i="8" s="1"/>
  <c r="AE17" i="7"/>
  <c r="AC17" i="7"/>
  <c r="AE16" i="7" s="1"/>
  <c r="AD10" i="7"/>
  <c r="AC10" i="7"/>
  <c r="L39" i="5"/>
  <c r="AF20" i="5"/>
  <c r="L42" i="5" s="1"/>
  <c r="Y8" i="4"/>
  <c r="AA8" i="4" s="1"/>
  <c r="AB8" i="4" s="1"/>
  <c r="O8" i="4"/>
  <c r="Q8" i="4" s="1"/>
  <c r="R8" i="4" s="1"/>
  <c r="S5" i="6"/>
  <c r="U6" i="6" s="1"/>
  <c r="T5" i="6"/>
  <c r="R48" i="5"/>
  <c r="R46" i="5"/>
  <c r="R45" i="5"/>
  <c r="R44" i="5"/>
  <c r="R47" i="5"/>
  <c r="R49" i="5"/>
  <c r="R33" i="6"/>
  <c r="N44" i="6"/>
  <c r="P44" i="6" s="1"/>
  <c r="N40" i="6"/>
  <c r="P40" i="6" s="1"/>
  <c r="N43" i="6"/>
  <c r="P43" i="6" s="1"/>
  <c r="N41" i="6"/>
  <c r="P41" i="6" s="1"/>
  <c r="N42" i="6"/>
  <c r="P42" i="6" s="1"/>
  <c r="N39" i="6"/>
  <c r="T5" i="8"/>
  <c r="T20" i="8" s="1"/>
  <c r="L25" i="8" s="1"/>
  <c r="S5" i="8"/>
  <c r="S20" i="8" s="1"/>
  <c r="AE11" i="8"/>
  <c r="AD11" i="8"/>
  <c r="AC11" i="8"/>
  <c r="AC17" i="8"/>
  <c r="AE16" i="8" s="1"/>
  <c r="AD17" i="8"/>
  <c r="R31" i="8"/>
  <c r="AD8" i="7"/>
  <c r="AC8" i="7"/>
  <c r="AC15" i="7"/>
  <c r="AE13" i="7" s="1"/>
  <c r="S5" i="7"/>
  <c r="S20" i="7" s="1"/>
  <c r="Y10" i="4"/>
  <c r="AA10" i="4" s="1"/>
  <c r="AB10" i="4" s="1"/>
  <c r="O10" i="4"/>
  <c r="Q10" i="4" s="1"/>
  <c r="R10" i="4" s="1"/>
  <c r="O7" i="4"/>
  <c r="Q7" i="4" s="1"/>
  <c r="R7" i="4" s="1"/>
  <c r="Y7" i="4"/>
  <c r="AA7" i="4" s="1"/>
  <c r="AB7" i="4" s="1"/>
  <c r="P25" i="5"/>
  <c r="N23" i="5"/>
  <c r="U6" i="5"/>
  <c r="AC6" i="6"/>
  <c r="AD12" i="6" s="1"/>
  <c r="AC9" i="6"/>
  <c r="AE7" i="6" s="1"/>
  <c r="AC16" i="6"/>
  <c r="AE15" i="6" s="1"/>
  <c r="S18" i="6"/>
  <c r="T18" i="6"/>
  <c r="T15" i="8"/>
  <c r="S15" i="8"/>
  <c r="U14" i="8" s="1"/>
  <c r="AC8" i="6"/>
  <c r="AE6" i="6" s="1"/>
  <c r="R32" i="6"/>
  <c r="T23" i="6"/>
  <c r="AD19" i="8"/>
  <c r="AC19" i="8"/>
  <c r="AE17" i="8" s="1"/>
  <c r="AD10" i="8"/>
  <c r="AC10" i="8"/>
  <c r="AE7" i="8" s="1"/>
  <c r="AD13" i="7"/>
  <c r="AC13" i="7"/>
  <c r="AE12" i="7" s="1"/>
  <c r="U16" i="6"/>
  <c r="T16" i="6"/>
  <c r="S16" i="6"/>
  <c r="U15" i="6" s="1"/>
  <c r="S17" i="6"/>
  <c r="T17" i="6"/>
  <c r="U7" i="5"/>
  <c r="P26" i="6"/>
  <c r="R31" i="6" s="1"/>
  <c r="N42" i="8"/>
  <c r="P42" i="8" s="1"/>
  <c r="N40" i="8"/>
  <c r="P40" i="8" s="1"/>
  <c r="N38" i="8"/>
  <c r="N43" i="8"/>
  <c r="P43" i="8" s="1"/>
  <c r="N41" i="8"/>
  <c r="P41" i="8" s="1"/>
  <c r="N39" i="8"/>
  <c r="P39" i="8" s="1"/>
  <c r="N23" i="7"/>
  <c r="P25" i="7"/>
  <c r="AC6" i="8"/>
  <c r="AD5" i="8" s="1"/>
  <c r="AD20" i="8" s="1"/>
  <c r="L39" i="8" s="1"/>
  <c r="AC13" i="8"/>
  <c r="AE10" i="8" s="1"/>
  <c r="U18" i="8"/>
  <c r="S18" i="8"/>
  <c r="P24" i="8"/>
  <c r="N22" i="8"/>
  <c r="AD9" i="7"/>
  <c r="AC9" i="7"/>
  <c r="AE7" i="7" s="1"/>
  <c r="U14" i="7"/>
  <c r="S14" i="7"/>
  <c r="U13" i="7" s="1"/>
  <c r="AC7" i="7"/>
  <c r="AE5" i="7" s="1"/>
  <c r="AE20" i="7" s="1"/>
  <c r="AE21" i="7" s="1"/>
  <c r="L41" i="7" s="1"/>
  <c r="AD7" i="7"/>
  <c r="Y14" i="4"/>
  <c r="AA14" i="4" s="1"/>
  <c r="AB14" i="4" s="1"/>
  <c r="O14" i="4"/>
  <c r="Q14" i="4" s="1"/>
  <c r="R14" i="4" s="1"/>
  <c r="P25" i="4"/>
  <c r="N23" i="4"/>
  <c r="R32" i="5"/>
  <c r="AC13" i="6"/>
  <c r="AE9" i="6" s="1"/>
  <c r="S11" i="6"/>
  <c r="U7" i="6" s="1"/>
  <c r="U11" i="6"/>
  <c r="AD18" i="6"/>
  <c r="AC18" i="6"/>
  <c r="S19" i="6"/>
  <c r="U17" i="6" s="1"/>
  <c r="T19" i="6"/>
  <c r="N37" i="5"/>
  <c r="P39" i="5"/>
  <c r="R43" i="5" s="1"/>
  <c r="U10" i="5"/>
  <c r="BK16" i="18" l="1"/>
  <c r="BS45" i="18"/>
  <c r="BK43" i="18"/>
  <c r="BK24" i="18"/>
  <c r="BO14" i="18"/>
  <c r="BK33" i="18"/>
  <c r="BK28" i="18"/>
  <c r="BK31" i="18"/>
  <c r="BK39" i="18"/>
  <c r="BK44" i="18"/>
  <c r="BS28" i="18"/>
  <c r="BS22" i="18"/>
  <c r="BS18" i="18"/>
  <c r="BS37" i="18"/>
  <c r="BK26" i="18"/>
  <c r="BK18" i="18"/>
  <c r="BS35" i="18"/>
  <c r="BK30" i="18"/>
  <c r="BK56" i="18"/>
  <c r="BK7" i="18"/>
  <c r="BK13" i="18"/>
  <c r="BK22" i="18"/>
  <c r="BO13" i="18"/>
  <c r="BK36" i="18"/>
  <c r="BS43" i="18"/>
  <c r="BK59" i="18"/>
  <c r="BK29" i="18"/>
  <c r="BK21" i="18"/>
  <c r="BK37" i="18"/>
  <c r="BK53" i="18"/>
  <c r="BK48" i="18"/>
  <c r="BK57" i="18"/>
  <c r="BK55" i="18"/>
  <c r="BK47" i="18"/>
  <c r="BK9" i="18"/>
  <c r="BS30" i="18"/>
  <c r="BK52" i="18"/>
  <c r="BK12" i="18"/>
  <c r="BK41" i="18"/>
  <c r="BK20" i="18"/>
  <c r="BK46" i="18"/>
  <c r="BK11" i="18"/>
  <c r="BS47" i="18"/>
  <c r="BK51" i="18"/>
  <c r="BK27" i="18"/>
  <c r="BK35" i="18"/>
  <c r="BK54" i="18"/>
  <c r="BK15" i="18"/>
  <c r="BK10" i="18"/>
  <c r="BO7" i="18"/>
  <c r="BK40" i="18"/>
  <c r="BS13" i="18"/>
  <c r="BK23" i="18"/>
  <c r="H37" i="18"/>
  <c r="BK45" i="18"/>
  <c r="BS46" i="18"/>
  <c r="BK6" i="18"/>
  <c r="BS34" i="18"/>
  <c r="BK19" i="18"/>
  <c r="BK50" i="18"/>
  <c r="BK34" i="18"/>
  <c r="BO11" i="18"/>
  <c r="BS42" i="18"/>
  <c r="BS17" i="18"/>
  <c r="BS21" i="18"/>
  <c r="AS37" i="16"/>
  <c r="AS36" i="16" s="1"/>
  <c r="J37" i="16"/>
  <c r="H30" i="16"/>
  <c r="H32" i="16"/>
  <c r="H34" i="16"/>
  <c r="H25" i="16"/>
  <c r="H26" i="16"/>
  <c r="H27" i="16"/>
  <c r="H28" i="16"/>
  <c r="H31" i="16"/>
  <c r="H29" i="16"/>
  <c r="H35" i="16"/>
  <c r="H33" i="16"/>
  <c r="AS23" i="16"/>
  <c r="AS22" i="16" s="1"/>
  <c r="J23" i="16"/>
  <c r="AK18" i="16"/>
  <c r="L42" i="16" s="1"/>
  <c r="H49" i="16" s="1"/>
  <c r="H41" i="16"/>
  <c r="H40" i="16"/>
  <c r="H39" i="16"/>
  <c r="AE42" i="14"/>
  <c r="AE39" i="14"/>
  <c r="AE40" i="14"/>
  <c r="AC23" i="14"/>
  <c r="AE18" i="14"/>
  <c r="L28" i="14" s="1"/>
  <c r="L23" i="14" s="1"/>
  <c r="AA39" i="14"/>
  <c r="AA40" i="14"/>
  <c r="Y39" i="14"/>
  <c r="V37" i="14"/>
  <c r="V49" i="14" s="1"/>
  <c r="V36" i="14" s="1"/>
  <c r="AE23" i="14"/>
  <c r="AG23" i="14"/>
  <c r="AS28" i="14"/>
  <c r="J28" i="14" s="1"/>
  <c r="AS27" i="14"/>
  <c r="J27" i="14" s="1"/>
  <c r="AS35" i="14"/>
  <c r="J35" i="14" s="1"/>
  <c r="AS34" i="14"/>
  <c r="J34" i="14" s="1"/>
  <c r="AS32" i="14"/>
  <c r="J32" i="14" s="1"/>
  <c r="AS33" i="14"/>
  <c r="J33" i="14" s="1"/>
  <c r="AS30" i="14"/>
  <c r="J30" i="14" s="1"/>
  <c r="AS25" i="14"/>
  <c r="J25" i="14" s="1"/>
  <c r="H25" i="14" s="1"/>
  <c r="AS29" i="14"/>
  <c r="J29" i="14" s="1"/>
  <c r="AS26" i="14"/>
  <c r="J26" i="14" s="1"/>
  <c r="AS31" i="14"/>
  <c r="J31" i="14" s="1"/>
  <c r="AQ46" i="14"/>
  <c r="AQ47" i="14"/>
  <c r="AQ43" i="14"/>
  <c r="AQ41" i="14"/>
  <c r="AQ44" i="14"/>
  <c r="AQ42" i="14"/>
  <c r="AQ48" i="14"/>
  <c r="AQ40" i="14"/>
  <c r="AQ39" i="14"/>
  <c r="AQ45" i="14"/>
  <c r="AM23" i="14"/>
  <c r="AO23" i="14"/>
  <c r="AM43" i="14"/>
  <c r="AM41" i="14"/>
  <c r="AM40" i="14"/>
  <c r="AM46" i="14"/>
  <c r="AM42" i="14"/>
  <c r="AM39" i="14"/>
  <c r="AM44" i="14"/>
  <c r="AM45" i="14"/>
  <c r="AO39" i="14"/>
  <c r="AO44" i="14"/>
  <c r="AO47" i="14"/>
  <c r="AO43" i="14"/>
  <c r="AO45" i="14"/>
  <c r="AO42" i="14"/>
  <c r="AO40" i="14"/>
  <c r="AO41" i="14"/>
  <c r="AO46" i="14"/>
  <c r="AK23" i="14"/>
  <c r="AC41" i="14"/>
  <c r="AC39" i="14"/>
  <c r="AC40" i="14"/>
  <c r="AG39" i="14"/>
  <c r="AG40" i="14"/>
  <c r="AG43" i="14"/>
  <c r="AG42" i="14"/>
  <c r="AG41" i="14"/>
  <c r="AH18" i="14"/>
  <c r="AI10" i="14"/>
  <c r="AI11" i="14"/>
  <c r="AI14" i="14"/>
  <c r="AI9" i="14"/>
  <c r="AJ9" i="14"/>
  <c r="AJ7" i="14"/>
  <c r="AI12" i="14"/>
  <c r="AI15" i="14"/>
  <c r="AJ8" i="14"/>
  <c r="AJ15" i="14"/>
  <c r="AI8" i="14"/>
  <c r="AJ6" i="14"/>
  <c r="AJ10" i="14"/>
  <c r="AI6" i="14"/>
  <c r="AI13" i="14"/>
  <c r="AI7" i="14"/>
  <c r="AJ12" i="14"/>
  <c r="AI5" i="14"/>
  <c r="AJ5" i="14"/>
  <c r="AJ11" i="14"/>
  <c r="AJ14" i="14"/>
  <c r="AJ13" i="14"/>
  <c r="AI42" i="14"/>
  <c r="AI41" i="14"/>
  <c r="AI39" i="14"/>
  <c r="AI44" i="14"/>
  <c r="AI43" i="14"/>
  <c r="AI40" i="14"/>
  <c r="AK45" i="14"/>
  <c r="AK44" i="14"/>
  <c r="AK42" i="14"/>
  <c r="AK40" i="14"/>
  <c r="AK43" i="14"/>
  <c r="AK39" i="14"/>
  <c r="AK41" i="14"/>
  <c r="AQ23" i="14"/>
  <c r="Y23" i="14"/>
  <c r="AI23" i="14"/>
  <c r="V26" i="10"/>
  <c r="AA25" i="10" s="1"/>
  <c r="R42" i="10"/>
  <c r="V27" i="10"/>
  <c r="R41" i="10"/>
  <c r="R23" i="10"/>
  <c r="V25" i="10"/>
  <c r="V30" i="10"/>
  <c r="V34" i="10"/>
  <c r="V32" i="10"/>
  <c r="V33" i="10"/>
  <c r="V31" i="10"/>
  <c r="V29" i="10"/>
  <c r="R44" i="10"/>
  <c r="V28" i="10"/>
  <c r="R39" i="10"/>
  <c r="P37" i="10"/>
  <c r="R42" i="4"/>
  <c r="R26" i="4"/>
  <c r="R41" i="4"/>
  <c r="L26" i="7"/>
  <c r="S14" i="4"/>
  <c r="N36" i="8"/>
  <c r="P38" i="8"/>
  <c r="AE12" i="6"/>
  <c r="R40" i="8"/>
  <c r="AE8" i="7"/>
  <c r="L24" i="8"/>
  <c r="V20" i="8"/>
  <c r="L27" i="8" s="1"/>
  <c r="S15" i="4"/>
  <c r="R27" i="6"/>
  <c r="R25" i="6"/>
  <c r="R28" i="6"/>
  <c r="R30" i="6"/>
  <c r="P23" i="6"/>
  <c r="R29" i="6"/>
  <c r="U10" i="6"/>
  <c r="AD17" i="6"/>
  <c r="AE14" i="7"/>
  <c r="AD19" i="6"/>
  <c r="AD15" i="6"/>
  <c r="U16" i="7"/>
  <c r="R40" i="4"/>
  <c r="AE9" i="7"/>
  <c r="AE13" i="8"/>
  <c r="R42" i="5"/>
  <c r="V20" i="7"/>
  <c r="V21" i="7" s="1"/>
  <c r="L28" i="7" s="1"/>
  <c r="U5" i="8"/>
  <c r="U20" i="8" s="1"/>
  <c r="L26" i="8" s="1"/>
  <c r="R49" i="6"/>
  <c r="R47" i="6"/>
  <c r="R44" i="6"/>
  <c r="R46" i="6"/>
  <c r="R45" i="6"/>
  <c r="R48" i="6"/>
  <c r="R42" i="7"/>
  <c r="AF20" i="7"/>
  <c r="AF21" i="7" s="1"/>
  <c r="L42" i="7" s="1"/>
  <c r="T17" i="7"/>
  <c r="AE9" i="8"/>
  <c r="AC20" i="6"/>
  <c r="AE18" i="7"/>
  <c r="AD7" i="6"/>
  <c r="AC16" i="4"/>
  <c r="T18" i="7"/>
  <c r="T9" i="8"/>
  <c r="AC5" i="4"/>
  <c r="R30" i="5"/>
  <c r="R29" i="5"/>
  <c r="R28" i="5"/>
  <c r="R27" i="5"/>
  <c r="P23" i="5"/>
  <c r="R25" i="5"/>
  <c r="U16" i="8"/>
  <c r="L23" i="5"/>
  <c r="T8" i="8"/>
  <c r="T7" i="8"/>
  <c r="U9" i="8"/>
  <c r="AD13" i="6"/>
  <c r="R24" i="8"/>
  <c r="R26" i="8"/>
  <c r="P22" i="8"/>
  <c r="R27" i="8"/>
  <c r="V27" i="8" s="1"/>
  <c r="R29" i="8"/>
  <c r="R28" i="8"/>
  <c r="AD6" i="8"/>
  <c r="R39" i="8"/>
  <c r="U18" i="6"/>
  <c r="S7" i="4"/>
  <c r="AD15" i="7"/>
  <c r="S20" i="6"/>
  <c r="AE10" i="7"/>
  <c r="AD14" i="6"/>
  <c r="U12" i="6"/>
  <c r="AC6" i="4"/>
  <c r="AD11" i="7"/>
  <c r="L38" i="8"/>
  <c r="AF20" i="8"/>
  <c r="L41" i="8" s="1"/>
  <c r="AE18" i="8"/>
  <c r="AC11" i="4"/>
  <c r="T16" i="8"/>
  <c r="U8" i="8"/>
  <c r="AE5" i="6"/>
  <c r="AD19" i="7"/>
  <c r="AD16" i="7"/>
  <c r="AE8" i="8"/>
  <c r="U6" i="8"/>
  <c r="AC8" i="4"/>
  <c r="T12" i="6"/>
  <c r="L40" i="7"/>
  <c r="AE11" i="6"/>
  <c r="T6" i="6"/>
  <c r="AD5" i="6"/>
  <c r="AD20" i="6" s="1"/>
  <c r="AD21" i="6" s="1"/>
  <c r="T14" i="8"/>
  <c r="AE18" i="6"/>
  <c r="AE13" i="6"/>
  <c r="T18" i="8"/>
  <c r="AE6" i="8"/>
  <c r="R41" i="8"/>
  <c r="R26" i="6"/>
  <c r="V26" i="6" s="1"/>
  <c r="R43" i="4"/>
  <c r="S10" i="4"/>
  <c r="P39" i="6"/>
  <c r="R41" i="6" s="1"/>
  <c r="N37" i="6"/>
  <c r="U5" i="6"/>
  <c r="U20" i="6" s="1"/>
  <c r="U21" i="6" s="1"/>
  <c r="L27" i="6" s="1"/>
  <c r="AE14" i="6"/>
  <c r="P39" i="7"/>
  <c r="N37" i="7"/>
  <c r="S18" i="4"/>
  <c r="AD12" i="8"/>
  <c r="T7" i="6"/>
  <c r="S11" i="4"/>
  <c r="T7" i="7"/>
  <c r="AD10" i="6"/>
  <c r="AD11" i="6"/>
  <c r="AC12" i="4"/>
  <c r="T9" i="7"/>
  <c r="S5" i="4"/>
  <c r="U13" i="6"/>
  <c r="AD15" i="8"/>
  <c r="AC19" i="4"/>
  <c r="T12" i="7"/>
  <c r="AE17" i="6"/>
  <c r="AC7" i="4"/>
  <c r="S6" i="4"/>
  <c r="T15" i="6"/>
  <c r="R27" i="4"/>
  <c r="R25" i="4"/>
  <c r="V26" i="4" s="1"/>
  <c r="R28" i="4"/>
  <c r="R30" i="4"/>
  <c r="P23" i="4"/>
  <c r="R29" i="4"/>
  <c r="P23" i="7"/>
  <c r="R30" i="7"/>
  <c r="R29" i="7"/>
  <c r="R28" i="7"/>
  <c r="V28" i="7" s="1"/>
  <c r="R27" i="7"/>
  <c r="R25" i="7"/>
  <c r="R47" i="8"/>
  <c r="R43" i="8"/>
  <c r="R48" i="8"/>
  <c r="R45" i="8"/>
  <c r="R46" i="8"/>
  <c r="R44" i="8"/>
  <c r="U15" i="8"/>
  <c r="AD6" i="6"/>
  <c r="AC10" i="4"/>
  <c r="R42" i="6"/>
  <c r="S8" i="4"/>
  <c r="R40" i="7"/>
  <c r="AC18" i="4"/>
  <c r="AD6" i="7"/>
  <c r="AE14" i="8"/>
  <c r="S12" i="4"/>
  <c r="U9" i="7"/>
  <c r="T8" i="6"/>
  <c r="R26" i="5"/>
  <c r="T13" i="6"/>
  <c r="T10" i="7"/>
  <c r="S19" i="4"/>
  <c r="T6" i="8"/>
  <c r="R49" i="7"/>
  <c r="R48" i="7"/>
  <c r="R47" i="7"/>
  <c r="R44" i="7"/>
  <c r="R45" i="7"/>
  <c r="R46" i="7"/>
  <c r="AC14" i="4"/>
  <c r="AD8" i="6"/>
  <c r="U5" i="7"/>
  <c r="U20" i="7" s="1"/>
  <c r="U21" i="7" s="1"/>
  <c r="L27" i="7" s="1"/>
  <c r="R43" i="6"/>
  <c r="R39" i="4"/>
  <c r="P37" i="4"/>
  <c r="T9" i="6"/>
  <c r="P37" i="5"/>
  <c r="R39" i="5"/>
  <c r="V40" i="5" s="1"/>
  <c r="R42" i="8"/>
  <c r="AE8" i="6"/>
  <c r="R40" i="6"/>
  <c r="L37" i="5"/>
  <c r="U14" i="6"/>
  <c r="AC15" i="4"/>
  <c r="U11" i="7"/>
  <c r="R26" i="7"/>
  <c r="V26" i="7" s="1"/>
  <c r="T10" i="6"/>
  <c r="T20" i="6" s="1"/>
  <c r="T21" i="6" s="1"/>
  <c r="AD12" i="7"/>
  <c r="U6" i="7"/>
  <c r="T19" i="8"/>
  <c r="U7" i="8"/>
  <c r="AD18" i="7"/>
  <c r="S16" i="4"/>
  <c r="T15" i="7"/>
  <c r="T11" i="8"/>
  <c r="B37" i="18" l="1"/>
  <c r="B36" i="18"/>
  <c r="B38" i="18"/>
  <c r="BS7" i="16"/>
  <c r="BS11" i="16"/>
  <c r="H23" i="16"/>
  <c r="BS12" i="16"/>
  <c r="H47" i="16"/>
  <c r="BK41" i="16" s="1"/>
  <c r="L37" i="16"/>
  <c r="H42" i="16"/>
  <c r="BS13" i="16" s="1"/>
  <c r="H48" i="16"/>
  <c r="BK42" i="16" s="1"/>
  <c r="BK37" i="16"/>
  <c r="BK59" i="16"/>
  <c r="BK30" i="16"/>
  <c r="BK53" i="16"/>
  <c r="H46" i="16"/>
  <c r="BK40" i="16" s="1"/>
  <c r="H44" i="16"/>
  <c r="BK38" i="16" s="1"/>
  <c r="H43" i="16"/>
  <c r="BO8" i="16" s="1"/>
  <c r="H45" i="16"/>
  <c r="BK39" i="16" s="1"/>
  <c r="BS26" i="16"/>
  <c r="BS41" i="16"/>
  <c r="BK56" i="16"/>
  <c r="BK58" i="16"/>
  <c r="BK48" i="16"/>
  <c r="BK22" i="16"/>
  <c r="BK13" i="16"/>
  <c r="BS24" i="16"/>
  <c r="BK43" i="16"/>
  <c r="BO14" i="16"/>
  <c r="BS15" i="16"/>
  <c r="BS5" i="16"/>
  <c r="BO4" i="16"/>
  <c r="BS39" i="16"/>
  <c r="BS4" i="16"/>
  <c r="BK49" i="16"/>
  <c r="BS14" i="16"/>
  <c r="BK5" i="16"/>
  <c r="BS31" i="16"/>
  <c r="BS25" i="16"/>
  <c r="BS20" i="16"/>
  <c r="BK4" i="16"/>
  <c r="BS40" i="16"/>
  <c r="BO6" i="16"/>
  <c r="BS19" i="16"/>
  <c r="BS32" i="16"/>
  <c r="BS6" i="16"/>
  <c r="BS16" i="16"/>
  <c r="BS33" i="16"/>
  <c r="BS8" i="16"/>
  <c r="BO5" i="16"/>
  <c r="BS10" i="16"/>
  <c r="BS9" i="16"/>
  <c r="BK14" i="16"/>
  <c r="AE37" i="14"/>
  <c r="AI18" i="14"/>
  <c r="L40" i="14" s="1"/>
  <c r="AJ18" i="14"/>
  <c r="L41" i="14" s="1"/>
  <c r="AA37" i="14"/>
  <c r="AK37" i="14"/>
  <c r="H26" i="14"/>
  <c r="H33" i="14"/>
  <c r="H32" i="14"/>
  <c r="AI37" i="14"/>
  <c r="H27" i="14"/>
  <c r="H28" i="14"/>
  <c r="J23" i="14"/>
  <c r="L39" i="14"/>
  <c r="AC37" i="14"/>
  <c r="AQ37" i="14"/>
  <c r="Y37" i="14"/>
  <c r="H35" i="14"/>
  <c r="H31" i="14"/>
  <c r="AO37" i="14"/>
  <c r="H34" i="14"/>
  <c r="AS23" i="14"/>
  <c r="AS22" i="14" s="1"/>
  <c r="H30" i="14"/>
  <c r="AG37" i="14"/>
  <c r="AM37" i="14"/>
  <c r="H29" i="14"/>
  <c r="AS45" i="14"/>
  <c r="J45" i="14" s="1"/>
  <c r="AS44" i="14"/>
  <c r="J44" i="14" s="1"/>
  <c r="AS49" i="14"/>
  <c r="J49" i="14" s="1"/>
  <c r="AS47" i="14"/>
  <c r="J47" i="14" s="1"/>
  <c r="AS42" i="14"/>
  <c r="J42" i="14" s="1"/>
  <c r="AS41" i="14"/>
  <c r="J41" i="14" s="1"/>
  <c r="AS43" i="14"/>
  <c r="J43" i="14" s="1"/>
  <c r="AS39" i="14"/>
  <c r="AS40" i="14"/>
  <c r="J40" i="14" s="1"/>
  <c r="AS46" i="14"/>
  <c r="J46" i="14" s="1"/>
  <c r="AS48" i="14"/>
  <c r="J48" i="14" s="1"/>
  <c r="AA26" i="10"/>
  <c r="AA23" i="10" s="1"/>
  <c r="AE26" i="10"/>
  <c r="AE28" i="10"/>
  <c r="AE27" i="10"/>
  <c r="AE25" i="10"/>
  <c r="AK25" i="10"/>
  <c r="AK31" i="10"/>
  <c r="AK26" i="10"/>
  <c r="AK30" i="10"/>
  <c r="AK29" i="10"/>
  <c r="AK28" i="10"/>
  <c r="AK27" i="10"/>
  <c r="V41" i="10"/>
  <c r="AG29" i="10"/>
  <c r="AG28" i="10"/>
  <c r="AG27" i="10"/>
  <c r="AG26" i="10"/>
  <c r="AG25" i="10"/>
  <c r="AO31" i="10"/>
  <c r="AO29" i="10"/>
  <c r="AO28" i="10"/>
  <c r="AO26" i="10"/>
  <c r="AO27" i="10"/>
  <c r="AO25" i="10"/>
  <c r="AO33" i="10"/>
  <c r="AO30" i="10"/>
  <c r="AO32" i="10"/>
  <c r="AC26" i="10"/>
  <c r="AC27" i="10"/>
  <c r="AC25" i="10"/>
  <c r="R37" i="10"/>
  <c r="V39" i="10"/>
  <c r="V45" i="10"/>
  <c r="V43" i="10"/>
  <c r="V46" i="10"/>
  <c r="V47" i="10"/>
  <c r="V48" i="10"/>
  <c r="V44" i="10"/>
  <c r="AM28" i="10"/>
  <c r="AM31" i="10"/>
  <c r="AM27" i="10"/>
  <c r="AM32" i="10"/>
  <c r="AM29" i="10"/>
  <c r="AM25" i="10"/>
  <c r="AM30" i="10"/>
  <c r="AM26" i="10"/>
  <c r="AQ25" i="10"/>
  <c r="AQ31" i="10"/>
  <c r="AQ34" i="10"/>
  <c r="AQ30" i="10"/>
  <c r="AQ26" i="10"/>
  <c r="AQ29" i="10"/>
  <c r="AQ33" i="10"/>
  <c r="AQ28" i="10"/>
  <c r="AQ32" i="10"/>
  <c r="AQ27" i="10"/>
  <c r="AI30" i="10"/>
  <c r="AI27" i="10"/>
  <c r="AI25" i="10"/>
  <c r="AI26" i="10"/>
  <c r="AI29" i="10"/>
  <c r="AI28" i="10"/>
  <c r="V40" i="10"/>
  <c r="Y25" i="10"/>
  <c r="V23" i="10"/>
  <c r="V35" i="10" s="1"/>
  <c r="V42" i="10"/>
  <c r="V42" i="4"/>
  <c r="T19" i="4"/>
  <c r="AE5" i="4"/>
  <c r="U5" i="4"/>
  <c r="U13" i="4"/>
  <c r="AE11" i="4"/>
  <c r="AE14" i="4"/>
  <c r="AE17" i="4"/>
  <c r="AE18" i="4"/>
  <c r="AE7" i="4"/>
  <c r="T5" i="4"/>
  <c r="U17" i="4"/>
  <c r="AE6" i="4"/>
  <c r="U10" i="4"/>
  <c r="T11" i="4"/>
  <c r="U7" i="4"/>
  <c r="AE42" i="4"/>
  <c r="AE41" i="4"/>
  <c r="AE39" i="4"/>
  <c r="AE40" i="4"/>
  <c r="AA40" i="5"/>
  <c r="AA39" i="5"/>
  <c r="AA37" i="5" s="1"/>
  <c r="L26" i="6"/>
  <c r="AA26" i="4"/>
  <c r="AA25" i="4"/>
  <c r="AA23" i="4" s="1"/>
  <c r="U14" i="4"/>
  <c r="AE13" i="4"/>
  <c r="T12" i="4"/>
  <c r="AD19" i="4"/>
  <c r="R22" i="8"/>
  <c r="V24" i="8"/>
  <c r="V31" i="8"/>
  <c r="V29" i="8"/>
  <c r="V30" i="8"/>
  <c r="V32" i="8"/>
  <c r="V28" i="8"/>
  <c r="V33" i="8"/>
  <c r="U16" i="4"/>
  <c r="V41" i="4"/>
  <c r="T8" i="4"/>
  <c r="R39" i="7"/>
  <c r="P37" i="7"/>
  <c r="V20" i="6"/>
  <c r="V21" i="6" s="1"/>
  <c r="L28" i="6" s="1"/>
  <c r="R41" i="7"/>
  <c r="V41" i="7" s="1"/>
  <c r="AC20" i="4"/>
  <c r="AD17" i="4"/>
  <c r="AD13" i="4"/>
  <c r="AD9" i="4"/>
  <c r="AE9" i="4"/>
  <c r="AE16" i="4"/>
  <c r="V25" i="6"/>
  <c r="R23" i="6"/>
  <c r="V34" i="6"/>
  <c r="V31" i="6"/>
  <c r="V29" i="6"/>
  <c r="V33" i="6"/>
  <c r="V32" i="6"/>
  <c r="V30" i="6"/>
  <c r="U11" i="4"/>
  <c r="AA26" i="6"/>
  <c r="AA25" i="6"/>
  <c r="AD18" i="4"/>
  <c r="AD7" i="4"/>
  <c r="S20" i="4"/>
  <c r="T17" i="4"/>
  <c r="T9" i="4"/>
  <c r="T13" i="4"/>
  <c r="AD12" i="4"/>
  <c r="AD6" i="4"/>
  <c r="V25" i="5"/>
  <c r="R23" i="5"/>
  <c r="V34" i="5"/>
  <c r="V30" i="5"/>
  <c r="V33" i="5"/>
  <c r="V29" i="5"/>
  <c r="V32" i="5"/>
  <c r="V31" i="5"/>
  <c r="V42" i="7"/>
  <c r="AA26" i="7"/>
  <c r="AA25" i="7"/>
  <c r="AA23" i="7" s="1"/>
  <c r="AD10" i="4"/>
  <c r="R23" i="7"/>
  <c r="V25" i="7"/>
  <c r="V33" i="7"/>
  <c r="V32" i="7"/>
  <c r="V34" i="7"/>
  <c r="V31" i="7"/>
  <c r="V30" i="7"/>
  <c r="V29" i="7"/>
  <c r="AE12" i="4"/>
  <c r="AD11" i="4"/>
  <c r="T7" i="4"/>
  <c r="V40" i="4"/>
  <c r="T15" i="4"/>
  <c r="T14" i="4"/>
  <c r="L40" i="6"/>
  <c r="AD5" i="4"/>
  <c r="V27" i="6"/>
  <c r="AE10" i="4"/>
  <c r="V41" i="8"/>
  <c r="AE24" i="8"/>
  <c r="AE22" i="8" s="1"/>
  <c r="AE26" i="8"/>
  <c r="AE25" i="8"/>
  <c r="AE27" i="8"/>
  <c r="U15" i="4"/>
  <c r="R37" i="5"/>
  <c r="V39" i="5"/>
  <c r="V47" i="5"/>
  <c r="V46" i="5"/>
  <c r="V45" i="5"/>
  <c r="V43" i="5"/>
  <c r="V44" i="5"/>
  <c r="V48" i="5"/>
  <c r="V40" i="7"/>
  <c r="V27" i="7"/>
  <c r="V28" i="4"/>
  <c r="R39" i="6"/>
  <c r="V42" i="6" s="1"/>
  <c r="P37" i="6"/>
  <c r="V41" i="5"/>
  <c r="AD8" i="4"/>
  <c r="R43" i="7"/>
  <c r="V26" i="8"/>
  <c r="V27" i="5"/>
  <c r="AE28" i="7"/>
  <c r="AE26" i="7"/>
  <c r="AE27" i="7"/>
  <c r="AE25" i="7"/>
  <c r="AE23" i="7" s="1"/>
  <c r="T18" i="4"/>
  <c r="AE8" i="4"/>
  <c r="V28" i="5"/>
  <c r="S21" i="7"/>
  <c r="L25" i="7" s="1"/>
  <c r="AD14" i="4"/>
  <c r="V26" i="5"/>
  <c r="U12" i="4"/>
  <c r="U8" i="4"/>
  <c r="V27" i="4"/>
  <c r="T6" i="4"/>
  <c r="U18" i="4"/>
  <c r="T10" i="4"/>
  <c r="V39" i="8"/>
  <c r="V42" i="5"/>
  <c r="L22" i="8"/>
  <c r="V40" i="6"/>
  <c r="AE15" i="4"/>
  <c r="V39" i="4"/>
  <c r="R37" i="4"/>
  <c r="V48" i="4"/>
  <c r="V43" i="4"/>
  <c r="V47" i="4"/>
  <c r="V46" i="4"/>
  <c r="V45" i="4"/>
  <c r="V44" i="4"/>
  <c r="U9" i="4"/>
  <c r="V25" i="4"/>
  <c r="R23" i="4"/>
  <c r="V34" i="4"/>
  <c r="V31" i="4"/>
  <c r="V33" i="4"/>
  <c r="V29" i="4"/>
  <c r="V30" i="4"/>
  <c r="V32" i="4"/>
  <c r="AC21" i="7"/>
  <c r="L39" i="7" s="1"/>
  <c r="T16" i="4"/>
  <c r="AD15" i="4"/>
  <c r="U6" i="4"/>
  <c r="AE20" i="6"/>
  <c r="AE21" i="6" s="1"/>
  <c r="L41" i="6" s="1"/>
  <c r="L36" i="8"/>
  <c r="V25" i="8"/>
  <c r="AD16" i="4"/>
  <c r="V28" i="6"/>
  <c r="P36" i="8"/>
  <c r="R38" i="8"/>
  <c r="V40" i="8" s="1"/>
  <c r="BK29" i="16" l="1"/>
  <c r="BK11" i="16"/>
  <c r="BK15" i="16"/>
  <c r="BK34" i="16"/>
  <c r="BK7" i="16"/>
  <c r="BK21" i="16"/>
  <c r="BK24" i="16"/>
  <c r="BS27" i="16"/>
  <c r="BS34" i="16"/>
  <c r="BK51" i="16"/>
  <c r="BS42" i="16"/>
  <c r="BK6" i="16"/>
  <c r="BS21" i="16"/>
  <c r="BK23" i="16"/>
  <c r="BO7" i="16"/>
  <c r="BS17" i="16"/>
  <c r="BK28" i="16"/>
  <c r="BK44" i="16"/>
  <c r="BS22" i="16"/>
  <c r="BO13" i="16"/>
  <c r="BK32" i="16"/>
  <c r="BS28" i="16"/>
  <c r="BK16" i="16"/>
  <c r="BK57" i="16"/>
  <c r="BK12" i="16"/>
  <c r="BS43" i="16"/>
  <c r="BS35" i="16"/>
  <c r="BK36" i="16"/>
  <c r="BK47" i="16"/>
  <c r="BO10" i="16"/>
  <c r="BS47" i="16"/>
  <c r="BS30" i="16"/>
  <c r="BK54" i="16"/>
  <c r="BK46" i="16"/>
  <c r="BK10" i="16"/>
  <c r="BS46" i="16"/>
  <c r="BK35" i="16"/>
  <c r="BS18" i="16"/>
  <c r="BS38" i="16"/>
  <c r="BK20" i="16"/>
  <c r="BK18" i="16"/>
  <c r="BO12" i="16"/>
  <c r="BS45" i="16"/>
  <c r="BK31" i="16"/>
  <c r="BK45" i="16"/>
  <c r="BK52" i="16"/>
  <c r="BK55" i="16"/>
  <c r="BS29" i="16"/>
  <c r="BS36" i="16"/>
  <c r="BS37" i="16"/>
  <c r="BK33" i="16"/>
  <c r="BK9" i="16"/>
  <c r="BK26" i="16"/>
  <c r="BK50" i="16"/>
  <c r="BO11" i="16"/>
  <c r="H37" i="16"/>
  <c r="BK8" i="16"/>
  <c r="BS44" i="16"/>
  <c r="BS23" i="16"/>
  <c r="BO9" i="16"/>
  <c r="BK25" i="16"/>
  <c r="BK17" i="16"/>
  <c r="BK27" i="16"/>
  <c r="BK19" i="16"/>
  <c r="AK18" i="14"/>
  <c r="L42" i="14" s="1"/>
  <c r="H49" i="14" s="1"/>
  <c r="BK59" i="14" s="1"/>
  <c r="H23" i="14"/>
  <c r="AS37" i="14"/>
  <c r="AS36" i="14" s="1"/>
  <c r="J39" i="14"/>
  <c r="J37" i="14" s="1"/>
  <c r="AI23" i="10"/>
  <c r="Y23" i="10"/>
  <c r="AM23" i="10"/>
  <c r="AO23" i="10"/>
  <c r="AS26" i="10"/>
  <c r="J26" i="10" s="1"/>
  <c r="AS31" i="10"/>
  <c r="J31" i="10" s="1"/>
  <c r="AS29" i="10"/>
  <c r="J29" i="10" s="1"/>
  <c r="AS25" i="10"/>
  <c r="J25" i="10" s="1"/>
  <c r="AS28" i="10"/>
  <c r="J28" i="10" s="1"/>
  <c r="AS30" i="10"/>
  <c r="J30" i="10" s="1"/>
  <c r="AS35" i="10"/>
  <c r="J35" i="10" s="1"/>
  <c r="AS27" i="10"/>
  <c r="J27" i="10" s="1"/>
  <c r="AS32" i="10"/>
  <c r="J32" i="10" s="1"/>
  <c r="AS33" i="10"/>
  <c r="J33" i="10" s="1"/>
  <c r="AS34" i="10"/>
  <c r="J34" i="10" s="1"/>
  <c r="AA40" i="10"/>
  <c r="AA39" i="10"/>
  <c r="AI40" i="10"/>
  <c r="AI39" i="10"/>
  <c r="AI41" i="10"/>
  <c r="AI43" i="10"/>
  <c r="AI42" i="10"/>
  <c r="AI44" i="10"/>
  <c r="AC23" i="10"/>
  <c r="AQ41" i="10"/>
  <c r="AQ48" i="10"/>
  <c r="AQ46" i="10"/>
  <c r="AQ40" i="10"/>
  <c r="AQ45" i="10"/>
  <c r="AQ39" i="10"/>
  <c r="AQ44" i="10"/>
  <c r="AQ47" i="10"/>
  <c r="AQ43" i="10"/>
  <c r="AQ42" i="10"/>
  <c r="AO42" i="10"/>
  <c r="AO41" i="10"/>
  <c r="AO40" i="10"/>
  <c r="AO46" i="10"/>
  <c r="AO45" i="10"/>
  <c r="AO44" i="10"/>
  <c r="AO39" i="10"/>
  <c r="AO47" i="10"/>
  <c r="AO43" i="10"/>
  <c r="AC41" i="10"/>
  <c r="AC40" i="10"/>
  <c r="AC39" i="10"/>
  <c r="AM41" i="10"/>
  <c r="AM40" i="10"/>
  <c r="AM42" i="10"/>
  <c r="AM39" i="10"/>
  <c r="AM45" i="10"/>
  <c r="AM46" i="10"/>
  <c r="AM43" i="10"/>
  <c r="AM44" i="10"/>
  <c r="AE23" i="10"/>
  <c r="AK23" i="10"/>
  <c r="AE39" i="10"/>
  <c r="AE41" i="10"/>
  <c r="AE40" i="10"/>
  <c r="AE42" i="10"/>
  <c r="AQ23" i="10"/>
  <c r="AG40" i="10"/>
  <c r="AG39" i="10"/>
  <c r="AG42" i="10"/>
  <c r="AG43" i="10"/>
  <c r="AG41" i="10"/>
  <c r="V22" i="10"/>
  <c r="AK40" i="10"/>
  <c r="AK39" i="10"/>
  <c r="AK45" i="10"/>
  <c r="AK43" i="10"/>
  <c r="AK44" i="10"/>
  <c r="AK42" i="10"/>
  <c r="AK41" i="10"/>
  <c r="AG23" i="10"/>
  <c r="V37" i="10"/>
  <c r="V49" i="10" s="1"/>
  <c r="V36" i="10" s="1"/>
  <c r="Y39" i="10"/>
  <c r="AE20" i="4"/>
  <c r="L41" i="4" s="1"/>
  <c r="U20" i="4"/>
  <c r="L27" i="4" s="1"/>
  <c r="T20" i="4"/>
  <c r="L26" i="4" s="1"/>
  <c r="AC39" i="8"/>
  <c r="AC40" i="8"/>
  <c r="AC38" i="8"/>
  <c r="AC36" i="8" s="1"/>
  <c r="AE42" i="6"/>
  <c r="AE41" i="6"/>
  <c r="AE39" i="6"/>
  <c r="AE40" i="6"/>
  <c r="AE27" i="4"/>
  <c r="AE26" i="4"/>
  <c r="AE28" i="4"/>
  <c r="AE25" i="4"/>
  <c r="AE23" i="4" s="1"/>
  <c r="AD20" i="4"/>
  <c r="L40" i="4" s="1"/>
  <c r="AE39" i="7"/>
  <c r="AE37" i="7" s="1"/>
  <c r="AE40" i="7"/>
  <c r="AE42" i="7"/>
  <c r="AE41" i="7"/>
  <c r="AK30" i="6"/>
  <c r="AK26" i="6"/>
  <c r="AK29" i="6"/>
  <c r="AK28" i="6"/>
  <c r="AK27" i="6"/>
  <c r="AK25" i="6"/>
  <c r="AK31" i="6"/>
  <c r="L23" i="7"/>
  <c r="AF20" i="6"/>
  <c r="AF21" i="6" s="1"/>
  <c r="L42" i="6" s="1"/>
  <c r="AO42" i="5"/>
  <c r="AO41" i="5"/>
  <c r="AO40" i="5"/>
  <c r="AO46" i="5"/>
  <c r="AO39" i="5"/>
  <c r="AO37" i="5" s="1"/>
  <c r="AO44" i="5"/>
  <c r="AO47" i="5"/>
  <c r="AO43" i="5"/>
  <c r="AO45" i="5"/>
  <c r="AC25" i="6"/>
  <c r="AC23" i="6" s="1"/>
  <c r="AC26" i="6"/>
  <c r="AC27" i="6"/>
  <c r="AM32" i="5"/>
  <c r="AM29" i="5"/>
  <c r="AM25" i="5"/>
  <c r="AM23" i="5" s="1"/>
  <c r="AM31" i="5"/>
  <c r="AM28" i="5"/>
  <c r="AM26" i="5"/>
  <c r="AM27" i="5"/>
  <c r="AM30" i="5"/>
  <c r="AE28" i="6"/>
  <c r="AE25" i="6"/>
  <c r="AE23" i="6" s="1"/>
  <c r="AE26" i="6"/>
  <c r="AE27" i="6"/>
  <c r="AA25" i="8"/>
  <c r="AA24" i="8"/>
  <c r="AA22" i="8" s="1"/>
  <c r="AK31" i="4"/>
  <c r="AK28" i="4"/>
  <c r="AK26" i="4"/>
  <c r="AK29" i="4"/>
  <c r="AK27" i="4"/>
  <c r="AK25" i="4"/>
  <c r="AK30" i="4"/>
  <c r="AM43" i="4"/>
  <c r="AM40" i="4"/>
  <c r="AM39" i="4"/>
  <c r="AM46" i="4"/>
  <c r="AM41" i="4"/>
  <c r="AM42" i="4"/>
  <c r="AM45" i="4"/>
  <c r="AM44" i="4"/>
  <c r="AE28" i="5"/>
  <c r="AE26" i="5"/>
  <c r="AE27" i="5"/>
  <c r="AE25" i="5"/>
  <c r="AE23" i="5" s="1"/>
  <c r="AQ44" i="5"/>
  <c r="AQ45" i="5"/>
  <c r="AQ42" i="5"/>
  <c r="AQ41" i="5"/>
  <c r="AQ48" i="5"/>
  <c r="AQ40" i="5"/>
  <c r="AQ39" i="5"/>
  <c r="AQ37" i="5" s="1"/>
  <c r="AQ46" i="5"/>
  <c r="AQ47" i="5"/>
  <c r="AQ43" i="5"/>
  <c r="AA39" i="4"/>
  <c r="AA40" i="4"/>
  <c r="AO25" i="5"/>
  <c r="AO23" i="5" s="1"/>
  <c r="AO30" i="5"/>
  <c r="AO31" i="5"/>
  <c r="AO29" i="5"/>
  <c r="AO28" i="5"/>
  <c r="AO33" i="5"/>
  <c r="AO26" i="5"/>
  <c r="AO32" i="5"/>
  <c r="AO27" i="5"/>
  <c r="AA23" i="6"/>
  <c r="AG29" i="6"/>
  <c r="AG28" i="6"/>
  <c r="AG26" i="6"/>
  <c r="AG27" i="6"/>
  <c r="AG25" i="6"/>
  <c r="L39" i="4"/>
  <c r="AK25" i="8"/>
  <c r="AK26" i="8"/>
  <c r="AK28" i="8"/>
  <c r="AK30" i="8"/>
  <c r="AK27" i="8"/>
  <c r="AK29" i="8"/>
  <c r="AK24" i="8"/>
  <c r="AK22" i="8" s="1"/>
  <c r="V41" i="6"/>
  <c r="AI41" i="5"/>
  <c r="AI42" i="5"/>
  <c r="AI40" i="5"/>
  <c r="AI39" i="5"/>
  <c r="AI37" i="5" s="1"/>
  <c r="AI43" i="5"/>
  <c r="AI44" i="5"/>
  <c r="AO29" i="7"/>
  <c r="AO26" i="7"/>
  <c r="AO28" i="7"/>
  <c r="AO27" i="7"/>
  <c r="AO33" i="7"/>
  <c r="AO25" i="7"/>
  <c r="AO23" i="7" s="1"/>
  <c r="AO32" i="7"/>
  <c r="AO31" i="7"/>
  <c r="AO30" i="7"/>
  <c r="AG43" i="4"/>
  <c r="AG40" i="4"/>
  <c r="AG41" i="4"/>
  <c r="AG42" i="4"/>
  <c r="AG39" i="4"/>
  <c r="Y25" i="7"/>
  <c r="V23" i="7"/>
  <c r="V35" i="7" s="1"/>
  <c r="V22" i="7"/>
  <c r="AM25" i="8"/>
  <c r="AM24" i="8"/>
  <c r="AM22" i="8" s="1"/>
  <c r="AM30" i="8"/>
  <c r="AM29" i="8"/>
  <c r="AM28" i="8"/>
  <c r="AM31" i="8"/>
  <c r="AM27" i="8"/>
  <c r="AM26" i="8"/>
  <c r="V23" i="4"/>
  <c r="V35" i="4" s="1"/>
  <c r="V22" i="4"/>
  <c r="Y25" i="4"/>
  <c r="AQ39" i="4"/>
  <c r="AQ41" i="4"/>
  <c r="AQ42" i="4"/>
  <c r="AQ43" i="4"/>
  <c r="AQ44" i="4"/>
  <c r="AQ48" i="4"/>
  <c r="AQ45" i="4"/>
  <c r="AQ40" i="4"/>
  <c r="AQ47" i="4"/>
  <c r="AQ46" i="4"/>
  <c r="AC41" i="5"/>
  <c r="AC40" i="5"/>
  <c r="AC39" i="5"/>
  <c r="AC37" i="5" s="1"/>
  <c r="AK40" i="5"/>
  <c r="AK41" i="5"/>
  <c r="AK39" i="5"/>
  <c r="AK37" i="5" s="1"/>
  <c r="AK45" i="5"/>
  <c r="AK43" i="5"/>
  <c r="AK42" i="5"/>
  <c r="AK44" i="5"/>
  <c r="AC21" i="6"/>
  <c r="L39" i="6" s="1"/>
  <c r="AG25" i="7"/>
  <c r="AG23" i="7" s="1"/>
  <c r="AG26" i="7"/>
  <c r="AG29" i="7"/>
  <c r="AG28" i="7"/>
  <c r="AG27" i="7"/>
  <c r="Y24" i="8"/>
  <c r="V21" i="8"/>
  <c r="V22" i="8"/>
  <c r="V34" i="8" s="1"/>
  <c r="S21" i="6"/>
  <c r="L25" i="6" s="1"/>
  <c r="AO43" i="4"/>
  <c r="AO40" i="4"/>
  <c r="AO47" i="4"/>
  <c r="AO46" i="4"/>
  <c r="AO41" i="4"/>
  <c r="AO42" i="4"/>
  <c r="AO44" i="4"/>
  <c r="AO45" i="4"/>
  <c r="AO39" i="4"/>
  <c r="AE41" i="8"/>
  <c r="AE40" i="8"/>
  <c r="AE39" i="8"/>
  <c r="AE38" i="8"/>
  <c r="AE36" i="8" s="1"/>
  <c r="AI29" i="5"/>
  <c r="AI28" i="5"/>
  <c r="AI27" i="5"/>
  <c r="AI25" i="5"/>
  <c r="AI23" i="5" s="1"/>
  <c r="AI30" i="5"/>
  <c r="AI26" i="5"/>
  <c r="AC39" i="4"/>
  <c r="AC40" i="4"/>
  <c r="AC41" i="4"/>
  <c r="AC27" i="7"/>
  <c r="AC26" i="7"/>
  <c r="AC25" i="7"/>
  <c r="AC23" i="7" s="1"/>
  <c r="AG41" i="5"/>
  <c r="AG39" i="5"/>
  <c r="AG37" i="5" s="1"/>
  <c r="AG42" i="5"/>
  <c r="AG40" i="5"/>
  <c r="AG43" i="5"/>
  <c r="AQ28" i="5"/>
  <c r="AQ25" i="5"/>
  <c r="AQ23" i="5" s="1"/>
  <c r="AQ31" i="5"/>
  <c r="AQ26" i="5"/>
  <c r="AQ34" i="5"/>
  <c r="AQ30" i="5"/>
  <c r="AQ33" i="5"/>
  <c r="AQ29" i="5"/>
  <c r="AQ27" i="5"/>
  <c r="AQ32" i="5"/>
  <c r="L25" i="4"/>
  <c r="AQ30" i="6"/>
  <c r="AQ25" i="6"/>
  <c r="AQ28" i="6"/>
  <c r="AQ31" i="6"/>
  <c r="AQ27" i="6"/>
  <c r="AQ26" i="6"/>
  <c r="AQ34" i="6"/>
  <c r="AQ33" i="6"/>
  <c r="AQ32" i="6"/>
  <c r="AQ29" i="6"/>
  <c r="AM30" i="4"/>
  <c r="AM26" i="4"/>
  <c r="AM29" i="4"/>
  <c r="AM32" i="4"/>
  <c r="AM27" i="4"/>
  <c r="AM28" i="4"/>
  <c r="AM31" i="4"/>
  <c r="AM25" i="4"/>
  <c r="AC25" i="4"/>
  <c r="AC26" i="4"/>
  <c r="AC27" i="4"/>
  <c r="AA40" i="7"/>
  <c r="AA39" i="7"/>
  <c r="AA37" i="7" s="1"/>
  <c r="AM43" i="5"/>
  <c r="AM42" i="5"/>
  <c r="AM41" i="5"/>
  <c r="AM40" i="5"/>
  <c r="AM39" i="5"/>
  <c r="AM37" i="5" s="1"/>
  <c r="AM46" i="5"/>
  <c r="AM45" i="5"/>
  <c r="AM44" i="5"/>
  <c r="AI25" i="7"/>
  <c r="AI23" i="7" s="1"/>
  <c r="AI28" i="7"/>
  <c r="AI26" i="7"/>
  <c r="AI30" i="7"/>
  <c r="AI27" i="7"/>
  <c r="AI29" i="7"/>
  <c r="AK26" i="5"/>
  <c r="AK29" i="5"/>
  <c r="AK28" i="5"/>
  <c r="AK25" i="5"/>
  <c r="AK23" i="5" s="1"/>
  <c r="AK30" i="5"/>
  <c r="AK31" i="5"/>
  <c r="AK27" i="5"/>
  <c r="Y25" i="5"/>
  <c r="V23" i="5"/>
  <c r="V35" i="5" s="1"/>
  <c r="V22" i="5"/>
  <c r="AI28" i="6"/>
  <c r="AI25" i="6"/>
  <c r="AI29" i="6"/>
  <c r="AI30" i="6"/>
  <c r="AI27" i="6"/>
  <c r="AI26" i="6"/>
  <c r="V23" i="6"/>
  <c r="V35" i="6" s="1"/>
  <c r="V22" i="6"/>
  <c r="Y25" i="6"/>
  <c r="AE37" i="4"/>
  <c r="AC41" i="7"/>
  <c r="AC40" i="7"/>
  <c r="AC39" i="7"/>
  <c r="AC37" i="7" s="1"/>
  <c r="AA38" i="8"/>
  <c r="AA36" i="8" s="1"/>
  <c r="AA39" i="8"/>
  <c r="AI29" i="4"/>
  <c r="AI28" i="4"/>
  <c r="AI30" i="4"/>
  <c r="AI25" i="4"/>
  <c r="AI26" i="4"/>
  <c r="AI27" i="4"/>
  <c r="AA40" i="6"/>
  <c r="AA39" i="6"/>
  <c r="AQ31" i="8"/>
  <c r="AQ25" i="8"/>
  <c r="AQ24" i="8"/>
  <c r="AQ22" i="8" s="1"/>
  <c r="AQ29" i="8"/>
  <c r="AQ28" i="8"/>
  <c r="AQ33" i="8"/>
  <c r="AQ30" i="8"/>
  <c r="AQ26" i="8"/>
  <c r="AQ27" i="8"/>
  <c r="AQ32" i="8"/>
  <c r="AI44" i="4"/>
  <c r="AI39" i="4"/>
  <c r="AI41" i="4"/>
  <c r="AI40" i="4"/>
  <c r="AI42" i="4"/>
  <c r="AI43" i="4"/>
  <c r="V37" i="4"/>
  <c r="V49" i="4" s="1"/>
  <c r="V36" i="4"/>
  <c r="Y39" i="4"/>
  <c r="AC25" i="5"/>
  <c r="AC23" i="5" s="1"/>
  <c r="AC27" i="5"/>
  <c r="AC26" i="5"/>
  <c r="V37" i="5"/>
  <c r="V49" i="5" s="1"/>
  <c r="Y39" i="5"/>
  <c r="V36" i="5"/>
  <c r="AQ30" i="7"/>
  <c r="AQ29" i="7"/>
  <c r="AQ28" i="7"/>
  <c r="AQ26" i="7"/>
  <c r="AQ27" i="7"/>
  <c r="AQ33" i="7"/>
  <c r="AQ25" i="7"/>
  <c r="AQ23" i="7" s="1"/>
  <c r="AQ32" i="7"/>
  <c r="AQ34" i="7"/>
  <c r="AQ31" i="7"/>
  <c r="AM30" i="6"/>
  <c r="AM29" i="6"/>
  <c r="AM31" i="6"/>
  <c r="AM28" i="6"/>
  <c r="AM25" i="6"/>
  <c r="AM27" i="6"/>
  <c r="AM32" i="6"/>
  <c r="AM26" i="6"/>
  <c r="AG27" i="8"/>
  <c r="AG25" i="8"/>
  <c r="AG24" i="8"/>
  <c r="AG22" i="8" s="1"/>
  <c r="AG28" i="8"/>
  <c r="AG26" i="8"/>
  <c r="AQ34" i="4"/>
  <c r="AQ33" i="4"/>
  <c r="AQ30" i="4"/>
  <c r="AQ28" i="4"/>
  <c r="AQ31" i="4"/>
  <c r="AQ29" i="4"/>
  <c r="AQ26" i="4"/>
  <c r="AQ32" i="4"/>
  <c r="AQ25" i="4"/>
  <c r="AQ27" i="4"/>
  <c r="AI27" i="8"/>
  <c r="AI28" i="8"/>
  <c r="AI29" i="8"/>
  <c r="AI26" i="8"/>
  <c r="AI25" i="8"/>
  <c r="AI24" i="8"/>
  <c r="AI22" i="8" s="1"/>
  <c r="L37" i="7"/>
  <c r="R36" i="8"/>
  <c r="V38" i="8"/>
  <c r="V43" i="8"/>
  <c r="V42" i="8"/>
  <c r="V46" i="8"/>
  <c r="V47" i="8"/>
  <c r="V45" i="8"/>
  <c r="V44" i="8"/>
  <c r="AE41" i="5"/>
  <c r="AE39" i="5"/>
  <c r="AE37" i="5" s="1"/>
  <c r="AE40" i="5"/>
  <c r="AE42" i="5"/>
  <c r="R37" i="6"/>
  <c r="V39" i="6"/>
  <c r="V46" i="6"/>
  <c r="V45" i="6"/>
  <c r="V43" i="6"/>
  <c r="V44" i="6"/>
  <c r="V48" i="6"/>
  <c r="V47" i="6"/>
  <c r="AK28" i="7"/>
  <c r="AK27" i="7"/>
  <c r="AK30" i="7"/>
  <c r="AK26" i="7"/>
  <c r="AK29" i="7"/>
  <c r="AK31" i="7"/>
  <c r="AK25" i="7"/>
  <c r="AK23" i="7" s="1"/>
  <c r="AG29" i="4"/>
  <c r="AG28" i="4"/>
  <c r="AG27" i="4"/>
  <c r="AG25" i="4"/>
  <c r="AG26" i="4"/>
  <c r="AO33" i="4"/>
  <c r="AO32" i="4"/>
  <c r="AO28" i="4"/>
  <c r="AO27" i="4"/>
  <c r="AO31" i="4"/>
  <c r="AO30" i="4"/>
  <c r="AO29" i="4"/>
  <c r="AO26" i="4"/>
  <c r="AO25" i="4"/>
  <c r="AK44" i="4"/>
  <c r="AK43" i="4"/>
  <c r="AK41" i="4"/>
  <c r="AK40" i="4"/>
  <c r="AK42" i="4"/>
  <c r="AK39" i="4"/>
  <c r="AK45" i="4"/>
  <c r="AA26" i="5"/>
  <c r="AA25" i="5"/>
  <c r="AA23" i="5" s="1"/>
  <c r="AC24" i="8"/>
  <c r="AC22" i="8" s="1"/>
  <c r="AC26" i="8"/>
  <c r="AC25" i="8"/>
  <c r="AM28" i="7"/>
  <c r="AM27" i="7"/>
  <c r="AM25" i="7"/>
  <c r="AM23" i="7" s="1"/>
  <c r="AM26" i="7"/>
  <c r="AM32" i="7"/>
  <c r="AM31" i="7"/>
  <c r="AM29" i="7"/>
  <c r="AM30" i="7"/>
  <c r="AG29" i="5"/>
  <c r="AG27" i="5"/>
  <c r="AG25" i="5"/>
  <c r="AG23" i="5" s="1"/>
  <c r="AG26" i="5"/>
  <c r="AG28" i="5"/>
  <c r="AO33" i="6"/>
  <c r="AO28" i="6"/>
  <c r="AO30" i="6"/>
  <c r="AO32" i="6"/>
  <c r="AO29" i="6"/>
  <c r="AO27" i="6"/>
  <c r="AO31" i="6"/>
  <c r="AO26" i="6"/>
  <c r="AO25" i="6"/>
  <c r="R37" i="7"/>
  <c r="V39" i="7"/>
  <c r="V46" i="7"/>
  <c r="V47" i="7"/>
  <c r="V48" i="7"/>
  <c r="V44" i="7"/>
  <c r="V43" i="7"/>
  <c r="V45" i="7"/>
  <c r="AO26" i="8"/>
  <c r="AO32" i="8"/>
  <c r="AO24" i="8"/>
  <c r="AO22" i="8" s="1"/>
  <c r="AO31" i="8"/>
  <c r="AO25" i="8"/>
  <c r="AO28" i="8"/>
  <c r="AO29" i="8"/>
  <c r="AO30" i="8"/>
  <c r="AO27" i="8"/>
  <c r="B38" i="16" l="1"/>
  <c r="B37" i="16"/>
  <c r="B36" i="16"/>
  <c r="H48" i="14"/>
  <c r="BK47" i="14" s="1"/>
  <c r="H46" i="14"/>
  <c r="BK50" i="14" s="1"/>
  <c r="H43" i="14"/>
  <c r="BS35" i="14" s="1"/>
  <c r="L37" i="14"/>
  <c r="H44" i="14"/>
  <c r="BO9" i="14" s="1"/>
  <c r="H47" i="14"/>
  <c r="BK28" i="14" s="1"/>
  <c r="H45" i="14"/>
  <c r="BO10" i="14" s="1"/>
  <c r="H40" i="14"/>
  <c r="BS15" i="14" s="1"/>
  <c r="BO14" i="14"/>
  <c r="H41" i="14"/>
  <c r="BS20" i="14" s="1"/>
  <c r="H39" i="14"/>
  <c r="BS14" i="14" s="1"/>
  <c r="BK48" i="14"/>
  <c r="BK30" i="14"/>
  <c r="BK43" i="14"/>
  <c r="BK22" i="14"/>
  <c r="BK56" i="14"/>
  <c r="BK13" i="14"/>
  <c r="BK58" i="14"/>
  <c r="BK53" i="14"/>
  <c r="BK37" i="14"/>
  <c r="H42" i="14"/>
  <c r="AA37" i="10"/>
  <c r="AC37" i="10"/>
  <c r="AG37" i="10"/>
  <c r="AE37" i="10"/>
  <c r="Y37" i="10"/>
  <c r="J23" i="10"/>
  <c r="AS41" i="10"/>
  <c r="J41" i="10" s="1"/>
  <c r="AS40" i="10"/>
  <c r="J40" i="10" s="1"/>
  <c r="AS42" i="10"/>
  <c r="J42" i="10" s="1"/>
  <c r="AS46" i="10"/>
  <c r="J46" i="10" s="1"/>
  <c r="AS47" i="10"/>
  <c r="J47" i="10" s="1"/>
  <c r="AS39" i="10"/>
  <c r="J39" i="10" s="1"/>
  <c r="AS48" i="10"/>
  <c r="J48" i="10" s="1"/>
  <c r="AS44" i="10"/>
  <c r="J44" i="10" s="1"/>
  <c r="AS45" i="10"/>
  <c r="J45" i="10" s="1"/>
  <c r="AS49" i="10"/>
  <c r="J49" i="10" s="1"/>
  <c r="AS43" i="10"/>
  <c r="J43" i="10" s="1"/>
  <c r="AQ37" i="10"/>
  <c r="AI37" i="10"/>
  <c r="AK37" i="10"/>
  <c r="AM37" i="10"/>
  <c r="AO37" i="10"/>
  <c r="AS23" i="10"/>
  <c r="AS22" i="10" s="1"/>
  <c r="AG23" i="4"/>
  <c r="AO23" i="4"/>
  <c r="AC37" i="4"/>
  <c r="V20" i="4"/>
  <c r="L28" i="4" s="1"/>
  <c r="L23" i="4" s="1"/>
  <c r="AF20" i="4"/>
  <c r="L42" i="4" s="1"/>
  <c r="L37" i="4" s="1"/>
  <c r="J27" i="8"/>
  <c r="AI40" i="7"/>
  <c r="AI42" i="7"/>
  <c r="AI41" i="7"/>
  <c r="AI43" i="7"/>
  <c r="AI39" i="7"/>
  <c r="AI37" i="7" s="1"/>
  <c r="AI44" i="7"/>
  <c r="AM39" i="7"/>
  <c r="AM37" i="7" s="1"/>
  <c r="AM43" i="7"/>
  <c r="AM46" i="7"/>
  <c r="AM42" i="7"/>
  <c r="AM45" i="7"/>
  <c r="AM44" i="7"/>
  <c r="AM40" i="7"/>
  <c r="AM41" i="7"/>
  <c r="AM39" i="8"/>
  <c r="AM42" i="8"/>
  <c r="AM45" i="8"/>
  <c r="AM44" i="8"/>
  <c r="AM38" i="8"/>
  <c r="AM36" i="8" s="1"/>
  <c r="AM41" i="8"/>
  <c r="AM43" i="8"/>
  <c r="AM40" i="8"/>
  <c r="L23" i="6"/>
  <c r="Y23" i="4"/>
  <c r="AO42" i="6"/>
  <c r="AO40" i="6"/>
  <c r="AO41" i="6"/>
  <c r="AO43" i="6"/>
  <c r="AO39" i="6"/>
  <c r="AO46" i="6"/>
  <c r="AO47" i="6"/>
  <c r="AO45" i="6"/>
  <c r="AO44" i="6"/>
  <c r="AG40" i="7"/>
  <c r="AG39" i="7"/>
  <c r="AG37" i="7" s="1"/>
  <c r="AG42" i="7"/>
  <c r="AG43" i="7"/>
  <c r="AG41" i="7"/>
  <c r="J29" i="5"/>
  <c r="AI43" i="6"/>
  <c r="AI42" i="6"/>
  <c r="AI40" i="6"/>
  <c r="AI41" i="6"/>
  <c r="AI39" i="6"/>
  <c r="AI44" i="6"/>
  <c r="AO44" i="8"/>
  <c r="AO39" i="8"/>
  <c r="AO42" i="8"/>
  <c r="AO38" i="8"/>
  <c r="AO36" i="8" s="1"/>
  <c r="AO41" i="8"/>
  <c r="AO43" i="8"/>
  <c r="AO40" i="8"/>
  <c r="AO45" i="8"/>
  <c r="AO46" i="8"/>
  <c r="Y37" i="4"/>
  <c r="AI23" i="4"/>
  <c r="AC23" i="4"/>
  <c r="AM23" i="4"/>
  <c r="Y22" i="8"/>
  <c r="J30" i="7"/>
  <c r="AS28" i="7"/>
  <c r="J28" i="7" s="1"/>
  <c r="H28" i="7" s="1"/>
  <c r="AS30" i="7"/>
  <c r="AS35" i="7"/>
  <c r="J35" i="7" s="1"/>
  <c r="AS27" i="7"/>
  <c r="AS32" i="7"/>
  <c r="J32" i="7" s="1"/>
  <c r="H32" i="7" s="1"/>
  <c r="AS34" i="7"/>
  <c r="J34" i="7" s="1"/>
  <c r="H34" i="7" s="1"/>
  <c r="AS25" i="7"/>
  <c r="AS23" i="7" s="1"/>
  <c r="AS33" i="7"/>
  <c r="J33" i="7" s="1"/>
  <c r="AS31" i="7"/>
  <c r="J31" i="7" s="1"/>
  <c r="H31" i="7" s="1"/>
  <c r="AS26" i="7"/>
  <c r="J26" i="7" s="1"/>
  <c r="AS29" i="7"/>
  <c r="AA37" i="4"/>
  <c r="AO23" i="6"/>
  <c r="J33" i="6"/>
  <c r="AK37" i="4"/>
  <c r="AK43" i="6"/>
  <c r="AK39" i="6"/>
  <c r="AK42" i="6"/>
  <c r="AK45" i="6"/>
  <c r="AK40" i="6"/>
  <c r="AK41" i="6"/>
  <c r="AK44" i="6"/>
  <c r="V36" i="8"/>
  <c r="V48" i="8" s="1"/>
  <c r="Y38" i="8"/>
  <c r="V35" i="8"/>
  <c r="AI23" i="6"/>
  <c r="J34" i="5"/>
  <c r="L37" i="6"/>
  <c r="J31" i="8"/>
  <c r="J25" i="7"/>
  <c r="Y23" i="7"/>
  <c r="AS22" i="7" s="1"/>
  <c r="J29" i="6"/>
  <c r="AM37" i="4"/>
  <c r="AG42" i="6"/>
  <c r="AG41" i="6"/>
  <c r="AG40" i="6"/>
  <c r="AG43" i="6"/>
  <c r="AG39" i="6"/>
  <c r="AG37" i="6" s="1"/>
  <c r="AI38" i="8"/>
  <c r="AI36" i="8" s="1"/>
  <c r="AI41" i="8"/>
  <c r="AI43" i="8"/>
  <c r="AI40" i="8"/>
  <c r="AI39" i="8"/>
  <c r="AI42" i="8"/>
  <c r="AS42" i="4"/>
  <c r="J42" i="4" s="1"/>
  <c r="AS46" i="4"/>
  <c r="J46" i="4" s="1"/>
  <c r="AS41" i="4"/>
  <c r="J41" i="4" s="1"/>
  <c r="AS44" i="4"/>
  <c r="J44" i="4" s="1"/>
  <c r="AS48" i="4"/>
  <c r="J48" i="4" s="1"/>
  <c r="AS47" i="4"/>
  <c r="AS43" i="4"/>
  <c r="AS39" i="4"/>
  <c r="J39" i="4" s="1"/>
  <c r="AS45" i="4"/>
  <c r="J45" i="4" s="1"/>
  <c r="AS40" i="4"/>
  <c r="J40" i="4" s="1"/>
  <c r="AS49" i="4"/>
  <c r="J49" i="4" s="1"/>
  <c r="J47" i="4"/>
  <c r="AG37" i="4"/>
  <c r="AQ41" i="7"/>
  <c r="AQ43" i="7"/>
  <c r="AQ46" i="7"/>
  <c r="AQ40" i="7"/>
  <c r="AQ39" i="7"/>
  <c r="AQ37" i="7" s="1"/>
  <c r="AQ44" i="7"/>
  <c r="AQ47" i="7"/>
  <c r="AQ48" i="7"/>
  <c r="AQ42" i="7"/>
  <c r="AQ45" i="7"/>
  <c r="AO42" i="7"/>
  <c r="AO41" i="7"/>
  <c r="AO46" i="7"/>
  <c r="AO43" i="7"/>
  <c r="AO45" i="7"/>
  <c r="AO44" i="7"/>
  <c r="AO39" i="7"/>
  <c r="AO37" i="7" s="1"/>
  <c r="AO47" i="7"/>
  <c r="AO40" i="7"/>
  <c r="AM43" i="6"/>
  <c r="AM40" i="6"/>
  <c r="AM41" i="6"/>
  <c r="AM45" i="6"/>
  <c r="AM39" i="6"/>
  <c r="AM44" i="6"/>
  <c r="AM42" i="6"/>
  <c r="AM46" i="6"/>
  <c r="AK38" i="8"/>
  <c r="AK36" i="8" s="1"/>
  <c r="AK41" i="8"/>
  <c r="AK40" i="8"/>
  <c r="AK42" i="8"/>
  <c r="AK44" i="8"/>
  <c r="AK43" i="8"/>
  <c r="AK39" i="8"/>
  <c r="AQ23" i="4"/>
  <c r="AA37" i="6"/>
  <c r="Y23" i="6"/>
  <c r="J32" i="4"/>
  <c r="AQ23" i="6"/>
  <c r="AO37" i="4"/>
  <c r="AQ37" i="4"/>
  <c r="J30" i="8"/>
  <c r="J47" i="5"/>
  <c r="Y39" i="6"/>
  <c r="V37" i="6"/>
  <c r="V49" i="6" s="1"/>
  <c r="V36" i="6" s="1"/>
  <c r="J29" i="7"/>
  <c r="AC41" i="6"/>
  <c r="AC40" i="6"/>
  <c r="AC39" i="6"/>
  <c r="V36" i="7"/>
  <c r="V37" i="7"/>
  <c r="V49" i="7" s="1"/>
  <c r="Y39" i="7"/>
  <c r="AS44" i="5"/>
  <c r="J44" i="5" s="1"/>
  <c r="AS42" i="5"/>
  <c r="J42" i="5" s="1"/>
  <c r="H42" i="5" s="1"/>
  <c r="AS43" i="5"/>
  <c r="AS46" i="5"/>
  <c r="J46" i="5" s="1"/>
  <c r="AS41" i="5"/>
  <c r="J41" i="5" s="1"/>
  <c r="AS40" i="5"/>
  <c r="J40" i="5" s="1"/>
  <c r="H40" i="5" s="1"/>
  <c r="AS47" i="5"/>
  <c r="AS48" i="5"/>
  <c r="J48" i="5" s="1"/>
  <c r="AS39" i="5"/>
  <c r="AS37" i="5" s="1"/>
  <c r="AS45" i="5"/>
  <c r="J45" i="5" s="1"/>
  <c r="AS49" i="5"/>
  <c r="J49" i="5" s="1"/>
  <c r="J33" i="8"/>
  <c r="AS31" i="6"/>
  <c r="J31" i="6" s="1"/>
  <c r="H31" i="6" s="1"/>
  <c r="AS33" i="6"/>
  <c r="AS30" i="6"/>
  <c r="J30" i="6" s="1"/>
  <c r="AS29" i="6"/>
  <c r="AS28" i="6"/>
  <c r="J28" i="6" s="1"/>
  <c r="AS26" i="6"/>
  <c r="J26" i="6" s="1"/>
  <c r="AS25" i="6"/>
  <c r="AS34" i="6"/>
  <c r="AS35" i="6"/>
  <c r="J35" i="6" s="1"/>
  <c r="AS32" i="6"/>
  <c r="J32" i="6" s="1"/>
  <c r="H32" i="6" s="1"/>
  <c r="AS27" i="6"/>
  <c r="AS29" i="5"/>
  <c r="AS33" i="5"/>
  <c r="J33" i="5" s="1"/>
  <c r="AS26" i="5"/>
  <c r="AS28" i="5"/>
  <c r="J28" i="5" s="1"/>
  <c r="AS35" i="5"/>
  <c r="J35" i="5" s="1"/>
  <c r="AS30" i="5"/>
  <c r="J30" i="5" s="1"/>
  <c r="AS27" i="5"/>
  <c r="J27" i="5" s="1"/>
  <c r="AS31" i="5"/>
  <c r="AS34" i="5"/>
  <c r="AS25" i="5"/>
  <c r="AS23" i="5" s="1"/>
  <c r="AS32" i="5"/>
  <c r="J32" i="5" s="1"/>
  <c r="H32" i="5" s="1"/>
  <c r="J43" i="5"/>
  <c r="AS33" i="8"/>
  <c r="AS27" i="8"/>
  <c r="AS32" i="8"/>
  <c r="J32" i="8" s="1"/>
  <c r="AS31" i="8"/>
  <c r="AS30" i="8"/>
  <c r="AS24" i="8"/>
  <c r="AS22" i="8" s="1"/>
  <c r="AS29" i="8"/>
  <c r="J29" i="8" s="1"/>
  <c r="AS34" i="8"/>
  <c r="J34" i="8" s="1"/>
  <c r="AS26" i="8"/>
  <c r="J26" i="8" s="1"/>
  <c r="AS25" i="8"/>
  <c r="J25" i="8" s="1"/>
  <c r="AS28" i="8"/>
  <c r="J28" i="8" s="1"/>
  <c r="J43" i="4"/>
  <c r="AK23" i="6"/>
  <c r="J33" i="4"/>
  <c r="AG39" i="8"/>
  <c r="AG41" i="8"/>
  <c r="AG42" i="8"/>
  <c r="AG40" i="8"/>
  <c r="AG38" i="8"/>
  <c r="AG36" i="8" s="1"/>
  <c r="J31" i="5"/>
  <c r="J26" i="5"/>
  <c r="J39" i="5"/>
  <c r="Y37" i="5"/>
  <c r="AS36" i="5" s="1"/>
  <c r="J27" i="7"/>
  <c r="H27" i="7" s="1"/>
  <c r="AK41" i="7"/>
  <c r="AK42" i="7"/>
  <c r="AK45" i="7"/>
  <c r="AK40" i="7"/>
  <c r="AK43" i="7"/>
  <c r="AK44" i="7"/>
  <c r="AK39" i="7"/>
  <c r="AK37" i="7" s="1"/>
  <c r="AQ41" i="6"/>
  <c r="AQ40" i="6"/>
  <c r="AQ39" i="6"/>
  <c r="AQ37" i="6" s="1"/>
  <c r="AQ43" i="6"/>
  <c r="AQ46" i="6"/>
  <c r="AQ47" i="6"/>
  <c r="AQ48" i="6"/>
  <c r="AQ44" i="6"/>
  <c r="AQ42" i="6"/>
  <c r="AQ45" i="6"/>
  <c r="AQ45" i="8"/>
  <c r="AQ46" i="8"/>
  <c r="AQ44" i="8"/>
  <c r="AQ38" i="8"/>
  <c r="AQ36" i="8" s="1"/>
  <c r="AQ39" i="8"/>
  <c r="AQ47" i="8"/>
  <c r="AQ42" i="8"/>
  <c r="AQ43" i="8"/>
  <c r="AQ41" i="8"/>
  <c r="AQ40" i="8"/>
  <c r="AM23" i="6"/>
  <c r="AI37" i="4"/>
  <c r="Y23" i="5"/>
  <c r="J34" i="6"/>
  <c r="AS31" i="4"/>
  <c r="J31" i="4" s="1"/>
  <c r="AS35" i="4"/>
  <c r="J35" i="4" s="1"/>
  <c r="AS30" i="4"/>
  <c r="J30" i="4" s="1"/>
  <c r="AS32" i="4"/>
  <c r="AS29" i="4"/>
  <c r="J29" i="4" s="1"/>
  <c r="AS28" i="4"/>
  <c r="J28" i="4" s="1"/>
  <c r="AS27" i="4"/>
  <c r="J27" i="4" s="1"/>
  <c r="AS26" i="4"/>
  <c r="J26" i="4" s="1"/>
  <c r="AS25" i="4"/>
  <c r="J25" i="4" s="1"/>
  <c r="AS34" i="4"/>
  <c r="J34" i="4" s="1"/>
  <c r="AS33" i="4"/>
  <c r="AG23" i="6"/>
  <c r="AK23" i="4"/>
  <c r="J27" i="6"/>
  <c r="AE37" i="6"/>
  <c r="BK7" i="14" l="1"/>
  <c r="BO8" i="14"/>
  <c r="BK24" i="14"/>
  <c r="BS43" i="14"/>
  <c r="BK31" i="14"/>
  <c r="BS28" i="14"/>
  <c r="BS22" i="14"/>
  <c r="BS18" i="14"/>
  <c r="BK26" i="14"/>
  <c r="BK16" i="14"/>
  <c r="BK11" i="14"/>
  <c r="BK34" i="14"/>
  <c r="BK55" i="14"/>
  <c r="BK8" i="14"/>
  <c r="BK19" i="14"/>
  <c r="BK35" i="14"/>
  <c r="BS46" i="14"/>
  <c r="BK38" i="14"/>
  <c r="BK41" i="14"/>
  <c r="BK54" i="14"/>
  <c r="BK27" i="14"/>
  <c r="BK12" i="14"/>
  <c r="BS44" i="14"/>
  <c r="BO13" i="14"/>
  <c r="BK42" i="14"/>
  <c r="BK25" i="14"/>
  <c r="BK32" i="14"/>
  <c r="BS23" i="14"/>
  <c r="BS36" i="14"/>
  <c r="BK21" i="14"/>
  <c r="BK46" i="14"/>
  <c r="BS29" i="14"/>
  <c r="BS38" i="14"/>
  <c r="BS30" i="14"/>
  <c r="BK39" i="14"/>
  <c r="BK10" i="14"/>
  <c r="BK52" i="14"/>
  <c r="BS45" i="14"/>
  <c r="BK44" i="14"/>
  <c r="BK40" i="14"/>
  <c r="BK45" i="14"/>
  <c r="BK18" i="14"/>
  <c r="BK57" i="14"/>
  <c r="BK51" i="14"/>
  <c r="BO12" i="14"/>
  <c r="BK36" i="14"/>
  <c r="BK9" i="14"/>
  <c r="BS37" i="14"/>
  <c r="BO11" i="14"/>
  <c r="BS47" i="14"/>
  <c r="BK20" i="14"/>
  <c r="BK17" i="14"/>
  <c r="BK29" i="14"/>
  <c r="BK33" i="14"/>
  <c r="BS11" i="14"/>
  <c r="BS32" i="14"/>
  <c r="BO5" i="14"/>
  <c r="BS25" i="14"/>
  <c r="BS6" i="14"/>
  <c r="BS39" i="14"/>
  <c r="BS7" i="14"/>
  <c r="BS8" i="14"/>
  <c r="BK4" i="14"/>
  <c r="BS40" i="14"/>
  <c r="BS4" i="14"/>
  <c r="BS10" i="14"/>
  <c r="BS31" i="14"/>
  <c r="BK49" i="14"/>
  <c r="BS5" i="14"/>
  <c r="BS19" i="14"/>
  <c r="BO4" i="14"/>
  <c r="BS41" i="14"/>
  <c r="BS24" i="14"/>
  <c r="BS33" i="14"/>
  <c r="BK14" i="14"/>
  <c r="H37" i="14"/>
  <c r="BS9" i="14"/>
  <c r="BS12" i="14"/>
  <c r="BS16" i="14"/>
  <c r="BK5" i="14"/>
  <c r="BO6" i="14"/>
  <c r="BS26" i="14"/>
  <c r="BK15" i="14"/>
  <c r="BS27" i="14"/>
  <c r="BS34" i="14"/>
  <c r="BK6" i="14"/>
  <c r="BS42" i="14"/>
  <c r="BS17" i="14"/>
  <c r="BS21" i="14"/>
  <c r="BK23" i="14"/>
  <c r="BO7" i="14"/>
  <c r="BS13" i="14"/>
  <c r="J37" i="10"/>
  <c r="AS37" i="10"/>
  <c r="AS36" i="10" s="1"/>
  <c r="H41" i="4"/>
  <c r="H26" i="4"/>
  <c r="H40" i="4"/>
  <c r="H30" i="4"/>
  <c r="H34" i="4"/>
  <c r="H48" i="4"/>
  <c r="H28" i="5"/>
  <c r="J37" i="4"/>
  <c r="H39" i="4"/>
  <c r="BR25" i="5"/>
  <c r="BJ56" i="5"/>
  <c r="BR26" i="5"/>
  <c r="BR27" i="5"/>
  <c r="BJ55" i="5"/>
  <c r="H41" i="5"/>
  <c r="H29" i="8"/>
  <c r="H46" i="5"/>
  <c r="BN11" i="5" s="1"/>
  <c r="H27" i="5"/>
  <c r="H45" i="5"/>
  <c r="BR30" i="5" s="1"/>
  <c r="H27" i="4"/>
  <c r="H28" i="4"/>
  <c r="H33" i="5"/>
  <c r="H29" i="4"/>
  <c r="H27" i="6"/>
  <c r="H30" i="6"/>
  <c r="H44" i="4"/>
  <c r="J41" i="7"/>
  <c r="H30" i="5"/>
  <c r="H44" i="5"/>
  <c r="BR29" i="5" s="1"/>
  <c r="H31" i="4"/>
  <c r="H28" i="8"/>
  <c r="H32" i="8"/>
  <c r="H48" i="5"/>
  <c r="H45" i="4"/>
  <c r="J42" i="6"/>
  <c r="H33" i="7"/>
  <c r="H33" i="8"/>
  <c r="H32" i="4"/>
  <c r="H42" i="4"/>
  <c r="H31" i="8"/>
  <c r="J45" i="6"/>
  <c r="J25" i="5"/>
  <c r="H34" i="8"/>
  <c r="AS23" i="6"/>
  <c r="AC37" i="6"/>
  <c r="AM37" i="6"/>
  <c r="Y36" i="8"/>
  <c r="H26" i="7"/>
  <c r="J24" i="8"/>
  <c r="H25" i="8" s="1"/>
  <c r="AI37" i="6"/>
  <c r="H33" i="6"/>
  <c r="H29" i="5"/>
  <c r="H43" i="4"/>
  <c r="Y37" i="6"/>
  <c r="J39" i="6"/>
  <c r="H47" i="5"/>
  <c r="BJ54" i="5" s="1"/>
  <c r="AS37" i="4"/>
  <c r="Y37" i="7"/>
  <c r="J23" i="7"/>
  <c r="H25" i="7"/>
  <c r="H26" i="5"/>
  <c r="H47" i="4"/>
  <c r="AS48" i="8"/>
  <c r="J48" i="8" s="1"/>
  <c r="AS39" i="8"/>
  <c r="J39" i="8" s="1"/>
  <c r="AS40" i="8"/>
  <c r="J40" i="8" s="1"/>
  <c r="AS43" i="8"/>
  <c r="J43" i="8" s="1"/>
  <c r="AS45" i="8"/>
  <c r="J45" i="8" s="1"/>
  <c r="AS44" i="8"/>
  <c r="J44" i="8" s="1"/>
  <c r="H44" i="8" s="1"/>
  <c r="AS47" i="8"/>
  <c r="AS46" i="8"/>
  <c r="J46" i="8" s="1"/>
  <c r="AS38" i="8"/>
  <c r="AS36" i="8" s="1"/>
  <c r="AS41" i="8"/>
  <c r="J41" i="8" s="1"/>
  <c r="AS42" i="8"/>
  <c r="J23" i="4"/>
  <c r="H31" i="5"/>
  <c r="H35" i="4"/>
  <c r="H34" i="6"/>
  <c r="J47" i="8"/>
  <c r="J45" i="7"/>
  <c r="H49" i="5"/>
  <c r="AS41" i="7"/>
  <c r="AS44" i="7"/>
  <c r="J44" i="7" s="1"/>
  <c r="AS40" i="7"/>
  <c r="J40" i="7" s="1"/>
  <c r="AS48" i="7"/>
  <c r="AS47" i="7"/>
  <c r="J47" i="7" s="1"/>
  <c r="H47" i="7" s="1"/>
  <c r="AS39" i="7"/>
  <c r="AS37" i="7" s="1"/>
  <c r="AS45" i="7"/>
  <c r="AS46" i="7"/>
  <c r="AS42" i="7"/>
  <c r="J42" i="7" s="1"/>
  <c r="AS43" i="7"/>
  <c r="J43" i="7" s="1"/>
  <c r="AS49" i="7"/>
  <c r="J49" i="7" s="1"/>
  <c r="H29" i="7"/>
  <c r="J25" i="6"/>
  <c r="H28" i="6" s="1"/>
  <c r="AO37" i="6"/>
  <c r="J46" i="7"/>
  <c r="AS44" i="6"/>
  <c r="J44" i="6" s="1"/>
  <c r="AS41" i="6"/>
  <c r="J41" i="6" s="1"/>
  <c r="H41" i="6" s="1"/>
  <c r="AS42" i="6"/>
  <c r="AS40" i="6"/>
  <c r="J40" i="6" s="1"/>
  <c r="H40" i="6" s="1"/>
  <c r="AS47" i="6"/>
  <c r="J47" i="6" s="1"/>
  <c r="AS48" i="6"/>
  <c r="J48" i="6" s="1"/>
  <c r="H48" i="6" s="1"/>
  <c r="AS45" i="6"/>
  <c r="AS39" i="6"/>
  <c r="AS46" i="6"/>
  <c r="J46" i="6" s="1"/>
  <c r="H46" i="6" s="1"/>
  <c r="AS49" i="6"/>
  <c r="J49" i="6" s="1"/>
  <c r="AS43" i="6"/>
  <c r="J43" i="6" s="1"/>
  <c r="H29" i="6"/>
  <c r="J42" i="8"/>
  <c r="H43" i="5"/>
  <c r="BR28" i="5" s="1"/>
  <c r="H35" i="6"/>
  <c r="H30" i="8"/>
  <c r="H33" i="4"/>
  <c r="H34" i="5"/>
  <c r="AS36" i="4"/>
  <c r="AS23" i="4"/>
  <c r="AS22" i="4" s="1"/>
  <c r="AS22" i="6"/>
  <c r="J48" i="7"/>
  <c r="AS22" i="5"/>
  <c r="J37" i="5"/>
  <c r="H39" i="5"/>
  <c r="H37" i="5" s="1"/>
  <c r="H35" i="5"/>
  <c r="BN14" i="5" s="1"/>
  <c r="H25" i="4"/>
  <c r="H46" i="4"/>
  <c r="H49" i="4"/>
  <c r="AK37" i="6"/>
  <c r="H35" i="7"/>
  <c r="H30" i="7"/>
  <c r="AS21" i="8"/>
  <c r="B36" i="14" l="1"/>
  <c r="B38" i="14"/>
  <c r="B37" i="14"/>
  <c r="BR15" i="4"/>
  <c r="BJ14" i="4"/>
  <c r="BJ22" i="4"/>
  <c r="BJ21" i="4"/>
  <c r="BR41" i="4"/>
  <c r="BJ18" i="4"/>
  <c r="BJ20" i="4"/>
  <c r="BJ19" i="4"/>
  <c r="BJ17" i="4"/>
  <c r="BN5" i="4"/>
  <c r="BN13" i="4"/>
  <c r="BN9" i="4"/>
  <c r="BR16" i="4"/>
  <c r="BR17" i="4"/>
  <c r="BR18" i="4"/>
  <c r="BJ47" i="4"/>
  <c r="BR40" i="4"/>
  <c r="BR14" i="4"/>
  <c r="BR46" i="4"/>
  <c r="BR42" i="4"/>
  <c r="BJ46" i="4"/>
  <c r="BJ48" i="4"/>
  <c r="BR4" i="4"/>
  <c r="BJ15" i="4"/>
  <c r="BR39" i="4"/>
  <c r="BR43" i="4"/>
  <c r="BJ16" i="4"/>
  <c r="BJ52" i="6"/>
  <c r="BJ55" i="6"/>
  <c r="H41" i="8"/>
  <c r="BR21" i="8" s="1"/>
  <c r="BJ22" i="8"/>
  <c r="BJ18" i="8"/>
  <c r="BJ19" i="8"/>
  <c r="BJ17" i="8"/>
  <c r="H43" i="6"/>
  <c r="BJ31" i="6" s="1"/>
  <c r="H44" i="6"/>
  <c r="H45" i="8"/>
  <c r="BJ33" i="6"/>
  <c r="BJ36" i="6"/>
  <c r="BJ34" i="6"/>
  <c r="BJ32" i="6"/>
  <c r="BR8" i="6"/>
  <c r="BR9" i="6"/>
  <c r="H43" i="8"/>
  <c r="BR20" i="6"/>
  <c r="BR26" i="6"/>
  <c r="BN11" i="6"/>
  <c r="BJ50" i="6"/>
  <c r="BJ51" i="7"/>
  <c r="BR47" i="7"/>
  <c r="BJ54" i="7"/>
  <c r="BJ28" i="7"/>
  <c r="BJ35" i="7"/>
  <c r="H47" i="6"/>
  <c r="BR19" i="6"/>
  <c r="BR25" i="6"/>
  <c r="H43" i="7"/>
  <c r="H44" i="7"/>
  <c r="H46" i="8"/>
  <c r="BJ20" i="8" s="1"/>
  <c r="H49" i="6"/>
  <c r="BJ37" i="6" s="1"/>
  <c r="BR36" i="8"/>
  <c r="BR35" i="8"/>
  <c r="BJ57" i="8"/>
  <c r="BR38" i="8"/>
  <c r="BR37" i="8"/>
  <c r="BR34" i="8"/>
  <c r="BJ29" i="5"/>
  <c r="BJ28" i="5"/>
  <c r="BJ27" i="5"/>
  <c r="BJ24" i="5"/>
  <c r="BJ30" i="5"/>
  <c r="BJ25" i="5"/>
  <c r="BJ23" i="5"/>
  <c r="BJ26" i="5"/>
  <c r="BR6" i="5"/>
  <c r="BR5" i="5"/>
  <c r="BN6" i="5"/>
  <c r="BJ38" i="6"/>
  <c r="BJ42" i="6"/>
  <c r="BJ41" i="6"/>
  <c r="BJ39" i="6"/>
  <c r="BJ43" i="6"/>
  <c r="BJ40" i="6"/>
  <c r="BR12" i="6"/>
  <c r="BR11" i="6"/>
  <c r="BJ55" i="8"/>
  <c r="BR30" i="8"/>
  <c r="BR27" i="8"/>
  <c r="BR29" i="8"/>
  <c r="BN11" i="8"/>
  <c r="BJ43" i="4"/>
  <c r="BJ38" i="4"/>
  <c r="BJ42" i="4"/>
  <c r="BR10" i="4"/>
  <c r="BJ41" i="4"/>
  <c r="BJ40" i="4"/>
  <c r="BR11" i="4"/>
  <c r="BN8" i="4"/>
  <c r="BJ39" i="4"/>
  <c r="BR12" i="4"/>
  <c r="BR13" i="4"/>
  <c r="H48" i="7"/>
  <c r="BR23" i="8"/>
  <c r="BJ50" i="8"/>
  <c r="BN10" i="8"/>
  <c r="BJ52" i="8"/>
  <c r="H46" i="7"/>
  <c r="BN14" i="4"/>
  <c r="AS35" i="8"/>
  <c r="BJ59" i="4"/>
  <c r="H26" i="8"/>
  <c r="BJ45" i="4"/>
  <c r="BJ45" i="7"/>
  <c r="BJ46" i="7"/>
  <c r="BJ47" i="7"/>
  <c r="BN9" i="7"/>
  <c r="BR18" i="7"/>
  <c r="H48" i="8"/>
  <c r="BJ58" i="8" s="1"/>
  <c r="BJ56" i="4"/>
  <c r="BJ54" i="4"/>
  <c r="BR25" i="4"/>
  <c r="BN11" i="4"/>
  <c r="BR26" i="4"/>
  <c r="BR30" i="4"/>
  <c r="BJ55" i="4"/>
  <c r="BR28" i="4"/>
  <c r="BR27" i="4"/>
  <c r="BR24" i="4"/>
  <c r="BR29" i="4"/>
  <c r="BJ21" i="7"/>
  <c r="BJ19" i="7"/>
  <c r="BJ17" i="7"/>
  <c r="BJ16" i="7"/>
  <c r="BJ20" i="7"/>
  <c r="BJ18" i="7"/>
  <c r="BN14" i="6"/>
  <c r="J23" i="6"/>
  <c r="H25" i="6"/>
  <c r="H27" i="8"/>
  <c r="J38" i="8"/>
  <c r="H39" i="8" s="1"/>
  <c r="BN14" i="8"/>
  <c r="BR35" i="7"/>
  <c r="BJ57" i="7"/>
  <c r="BR37" i="7"/>
  <c r="BR36" i="7"/>
  <c r="BR38" i="7"/>
  <c r="BN12" i="7"/>
  <c r="BR35" i="4"/>
  <c r="BJ57" i="4"/>
  <c r="BJ58" i="4"/>
  <c r="BR38" i="4"/>
  <c r="BR34" i="4"/>
  <c r="BR37" i="4"/>
  <c r="BR36" i="4"/>
  <c r="BN12" i="4"/>
  <c r="BR33" i="4"/>
  <c r="BR31" i="4"/>
  <c r="BR32" i="4"/>
  <c r="BJ42" i="5"/>
  <c r="BJ41" i="5"/>
  <c r="BJ40" i="5"/>
  <c r="BJ43" i="5"/>
  <c r="BJ38" i="5"/>
  <c r="BR13" i="5"/>
  <c r="BR12" i="5"/>
  <c r="BJ39" i="5"/>
  <c r="BR10" i="5"/>
  <c r="BN8" i="5"/>
  <c r="BR11" i="5"/>
  <c r="H42" i="6"/>
  <c r="BN7" i="6" s="1"/>
  <c r="BJ45" i="5"/>
  <c r="BJ44" i="5"/>
  <c r="BJ48" i="5"/>
  <c r="BJ46" i="5"/>
  <c r="BR16" i="5"/>
  <c r="BR17" i="5"/>
  <c r="BR15" i="5"/>
  <c r="BR14" i="5"/>
  <c r="BJ47" i="5"/>
  <c r="BR18" i="5"/>
  <c r="BN9" i="5"/>
  <c r="BJ48" i="6"/>
  <c r="BJ46" i="6"/>
  <c r="BJ47" i="6"/>
  <c r="BR14" i="6"/>
  <c r="BJ45" i="6"/>
  <c r="BR15" i="6"/>
  <c r="BR18" i="6"/>
  <c r="BR16" i="6"/>
  <c r="BN9" i="6"/>
  <c r="BJ30" i="4"/>
  <c r="BN6" i="4"/>
  <c r="BR5" i="4"/>
  <c r="BJ25" i="4"/>
  <c r="BJ26" i="4"/>
  <c r="BJ29" i="4"/>
  <c r="BJ28" i="4"/>
  <c r="BJ27" i="4"/>
  <c r="BJ24" i="4"/>
  <c r="BR6" i="4"/>
  <c r="BJ23" i="4"/>
  <c r="H42" i="8"/>
  <c r="BJ16" i="8" s="1"/>
  <c r="AS36" i="7"/>
  <c r="BJ58" i="6"/>
  <c r="BJ57" i="6"/>
  <c r="BR38" i="6"/>
  <c r="BR33" i="6"/>
  <c r="BN12" i="6"/>
  <c r="BR36" i="6"/>
  <c r="BR32" i="6"/>
  <c r="BR31" i="6"/>
  <c r="J23" i="5"/>
  <c r="H25" i="5"/>
  <c r="BR47" i="4"/>
  <c r="BJ33" i="4"/>
  <c r="BN7" i="4"/>
  <c r="BJ35" i="4"/>
  <c r="BJ34" i="4"/>
  <c r="BJ37" i="4"/>
  <c r="BR9" i="4"/>
  <c r="BR8" i="4"/>
  <c r="BJ32" i="4"/>
  <c r="BJ31" i="4"/>
  <c r="BJ36" i="4"/>
  <c r="BR7" i="4"/>
  <c r="H45" i="7"/>
  <c r="J22" i="8"/>
  <c r="H24" i="8"/>
  <c r="BJ30" i="6"/>
  <c r="BJ25" i="6"/>
  <c r="BJ26" i="6"/>
  <c r="BJ29" i="6"/>
  <c r="BJ28" i="6"/>
  <c r="BJ27" i="6"/>
  <c r="BN6" i="6"/>
  <c r="BJ23" i="6"/>
  <c r="BR6" i="6"/>
  <c r="BR5" i="6"/>
  <c r="J39" i="7"/>
  <c r="H40" i="7" s="1"/>
  <c r="J37" i="6"/>
  <c r="H39" i="6"/>
  <c r="BR7" i="6" s="1"/>
  <c r="BR35" i="5"/>
  <c r="BR33" i="5"/>
  <c r="BJ57" i="5"/>
  <c r="BR37" i="5"/>
  <c r="BR36" i="5"/>
  <c r="BR34" i="5"/>
  <c r="BJ58" i="5"/>
  <c r="BR32" i="5"/>
  <c r="BR31" i="5"/>
  <c r="BR38" i="5"/>
  <c r="BN12" i="5"/>
  <c r="BJ44" i="8"/>
  <c r="BR18" i="8"/>
  <c r="BJ45" i="8"/>
  <c r="BJ48" i="8"/>
  <c r="BN9" i="8"/>
  <c r="BJ32" i="5"/>
  <c r="BJ31" i="5"/>
  <c r="BJ35" i="5"/>
  <c r="BJ33" i="5"/>
  <c r="BJ37" i="5"/>
  <c r="BJ36" i="5"/>
  <c r="BJ34" i="5"/>
  <c r="BR8" i="5"/>
  <c r="BR9" i="5"/>
  <c r="BN7" i="5"/>
  <c r="BR7" i="5"/>
  <c r="BJ8" i="4"/>
  <c r="H23" i="4"/>
  <c r="BJ12" i="4"/>
  <c r="BJ13" i="4"/>
  <c r="BJ7" i="4"/>
  <c r="BJ11" i="4"/>
  <c r="BJ6" i="4"/>
  <c r="BN4" i="4"/>
  <c r="BJ9" i="4"/>
  <c r="BJ10" i="4"/>
  <c r="BJ5" i="4"/>
  <c r="BJ4" i="4"/>
  <c r="BJ38" i="7"/>
  <c r="BJ42" i="7"/>
  <c r="BJ41" i="7"/>
  <c r="BJ39" i="7"/>
  <c r="BN8" i="7"/>
  <c r="BJ40" i="7"/>
  <c r="BR45" i="4"/>
  <c r="BR24" i="5"/>
  <c r="H49" i="7"/>
  <c r="H45" i="6"/>
  <c r="BR37" i="6" s="1"/>
  <c r="H47" i="8"/>
  <c r="BJ47" i="8" s="1"/>
  <c r="BJ40" i="8"/>
  <c r="BJ39" i="8"/>
  <c r="BJ38" i="8"/>
  <c r="BJ42" i="8"/>
  <c r="BN8" i="8"/>
  <c r="BR46" i="5"/>
  <c r="BR42" i="5"/>
  <c r="BR41" i="5"/>
  <c r="BR40" i="5"/>
  <c r="BR43" i="5"/>
  <c r="BR47" i="5"/>
  <c r="BR39" i="5"/>
  <c r="BN13" i="5"/>
  <c r="BR44" i="5"/>
  <c r="BR45" i="5"/>
  <c r="BJ59" i="5"/>
  <c r="AS37" i="6"/>
  <c r="AS36" i="6" s="1"/>
  <c r="BR45" i="6"/>
  <c r="BR44" i="6"/>
  <c r="BR40" i="6"/>
  <c r="BJ59" i="6"/>
  <c r="BR42" i="6"/>
  <c r="BR46" i="6"/>
  <c r="BR41" i="6"/>
  <c r="BN13" i="6"/>
  <c r="BR39" i="6"/>
  <c r="BR47" i="6"/>
  <c r="BJ53" i="5"/>
  <c r="BJ49" i="5"/>
  <c r="BJ52" i="5"/>
  <c r="BR20" i="5"/>
  <c r="BJ50" i="5"/>
  <c r="BR21" i="5"/>
  <c r="BR19" i="5"/>
  <c r="BR22" i="5"/>
  <c r="BJ51" i="5"/>
  <c r="BN10" i="5"/>
  <c r="BR23" i="5"/>
  <c r="BJ21" i="5"/>
  <c r="BJ19" i="5"/>
  <c r="BJ17" i="5"/>
  <c r="BJ22" i="5"/>
  <c r="BJ18" i="5"/>
  <c r="BJ14" i="5"/>
  <c r="BR4" i="5"/>
  <c r="B39" i="5" s="1"/>
  <c r="BJ15" i="5"/>
  <c r="BN5" i="5"/>
  <c r="BJ16" i="5"/>
  <c r="BJ20" i="5"/>
  <c r="BJ9" i="7"/>
  <c r="BJ8" i="7"/>
  <c r="BJ11" i="7"/>
  <c r="BJ12" i="7"/>
  <c r="BJ10" i="7"/>
  <c r="H23" i="7"/>
  <c r="BJ7" i="7"/>
  <c r="BJ59" i="8"/>
  <c r="BR45" i="8"/>
  <c r="BR43" i="8"/>
  <c r="BR46" i="8"/>
  <c r="BR42" i="8"/>
  <c r="BR47" i="8"/>
  <c r="BR44" i="8"/>
  <c r="BJ53" i="4"/>
  <c r="BJ49" i="4"/>
  <c r="BJ52" i="4"/>
  <c r="BJ50" i="4"/>
  <c r="BJ51" i="4"/>
  <c r="BR20" i="4"/>
  <c r="BR23" i="4"/>
  <c r="BN10" i="4"/>
  <c r="BR21" i="4"/>
  <c r="BR22" i="4"/>
  <c r="BR19" i="4"/>
  <c r="BR44" i="4"/>
  <c r="H26" i="6"/>
  <c r="BJ44" i="4"/>
  <c r="H37" i="4"/>
  <c r="B39" i="4" l="1"/>
  <c r="B37" i="4"/>
  <c r="BR15" i="8"/>
  <c r="BR32" i="8"/>
  <c r="BR40" i="8"/>
  <c r="BR25" i="8"/>
  <c r="BR11" i="8"/>
  <c r="BN5" i="8"/>
  <c r="BR19" i="8"/>
  <c r="BR6" i="7"/>
  <c r="BR25" i="7"/>
  <c r="BR19" i="7"/>
  <c r="BR40" i="7"/>
  <c r="BR8" i="7"/>
  <c r="BN5" i="7"/>
  <c r="BR15" i="7"/>
  <c r="BJ4" i="7"/>
  <c r="B38" i="7" s="1"/>
  <c r="BR11" i="7"/>
  <c r="BR32" i="7"/>
  <c r="BR43" i="6"/>
  <c r="BJ22" i="6"/>
  <c r="BJ20" i="6"/>
  <c r="BJ21" i="6"/>
  <c r="BJ19" i="6"/>
  <c r="BN5" i="6"/>
  <c r="BR4" i="6"/>
  <c r="BJ15" i="6"/>
  <c r="BJ18" i="6"/>
  <c r="BJ16" i="6"/>
  <c r="BJ14" i="6"/>
  <c r="BJ17" i="6"/>
  <c r="BR17" i="8"/>
  <c r="BR35" i="6"/>
  <c r="BR22" i="8"/>
  <c r="BR28" i="8"/>
  <c r="BN12" i="8"/>
  <c r="BR23" i="6"/>
  <c r="BR29" i="6"/>
  <c r="BJ21" i="8"/>
  <c r="BJ59" i="7"/>
  <c r="BJ56" i="7"/>
  <c r="BJ37" i="7"/>
  <c r="BJ30" i="7"/>
  <c r="BJ53" i="7"/>
  <c r="H42" i="7"/>
  <c r="BJ26" i="8"/>
  <c r="BJ24" i="8"/>
  <c r="BN6" i="8"/>
  <c r="BJ23" i="8"/>
  <c r="BJ30" i="8"/>
  <c r="BJ27" i="8"/>
  <c r="BJ25" i="8"/>
  <c r="BJ28" i="8"/>
  <c r="BJ29" i="8"/>
  <c r="BR6" i="8"/>
  <c r="BR5" i="8"/>
  <c r="BJ51" i="8"/>
  <c r="BJ41" i="8"/>
  <c r="BJ43" i="7"/>
  <c r="BJ46" i="8"/>
  <c r="BJ58" i="7"/>
  <c r="BJ5" i="6"/>
  <c r="BN4" i="6"/>
  <c r="B37" i="6" s="1"/>
  <c r="H23" i="6"/>
  <c r="BJ13" i="6"/>
  <c r="BJ9" i="6"/>
  <c r="BJ10" i="6"/>
  <c r="BJ12" i="6"/>
  <c r="BJ6" i="6"/>
  <c r="BJ8" i="6"/>
  <c r="BJ7" i="6"/>
  <c r="BJ11" i="6"/>
  <c r="BJ4" i="6"/>
  <c r="BJ22" i="7"/>
  <c r="BJ53" i="8"/>
  <c r="BJ36" i="7"/>
  <c r="BJ52" i="7"/>
  <c r="BJ55" i="7"/>
  <c r="BJ29" i="7"/>
  <c r="BN13" i="7"/>
  <c r="BR13" i="6"/>
  <c r="BJ54" i="6"/>
  <c r="BJ51" i="6"/>
  <c r="H41" i="7"/>
  <c r="BR22" i="6"/>
  <c r="BR28" i="6"/>
  <c r="BJ43" i="8"/>
  <c r="BR17" i="6"/>
  <c r="BJ54" i="8"/>
  <c r="BJ56" i="6"/>
  <c r="BJ53" i="6"/>
  <c r="BJ15" i="8"/>
  <c r="B38" i="4"/>
  <c r="BJ24" i="6"/>
  <c r="BJ13" i="5"/>
  <c r="H23" i="5"/>
  <c r="BJ9" i="5"/>
  <c r="BJ10" i="5"/>
  <c r="BN4" i="5"/>
  <c r="B37" i="5" s="1"/>
  <c r="B36" i="5" s="1"/>
  <c r="BJ11" i="5"/>
  <c r="BJ12" i="5"/>
  <c r="BJ8" i="5"/>
  <c r="BJ6" i="5"/>
  <c r="BJ5" i="5"/>
  <c r="BJ7" i="5"/>
  <c r="BJ4" i="5"/>
  <c r="B38" i="5" s="1"/>
  <c r="BR21" i="6"/>
  <c r="BR27" i="6"/>
  <c r="J36" i="8"/>
  <c r="H38" i="8"/>
  <c r="BN4" i="8" s="1"/>
  <c r="B37" i="8" s="1"/>
  <c r="B36" i="8" s="1"/>
  <c r="BJ48" i="7"/>
  <c r="BJ56" i="8"/>
  <c r="BN8" i="6"/>
  <c r="BR23" i="7"/>
  <c r="BR44" i="7"/>
  <c r="BJ32" i="7"/>
  <c r="BJ25" i="7"/>
  <c r="BR29" i="7"/>
  <c r="BJ35" i="6"/>
  <c r="J37" i="7"/>
  <c r="H39" i="7"/>
  <c r="BJ8" i="8"/>
  <c r="BJ12" i="8"/>
  <c r="H22" i="8"/>
  <c r="BJ4" i="8"/>
  <c r="B38" i="8" s="1"/>
  <c r="BJ7" i="8"/>
  <c r="BJ13" i="8"/>
  <c r="BJ10" i="8"/>
  <c r="BJ6" i="8"/>
  <c r="BJ11" i="8"/>
  <c r="BJ9" i="8"/>
  <c r="BJ13" i="7"/>
  <c r="BN13" i="8"/>
  <c r="BR13" i="8"/>
  <c r="BN10" i="6"/>
  <c r="BR30" i="6"/>
  <c r="H37" i="6"/>
  <c r="BJ49" i="6"/>
  <c r="BR24" i="6"/>
  <c r="BJ33" i="7"/>
  <c r="BR45" i="7"/>
  <c r="BR30" i="7"/>
  <c r="BN10" i="7"/>
  <c r="BJ26" i="7"/>
  <c r="BR34" i="6"/>
  <c r="BJ44" i="6"/>
  <c r="BJ34" i="8"/>
  <c r="BJ36" i="8"/>
  <c r="BJ35" i="8"/>
  <c r="BJ31" i="8"/>
  <c r="BJ32" i="8"/>
  <c r="BJ33" i="8"/>
  <c r="BJ37" i="8"/>
  <c r="BR8" i="8"/>
  <c r="BN7" i="8"/>
  <c r="BR7" i="8"/>
  <c r="BN14" i="7"/>
  <c r="BJ44" i="7"/>
  <c r="BR46" i="7"/>
  <c r="BJ34" i="7"/>
  <c r="BN11" i="7"/>
  <c r="BJ27" i="7"/>
  <c r="BJ50" i="7"/>
  <c r="BR10" i="6"/>
  <c r="BR28" i="7"/>
  <c r="BJ24" i="7"/>
  <c r="BR22" i="7"/>
  <c r="BJ31" i="7"/>
  <c r="BR43" i="7"/>
  <c r="H40" i="8"/>
  <c r="B36" i="4" l="1"/>
  <c r="B38" i="6"/>
  <c r="B36" i="6" s="1"/>
  <c r="BR26" i="8"/>
  <c r="BR16" i="8"/>
  <c r="BJ14" i="8"/>
  <c r="BR33" i="8"/>
  <c r="BR12" i="8"/>
  <c r="BR20" i="8"/>
  <c r="BR41" i="8"/>
  <c r="B39" i="6"/>
  <c r="BR9" i="8"/>
  <c r="H37" i="7"/>
  <c r="BR39" i="7"/>
  <c r="BR7" i="7"/>
  <c r="BR5" i="7"/>
  <c r="BR24" i="7"/>
  <c r="BJ49" i="7"/>
  <c r="BN4" i="7"/>
  <c r="B37" i="7" s="1"/>
  <c r="B36" i="7" s="1"/>
  <c r="BR14" i="7"/>
  <c r="BR31" i="7"/>
  <c r="BR10" i="7"/>
  <c r="BR4" i="7"/>
  <c r="B39" i="7" s="1"/>
  <c r="BN6" i="7"/>
  <c r="BR41" i="7"/>
  <c r="BR9" i="7"/>
  <c r="BR20" i="7"/>
  <c r="BR26" i="7"/>
  <c r="BR33" i="7"/>
  <c r="BR12" i="7"/>
  <c r="BR16" i="7"/>
  <c r="BJ14" i="7"/>
  <c r="BJ5" i="7"/>
  <c r="BJ5" i="8"/>
  <c r="H36" i="8"/>
  <c r="BR24" i="8"/>
  <c r="BJ49" i="8"/>
  <c r="BR14" i="8"/>
  <c r="BR4" i="8"/>
  <c r="B39" i="8" s="1"/>
  <c r="BR39" i="8"/>
  <c r="BR10" i="8"/>
  <c r="BR31" i="8"/>
  <c r="BR27" i="7"/>
  <c r="BR21" i="7"/>
  <c r="BR42" i="7"/>
  <c r="BN7" i="7"/>
  <c r="BJ23" i="7"/>
  <c r="BJ15" i="7"/>
  <c r="BR13" i="7"/>
  <c r="BR17" i="7"/>
  <c r="BR34" i="7"/>
  <c r="BJ6" i="7"/>
  <c r="R11" i="10" l="1"/>
  <c r="R14" i="10"/>
  <c r="R8" i="10"/>
  <c r="N2" i="10"/>
  <c r="R2" i="10" l="1"/>
  <c r="S5" i="10" s="1"/>
  <c r="S14" i="10" l="1"/>
  <c r="U14" i="10" s="1"/>
  <c r="Y14" i="10" s="1"/>
  <c r="AG14" i="10" s="1"/>
  <c r="S6" i="10"/>
  <c r="T6" i="10" s="1"/>
  <c r="X6" i="10" s="1"/>
  <c r="AA5" i="10" s="1"/>
  <c r="S4" i="10"/>
  <c r="S8" i="10"/>
  <c r="S10" i="10"/>
  <c r="T10" i="10" s="1"/>
  <c r="X10" i="10" s="1"/>
  <c r="AA9" i="10" s="1"/>
  <c r="S7" i="10"/>
  <c r="T7" i="10" s="1"/>
  <c r="X7" i="10" s="1"/>
  <c r="AA6" i="10" s="1"/>
  <c r="S13" i="10"/>
  <c r="S12" i="10"/>
  <c r="T12" i="10" s="1"/>
  <c r="X12" i="10" s="1"/>
  <c r="AA11" i="10" s="1"/>
  <c r="S11" i="10"/>
  <c r="S9" i="10"/>
  <c r="T9" i="10" s="1"/>
  <c r="X9" i="10" s="1"/>
  <c r="AA8" i="10" s="1"/>
  <c r="S15" i="10"/>
  <c r="Y15" i="10" s="1"/>
  <c r="AG15" i="10" s="1"/>
  <c r="U5" i="10"/>
  <c r="Y5" i="10" s="1"/>
  <c r="AG5" i="10" s="1"/>
  <c r="AH5" i="10" s="1"/>
  <c r="T5" i="10"/>
  <c r="X5" i="10" s="1"/>
  <c r="AA4" i="10" s="1"/>
  <c r="AB4" i="10" s="1"/>
  <c r="T8" i="10"/>
  <c r="X8" i="10" s="1"/>
  <c r="AA7" i="10" s="1"/>
  <c r="U8" i="10"/>
  <c r="Y8" i="10" s="1"/>
  <c r="AG8" i="10" s="1"/>
  <c r="T13" i="10" l="1"/>
  <c r="X13" i="10" s="1"/>
  <c r="AA12" i="10" s="1"/>
  <c r="AB12" i="10" s="1"/>
  <c r="U13" i="10"/>
  <c r="U6" i="10"/>
  <c r="Y6" i="10" s="1"/>
  <c r="AG6" i="10" s="1"/>
  <c r="AH6" i="10" s="1"/>
  <c r="Y13" i="10"/>
  <c r="AG13" i="10" s="1"/>
  <c r="AH13" i="10" s="1"/>
  <c r="U7" i="10"/>
  <c r="Y7" i="10" s="1"/>
  <c r="AG7" i="10" s="1"/>
  <c r="AH7" i="10" s="1"/>
  <c r="U10" i="10"/>
  <c r="Y10" i="10" s="1"/>
  <c r="AG10" i="10" s="1"/>
  <c r="S2" i="10"/>
  <c r="T14" i="10"/>
  <c r="X14" i="10" s="1"/>
  <c r="AA13" i="10" s="1"/>
  <c r="AB13" i="10" s="1"/>
  <c r="U12" i="10"/>
  <c r="Y12" i="10" s="1"/>
  <c r="AG12" i="10" s="1"/>
  <c r="AH12" i="10" s="1"/>
  <c r="U11" i="10"/>
  <c r="T11" i="10"/>
  <c r="X11" i="10" s="1"/>
  <c r="AA10" i="10" s="1"/>
  <c r="AB10" i="10" s="1"/>
  <c r="T4" i="10"/>
  <c r="X4" i="10" s="1"/>
  <c r="X15" i="10"/>
  <c r="AA14" i="10" s="1"/>
  <c r="AB14" i="10" s="1"/>
  <c r="U4" i="10"/>
  <c r="Y4" i="10" s="1"/>
  <c r="U9" i="10"/>
  <c r="Y9" i="10" s="1"/>
  <c r="AG9" i="10" s="1"/>
  <c r="AH9" i="10" s="1"/>
  <c r="AH10" i="10"/>
  <c r="AH15" i="10"/>
  <c r="AB9" i="10"/>
  <c r="AB6" i="10"/>
  <c r="AH14" i="10"/>
  <c r="AB11" i="10"/>
  <c r="AH8" i="10"/>
  <c r="AB8" i="10"/>
  <c r="AB5" i="10"/>
  <c r="AB7" i="10"/>
  <c r="U2" i="10" l="1"/>
  <c r="Y11" i="10"/>
  <c r="AG11" i="10" s="1"/>
  <c r="AH11" i="10" s="1"/>
  <c r="X2" i="10"/>
  <c r="T2" i="10"/>
  <c r="AC14" i="10"/>
  <c r="AD5" i="10"/>
  <c r="AD15" i="10"/>
  <c r="AD7" i="10"/>
  <c r="AC4" i="10"/>
  <c r="AD4" i="10"/>
  <c r="AC5" i="10"/>
  <c r="AC11" i="10"/>
  <c r="AB18" i="10"/>
  <c r="AD14" i="10"/>
  <c r="AC9" i="10"/>
  <c r="AC10" i="10"/>
  <c r="AC6" i="10"/>
  <c r="AD9" i="10"/>
  <c r="AG4" i="10"/>
  <c r="AC15" i="10"/>
  <c r="AD6" i="10"/>
  <c r="AC12" i="10"/>
  <c r="AC8" i="10"/>
  <c r="AC13" i="10"/>
  <c r="AD11" i="10"/>
  <c r="AD12" i="10"/>
  <c r="AC7" i="10"/>
  <c r="AD8" i="10"/>
  <c r="AD10" i="10"/>
  <c r="AD13" i="10"/>
  <c r="Y2" i="10" l="1"/>
  <c r="AD18" i="10"/>
  <c r="L27" i="10" s="1"/>
  <c r="AC18" i="10"/>
  <c r="L26" i="10" s="1"/>
  <c r="L25" i="10"/>
  <c r="AH4" i="10"/>
  <c r="AI4" i="10"/>
  <c r="AJ4" i="10"/>
  <c r="AE18" i="10" l="1"/>
  <c r="L28" i="10" s="1"/>
  <c r="H31" i="10" s="1"/>
  <c r="AH18" i="10"/>
  <c r="AI5" i="10"/>
  <c r="AI11" i="10"/>
  <c r="AJ11" i="10"/>
  <c r="AJ15" i="10"/>
  <c r="AJ14" i="10"/>
  <c r="AJ13" i="10"/>
  <c r="AI14" i="10"/>
  <c r="AI7" i="10"/>
  <c r="AI15" i="10"/>
  <c r="AI13" i="10"/>
  <c r="AJ7" i="10"/>
  <c r="AI9" i="10"/>
  <c r="AI6" i="10"/>
  <c r="AJ10" i="10"/>
  <c r="AJ12" i="10"/>
  <c r="AI10" i="10"/>
  <c r="AI8" i="10"/>
  <c r="AJ6" i="10"/>
  <c r="AJ9" i="10"/>
  <c r="AI12" i="10"/>
  <c r="AJ8" i="10"/>
  <c r="AJ5" i="10"/>
  <c r="H32" i="10"/>
  <c r="H26" i="10"/>
  <c r="H27" i="10"/>
  <c r="H25" i="10"/>
  <c r="H29" i="10" l="1"/>
  <c r="L23" i="10"/>
  <c r="H30" i="10"/>
  <c r="AJ18" i="10"/>
  <c r="L41" i="10" s="1"/>
  <c r="H33" i="10"/>
  <c r="H35" i="10"/>
  <c r="H28" i="10"/>
  <c r="H34" i="10"/>
  <c r="AI18" i="10"/>
  <c r="L40" i="10" s="1"/>
  <c r="L39" i="10"/>
  <c r="H23" i="10" l="1"/>
  <c r="AK18" i="10"/>
  <c r="L42" i="10" s="1"/>
  <c r="H42" i="10" s="1"/>
  <c r="H41" i="10"/>
  <c r="H39" i="10"/>
  <c r="H40" i="10"/>
  <c r="H48" i="10" l="1"/>
  <c r="BK55" i="10" s="1"/>
  <c r="H45" i="10"/>
  <c r="BS45" i="10" s="1"/>
  <c r="H43" i="10"/>
  <c r="BK31" i="10" s="1"/>
  <c r="H46" i="10"/>
  <c r="BS46" i="10" s="1"/>
  <c r="H44" i="10"/>
  <c r="BS23" i="10" s="1"/>
  <c r="L37" i="10"/>
  <c r="H47" i="10"/>
  <c r="BK41" i="10" s="1"/>
  <c r="H49" i="10"/>
  <c r="BK43" i="10" s="1"/>
  <c r="BS20" i="10"/>
  <c r="BK5" i="10"/>
  <c r="BS26" i="10"/>
  <c r="BS33" i="10"/>
  <c r="BS9" i="10"/>
  <c r="BS16" i="10"/>
  <c r="BK14" i="10"/>
  <c r="BS12" i="10"/>
  <c r="BS41" i="10"/>
  <c r="BO6" i="10"/>
  <c r="BS7" i="10"/>
  <c r="BS24" i="10"/>
  <c r="BO4" i="10"/>
  <c r="BS5" i="10"/>
  <c r="BS39" i="10"/>
  <c r="BS4" i="10"/>
  <c r="BS14" i="10"/>
  <c r="BK49" i="10"/>
  <c r="BS10" i="10"/>
  <c r="BS31" i="10"/>
  <c r="BK19" i="10"/>
  <c r="BK4" i="10"/>
  <c r="BS25" i="10"/>
  <c r="BS8" i="10"/>
  <c r="BS15" i="10"/>
  <c r="BS40" i="10"/>
  <c r="BS19" i="10"/>
  <c r="BO5" i="10"/>
  <c r="BS11" i="10"/>
  <c r="BS6" i="10"/>
  <c r="BS32" i="10"/>
  <c r="BS13" i="10"/>
  <c r="BS42" i="10"/>
  <c r="BS21" i="10"/>
  <c r="BO7" i="10"/>
  <c r="BK23" i="10"/>
  <c r="BK15" i="10"/>
  <c r="BS34" i="10"/>
  <c r="BS27" i="10"/>
  <c r="BK6" i="10"/>
  <c r="BS17" i="10"/>
  <c r="BS37" i="10"/>
  <c r="BK9" i="10" l="1"/>
  <c r="BK26" i="10"/>
  <c r="BK33" i="10"/>
  <c r="BK39" i="10"/>
  <c r="BO10" i="10"/>
  <c r="BK38" i="10"/>
  <c r="BK29" i="10"/>
  <c r="BS18" i="10"/>
  <c r="BK54" i="10"/>
  <c r="BK18" i="10"/>
  <c r="BK45" i="10"/>
  <c r="BS30" i="10"/>
  <c r="BK44" i="10"/>
  <c r="BO9" i="10"/>
  <c r="BK47" i="10"/>
  <c r="BS29" i="10"/>
  <c r="BK57" i="10"/>
  <c r="BK42" i="10"/>
  <c r="BS44" i="10"/>
  <c r="BK12" i="10"/>
  <c r="BO13" i="10"/>
  <c r="BS36" i="10"/>
  <c r="BK21" i="10"/>
  <c r="BK25" i="10"/>
  <c r="BK52" i="10"/>
  <c r="BK36" i="10"/>
  <c r="BK32" i="10"/>
  <c r="BK13" i="10"/>
  <c r="BK17" i="10"/>
  <c r="BK8" i="10"/>
  <c r="BK51" i="10"/>
  <c r="BK22" i="10"/>
  <c r="BK40" i="10"/>
  <c r="BK34" i="10"/>
  <c r="BK30" i="10"/>
  <c r="BS38" i="10"/>
  <c r="BK50" i="10"/>
  <c r="BO14" i="10"/>
  <c r="BO11" i="10"/>
  <c r="BK48" i="10"/>
  <c r="BK27" i="10"/>
  <c r="BK53" i="10"/>
  <c r="BK10" i="10"/>
  <c r="BK59" i="10"/>
  <c r="BK28" i="10"/>
  <c r="BK56" i="10"/>
  <c r="BK58" i="10"/>
  <c r="BK37" i="10"/>
  <c r="BK46" i="10"/>
  <c r="BO8" i="10"/>
  <c r="BS47" i="10"/>
  <c r="BO12" i="10"/>
  <c r="BS35" i="10"/>
  <c r="BK16" i="10"/>
  <c r="BK35" i="10"/>
  <c r="BS22" i="10"/>
  <c r="BK11" i="10"/>
  <c r="BK24" i="10"/>
  <c r="BS43" i="10"/>
  <c r="BK20" i="10"/>
  <c r="H37" i="10"/>
  <c r="BS28" i="10"/>
  <c r="BK7" i="10"/>
  <c r="B37" i="10" l="1"/>
  <c r="B38" i="10"/>
  <c r="B3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4573EBF8-1C04-45CE-B317-35235D373963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04D681EB-D857-41E9-86D7-4161B8F53C5F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81421E05-5F55-409B-91B5-0EA1A61C8277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FD982C16-C6B9-4248-A04D-CED8B223F9B3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54ED6AFC-E80D-4F49-AF1C-7877097BAF73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CCC75C6A-26A8-44D5-924C-BFA9C80C0652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4306170A-3682-406F-A189-CCA9265C1B71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BC4AA090-C8A5-49D0-94C1-B3FE29990466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26C10F9F-BD15-4B47-A6C1-FC41C83F4C2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2AAE947D-2F44-426F-A91E-1A2AEA310E67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05C8E86F-7FFC-4032-9068-83193ADA0E9C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A9685917-5CAD-4D91-9AB8-11971F4398A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2AB7CEA8-511B-407B-82C0-595113E3802F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2D33AE76-358D-4D4E-B4D7-9D4D7716E729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C88C8C8C-691E-4E76-B6B5-3B828C16DD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B91A18E4-591F-44B5-BA99-170E7AB9084A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83A4C843-781A-4DAD-8B27-1B3504E9D83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9DAE3D21-3C9C-4320-AD92-A6645CC33A9E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AC9149F0-F0F4-4354-B903-D109BB37025E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4F06009D-10C7-4A32-8600-C0A77CAA408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W5" authorId="0" shapeId="0" xr:uid="{00000000-0006-0000-0300-000001000000}">
      <text>
        <r>
          <rPr>
            <sz val="8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300-000002000000}">
      <text>
        <r>
          <rPr>
            <b/>
            <sz val="8"/>
            <rFont val="Tahoma"/>
            <family val="2"/>
          </rPr>
          <t xml:space="preserve">0,028
</t>
        </r>
        <r>
          <rPr>
            <sz val="8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 xr:uid="{00000000-0006-0000-0300-000003000000}">
      <text>
        <r>
          <rPr>
            <b/>
            <sz val="8"/>
            <rFont val="Tahoma"/>
            <family val="2"/>
          </rPr>
          <t xml:space="preserve">0,04 (no es conocido)
</t>
        </r>
        <r>
          <rPr>
            <sz val="8"/>
            <rFont val="Tahoma"/>
            <family val="2"/>
          </rPr>
          <t>Solamente si hay jugadores con ANOTACION+BP
Qualquier jugador de campo</t>
        </r>
      </text>
    </comment>
    <comment ref="W8" authorId="0" shapeId="0" xr:uid="{00000000-0006-0000-0300-000004000000}">
      <text>
        <r>
          <rPr>
            <b/>
            <sz val="8"/>
            <rFont val="Tahoma"/>
            <family val="2"/>
          </rPr>
          <t xml:space="preserve">0,018
</t>
        </r>
        <r>
          <rPr>
            <sz val="8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300-000005000000}">
      <text>
        <r>
          <rPr>
            <b/>
            <sz val="8"/>
            <rFont val="Tahoma"/>
            <family val="2"/>
          </rPr>
          <t xml:space="preserve">Según nivel de defensa del IMP
</t>
        </r>
        <r>
          <rPr>
            <sz val="8"/>
            <rFont val="Tahoma"/>
            <family val="2"/>
          </rPr>
          <t>0,045 Medios
0,015 Defensas</t>
        </r>
        <r>
          <rPr>
            <b/>
            <sz val="8"/>
            <rFont val="Tahoma"/>
            <family val="2"/>
          </rPr>
          <t xml:space="preserve">
</t>
        </r>
      </text>
    </comment>
    <comment ref="W10" authorId="0" shapeId="0" xr:uid="{00000000-0006-0000-0300-000006000000}">
      <text>
        <r>
          <rPr>
            <b/>
            <sz val="8"/>
            <rFont val="Tahoma"/>
            <family val="2"/>
          </rPr>
          <t xml:space="preserve">0,075 lineal
</t>
        </r>
        <r>
          <rPr>
            <sz val="8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300-000007000000}">
      <text>
        <r>
          <rPr>
            <b/>
            <sz val="8"/>
            <rFont val="Tahoma"/>
            <family val="2"/>
          </rPr>
          <t xml:space="preserve">0,075 lineal por ser RAP (puede de PASES pero no se sabe)
</t>
        </r>
        <r>
          <rPr>
            <sz val="8"/>
            <rFont val="Tahoma"/>
            <family val="2"/>
          </rPr>
          <t>Remata siempre un delantero y no depende del rival</t>
        </r>
      </text>
    </comment>
    <comment ref="W12" authorId="0" shapeId="0" xr:uid="{00000000-0006-0000-0300-000008000000}">
      <text>
        <r>
          <rPr>
            <sz val="8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300-000009000000}">
      <text>
        <r>
          <rPr>
            <b/>
            <sz val="8"/>
            <rFont val="Tahoma"/>
            <family val="2"/>
          </rPr>
          <t xml:space="preserve">0,133
</t>
        </r>
        <r>
          <rPr>
            <sz val="8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300-00000A000000}">
      <text>
        <r>
          <rPr>
            <b/>
            <sz val="8"/>
            <rFont val="Tahoma"/>
            <family val="2"/>
          </rPr>
          <t xml:space="preserve">0,08 lineal
</t>
        </r>
        <r>
          <rPr>
            <sz val="8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300-00000B000000}">
      <text>
        <r>
          <rPr>
            <b/>
            <sz val="8"/>
            <rFont val="Tahoma"/>
            <family val="2"/>
          </rPr>
          <t>0,03 (depende del XP de los jugadores)</t>
        </r>
        <r>
          <rPr>
            <sz val="8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rFont val="Tahoma"/>
            <family val="2"/>
          </rPr>
          <t xml:space="preserve">
</t>
        </r>
      </text>
    </comment>
    <comment ref="W16" authorId="0" shapeId="0" xr:uid="{00000000-0006-0000-0300-00000C000000}">
      <text>
        <r>
          <rPr>
            <b/>
            <sz val="8"/>
            <rFont val="Tahoma"/>
            <family val="2"/>
          </rPr>
          <t>0,3 (muy común si es posible)</t>
        </r>
        <r>
          <rPr>
            <sz val="8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300-00000D000000}">
      <text>
        <r>
          <rPr>
            <b/>
            <sz val="8"/>
            <rFont val="Tahoma"/>
            <family val="2"/>
          </rPr>
          <t>"Pres" "normal" "AOW" "AIM"</t>
        </r>
      </text>
    </comment>
    <comment ref="W17" authorId="0" shapeId="0" xr:uid="{00000000-0006-0000-0300-00000E000000}">
      <text>
        <r>
          <rPr>
            <b/>
            <sz val="8"/>
            <rFont val="Tahoma"/>
            <family val="2"/>
          </rPr>
          <t xml:space="preserve">0,04
</t>
        </r>
        <r>
          <rPr>
            <sz val="8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300-00000F000000}">
      <text>
        <r>
          <rPr>
            <b/>
            <sz val="8"/>
            <rFont val="Tahoma"/>
            <family val="2"/>
          </rPr>
          <t>Incluyo en el 37!!!!!</t>
        </r>
      </text>
    </comment>
    <comment ref="W19" authorId="0" shapeId="0" xr:uid="{00000000-0006-0000-0300-000010000000}">
      <text>
        <r>
          <rPr>
            <b/>
            <sz val="8"/>
            <rFont val="Tahoma"/>
            <family val="2"/>
          </rPr>
          <t>0,045 lineal por TEC (extremos y delanteros)</t>
        </r>
        <r>
          <rPr>
            <sz val="8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300-00001100000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00000000-0006-0000-0300-000012000000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300-000013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00000000-0006-0000-0300-000014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W5" authorId="0" shapeId="0" xr:uid="{00000000-0006-0000-0400-000001000000}">
      <text>
        <r>
          <rPr>
            <sz val="8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400-000002000000}">
      <text>
        <r>
          <rPr>
            <b/>
            <sz val="8"/>
            <rFont val="Tahoma"/>
            <family val="2"/>
          </rPr>
          <t xml:space="preserve">0,028
</t>
        </r>
        <r>
          <rPr>
            <sz val="8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400-000003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400-000004000000}">
      <text>
        <r>
          <rPr>
            <b/>
            <sz val="8"/>
            <rFont val="Tahoma"/>
            <family val="2"/>
          </rPr>
          <t xml:space="preserve">0,04 (no es conocido)
</t>
        </r>
        <r>
          <rPr>
            <sz val="8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400-000005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400-000006000000}">
      <text>
        <r>
          <rPr>
            <b/>
            <sz val="8"/>
            <rFont val="Tahoma"/>
            <family val="2"/>
          </rPr>
          <t xml:space="preserve">0,018
</t>
        </r>
        <r>
          <rPr>
            <sz val="8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400-000007000000}">
      <text>
        <r>
          <rPr>
            <b/>
            <sz val="8"/>
            <rFont val="Tahoma"/>
            <family val="2"/>
          </rPr>
          <t xml:space="preserve">Según nivel de defensa del IMP
</t>
        </r>
        <r>
          <rPr>
            <sz val="8"/>
            <rFont val="Tahoma"/>
            <family val="2"/>
          </rPr>
          <t>0,045 Medios
0,015 Defensas</t>
        </r>
        <r>
          <rPr>
            <b/>
            <sz val="8"/>
            <rFont val="Tahoma"/>
            <family val="2"/>
          </rPr>
          <t xml:space="preserve">
</t>
        </r>
      </text>
    </comment>
    <comment ref="W10" authorId="0" shapeId="0" xr:uid="{00000000-0006-0000-0400-000008000000}">
      <text>
        <r>
          <rPr>
            <b/>
            <sz val="8"/>
            <rFont val="Tahoma"/>
            <family val="2"/>
          </rPr>
          <t xml:space="preserve">0,075 lineal
</t>
        </r>
        <r>
          <rPr>
            <sz val="8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400-000009000000}">
      <text>
        <r>
          <rPr>
            <b/>
            <sz val="8"/>
            <rFont val="Tahoma"/>
            <family val="2"/>
          </rPr>
          <t xml:space="preserve">0,075 lineal por ser RAP (puede de PASES pero no se sabe)
</t>
        </r>
        <r>
          <rPr>
            <sz val="8"/>
            <rFont val="Tahoma"/>
            <family val="2"/>
          </rPr>
          <t>Remata siempre un delantero y no depende del rival</t>
        </r>
      </text>
    </comment>
    <comment ref="W12" authorId="0" shapeId="0" xr:uid="{00000000-0006-0000-0400-00000A000000}">
      <text>
        <r>
          <rPr>
            <sz val="8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400-00000B000000}">
      <text>
        <r>
          <rPr>
            <b/>
            <sz val="8"/>
            <rFont val="Tahoma"/>
            <family val="2"/>
          </rPr>
          <t xml:space="preserve">0,133
</t>
        </r>
        <r>
          <rPr>
            <sz val="8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400-00000C000000}">
      <text>
        <r>
          <rPr>
            <b/>
            <sz val="8"/>
            <rFont val="Tahoma"/>
            <family val="2"/>
          </rPr>
          <t xml:space="preserve">0,08 lineal
</t>
        </r>
        <r>
          <rPr>
            <sz val="8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400-00000D000000}">
      <text>
        <r>
          <rPr>
            <b/>
            <sz val="8"/>
            <rFont val="Tahoma"/>
            <family val="2"/>
          </rPr>
          <t>0,03 (depende del XP de los jugadores)</t>
        </r>
        <r>
          <rPr>
            <sz val="8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rFont val="Tahoma"/>
            <family val="2"/>
          </rPr>
          <t xml:space="preserve">
</t>
        </r>
      </text>
    </comment>
    <comment ref="W16" authorId="0" shapeId="0" xr:uid="{00000000-0006-0000-0400-00000E000000}">
      <text>
        <r>
          <rPr>
            <b/>
            <sz val="8"/>
            <rFont val="Tahoma"/>
            <family val="2"/>
          </rPr>
          <t>0,3 (muy común si es posible)</t>
        </r>
        <r>
          <rPr>
            <sz val="8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400-00000F000000}">
      <text>
        <r>
          <rPr>
            <b/>
            <sz val="8"/>
            <rFont val="Tahoma"/>
            <family val="2"/>
          </rPr>
          <t>"Pres" "normal" "AOW" "AIM"</t>
        </r>
      </text>
    </comment>
    <comment ref="W17" authorId="0" shapeId="0" xr:uid="{00000000-0006-0000-0400-000010000000}">
      <text>
        <r>
          <rPr>
            <b/>
            <sz val="8"/>
            <rFont val="Tahoma"/>
            <family val="2"/>
          </rPr>
          <t xml:space="preserve">0,04
</t>
        </r>
        <r>
          <rPr>
            <sz val="8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400-000011000000}">
      <text>
        <r>
          <rPr>
            <b/>
            <sz val="8"/>
            <rFont val="Tahoma"/>
            <family val="2"/>
          </rPr>
          <t>Incluyo en el 37!!!!!</t>
        </r>
      </text>
    </comment>
    <comment ref="W19" authorId="0" shapeId="0" xr:uid="{00000000-0006-0000-0400-000012000000}">
      <text>
        <r>
          <rPr>
            <b/>
            <sz val="8"/>
            <rFont val="Tahoma"/>
            <family val="2"/>
          </rPr>
          <t>0,045 lineal por TEC (extremos y delanteros)</t>
        </r>
        <r>
          <rPr>
            <sz val="8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400-00001300000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00000000-0006-0000-0400-000014000000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400-000015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00000000-0006-0000-0400-000016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W5" authorId="0" shapeId="0" xr:uid="{00000000-0006-0000-0500-000001000000}">
      <text>
        <r>
          <rPr>
            <sz val="8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500-000002000000}">
      <text>
        <r>
          <rPr>
            <b/>
            <sz val="8"/>
            <rFont val="Tahoma"/>
            <family val="2"/>
          </rPr>
          <t xml:space="preserve">0,028
</t>
        </r>
        <r>
          <rPr>
            <sz val="8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500-000003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500-000004000000}">
      <text>
        <r>
          <rPr>
            <b/>
            <sz val="8"/>
            <rFont val="Tahoma"/>
            <family val="2"/>
          </rPr>
          <t xml:space="preserve">0,04 (no es conocido)
</t>
        </r>
        <r>
          <rPr>
            <sz val="8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500-000005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500-000006000000}">
      <text>
        <r>
          <rPr>
            <b/>
            <sz val="8"/>
            <rFont val="Tahoma"/>
            <family val="2"/>
          </rPr>
          <t xml:space="preserve">0,018
</t>
        </r>
        <r>
          <rPr>
            <sz val="8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500-000007000000}">
      <text>
        <r>
          <rPr>
            <b/>
            <sz val="8"/>
            <rFont val="Tahoma"/>
            <family val="2"/>
          </rPr>
          <t xml:space="preserve">Según nivel de defensa del IMP
</t>
        </r>
        <r>
          <rPr>
            <sz val="8"/>
            <rFont val="Tahoma"/>
            <family val="2"/>
          </rPr>
          <t>0,045 Medios
0,015 Defensas</t>
        </r>
        <r>
          <rPr>
            <b/>
            <sz val="8"/>
            <rFont val="Tahoma"/>
            <family val="2"/>
          </rPr>
          <t xml:space="preserve">
</t>
        </r>
      </text>
    </comment>
    <comment ref="W10" authorId="0" shapeId="0" xr:uid="{00000000-0006-0000-0500-000008000000}">
      <text>
        <r>
          <rPr>
            <b/>
            <sz val="8"/>
            <rFont val="Tahoma"/>
            <family val="2"/>
          </rPr>
          <t xml:space="preserve">0,075 lineal
</t>
        </r>
        <r>
          <rPr>
            <sz val="8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500-000009000000}">
      <text>
        <r>
          <rPr>
            <b/>
            <sz val="8"/>
            <rFont val="Tahoma"/>
            <family val="2"/>
          </rPr>
          <t xml:space="preserve">0,075 lineal por ser RAP (puede de PASES pero no se sabe)
</t>
        </r>
        <r>
          <rPr>
            <sz val="8"/>
            <rFont val="Tahoma"/>
            <family val="2"/>
          </rPr>
          <t>Remata siempre un delantero y no depende del rival</t>
        </r>
      </text>
    </comment>
    <comment ref="W12" authorId="0" shapeId="0" xr:uid="{00000000-0006-0000-0500-00000A000000}">
      <text>
        <r>
          <rPr>
            <sz val="8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500-00000B000000}">
      <text>
        <r>
          <rPr>
            <b/>
            <sz val="8"/>
            <rFont val="Tahoma"/>
            <family val="2"/>
          </rPr>
          <t xml:space="preserve">0,133
</t>
        </r>
        <r>
          <rPr>
            <sz val="8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500-00000C000000}">
      <text>
        <r>
          <rPr>
            <b/>
            <sz val="8"/>
            <rFont val="Tahoma"/>
            <family val="2"/>
          </rPr>
          <t xml:space="preserve">0,08 lineal
</t>
        </r>
        <r>
          <rPr>
            <sz val="8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500-00000D000000}">
      <text>
        <r>
          <rPr>
            <b/>
            <sz val="8"/>
            <rFont val="Tahoma"/>
            <family val="2"/>
          </rPr>
          <t>0,03 (depende del XP de los jugadores)</t>
        </r>
        <r>
          <rPr>
            <sz val="8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rFont val="Tahoma"/>
            <family val="2"/>
          </rPr>
          <t xml:space="preserve">
</t>
        </r>
      </text>
    </comment>
    <comment ref="W16" authorId="0" shapeId="0" xr:uid="{00000000-0006-0000-0500-00000E000000}">
      <text>
        <r>
          <rPr>
            <b/>
            <sz val="8"/>
            <rFont val="Tahoma"/>
            <family val="2"/>
          </rPr>
          <t>0,3 (muy común si es posible)</t>
        </r>
        <r>
          <rPr>
            <sz val="8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500-00000F000000}">
      <text>
        <r>
          <rPr>
            <b/>
            <sz val="8"/>
            <rFont val="Tahoma"/>
            <family val="2"/>
          </rPr>
          <t>"Pres" "normal" "AOW" "AIM"</t>
        </r>
      </text>
    </comment>
    <comment ref="W17" authorId="0" shapeId="0" xr:uid="{00000000-0006-0000-0500-000010000000}">
      <text>
        <r>
          <rPr>
            <b/>
            <sz val="8"/>
            <rFont val="Tahoma"/>
            <family val="2"/>
          </rPr>
          <t xml:space="preserve">0,04
</t>
        </r>
        <r>
          <rPr>
            <sz val="8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500-000011000000}">
      <text>
        <r>
          <rPr>
            <b/>
            <sz val="8"/>
            <rFont val="Tahoma"/>
            <family val="2"/>
          </rPr>
          <t>Incluyo en el 19</t>
        </r>
      </text>
    </comment>
    <comment ref="W19" authorId="0" shapeId="0" xr:uid="{00000000-0006-0000-0500-000012000000}">
      <text>
        <r>
          <rPr>
            <b/>
            <sz val="8"/>
            <rFont val="Tahoma"/>
            <family val="2"/>
          </rPr>
          <t>0,045 lineal por TEC (extremos y delanteros)</t>
        </r>
        <r>
          <rPr>
            <sz val="8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500-00001300000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00000000-0006-0000-0500-000014000000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500-000015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00000000-0006-0000-0500-000016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W5" authorId="0" shapeId="0" xr:uid="{00000000-0006-0000-0600-000001000000}">
      <text>
        <r>
          <rPr>
            <sz val="8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600-000002000000}">
      <text>
        <r>
          <rPr>
            <b/>
            <sz val="8"/>
            <rFont val="Tahoma"/>
            <family val="2"/>
          </rPr>
          <t xml:space="preserve">0,028
</t>
        </r>
        <r>
          <rPr>
            <sz val="8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600-000015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600-000003000000}">
      <text>
        <r>
          <rPr>
            <b/>
            <sz val="8"/>
            <rFont val="Tahoma"/>
            <family val="2"/>
          </rPr>
          <t xml:space="preserve">0,04 (no es conocido)
</t>
        </r>
        <r>
          <rPr>
            <sz val="8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600-000016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600-000004000000}">
      <text>
        <r>
          <rPr>
            <b/>
            <sz val="8"/>
            <rFont val="Tahoma"/>
            <family val="2"/>
          </rPr>
          <t xml:space="preserve">0,018
</t>
        </r>
        <r>
          <rPr>
            <sz val="8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600-000005000000}">
      <text>
        <r>
          <rPr>
            <b/>
            <sz val="8"/>
            <rFont val="Tahoma"/>
            <family val="2"/>
          </rPr>
          <t xml:space="preserve">Según nivel de defensa del IMP
</t>
        </r>
        <r>
          <rPr>
            <sz val="8"/>
            <rFont val="Tahoma"/>
            <family val="2"/>
          </rPr>
          <t>0,045 Medios
0,015 Defensas</t>
        </r>
        <r>
          <rPr>
            <b/>
            <sz val="8"/>
            <rFont val="Tahoma"/>
            <family val="2"/>
          </rPr>
          <t xml:space="preserve">
</t>
        </r>
      </text>
    </comment>
    <comment ref="W10" authorId="0" shapeId="0" xr:uid="{00000000-0006-0000-0600-000006000000}">
      <text>
        <r>
          <rPr>
            <b/>
            <sz val="8"/>
            <rFont val="Tahoma"/>
            <family val="2"/>
          </rPr>
          <t xml:space="preserve">0,075 lineal
</t>
        </r>
        <r>
          <rPr>
            <sz val="8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600-000007000000}">
      <text>
        <r>
          <rPr>
            <b/>
            <sz val="8"/>
            <rFont val="Tahoma"/>
            <family val="2"/>
          </rPr>
          <t xml:space="preserve">0,075 lineal por ser RAP (puede de PASES pero no se sabe)
</t>
        </r>
        <r>
          <rPr>
            <sz val="8"/>
            <rFont val="Tahoma"/>
            <family val="2"/>
          </rPr>
          <t>Remata siempre un delantero y no depende del rival</t>
        </r>
      </text>
    </comment>
    <comment ref="W12" authorId="0" shapeId="0" xr:uid="{00000000-0006-0000-0600-000008000000}">
      <text>
        <r>
          <rPr>
            <sz val="8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600-000009000000}">
      <text>
        <r>
          <rPr>
            <b/>
            <sz val="8"/>
            <rFont val="Tahoma"/>
            <family val="2"/>
          </rPr>
          <t xml:space="preserve">0,133
</t>
        </r>
        <r>
          <rPr>
            <sz val="8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600-00000A000000}">
      <text>
        <r>
          <rPr>
            <b/>
            <sz val="8"/>
            <rFont val="Tahoma"/>
            <family val="2"/>
          </rPr>
          <t xml:space="preserve">0,08 lineal
</t>
        </r>
        <r>
          <rPr>
            <sz val="8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600-00000B000000}">
      <text>
        <r>
          <rPr>
            <b/>
            <sz val="8"/>
            <rFont val="Tahoma"/>
            <family val="2"/>
          </rPr>
          <t>0,03 (depende del XP de los jugadores)</t>
        </r>
        <r>
          <rPr>
            <sz val="8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rFont val="Tahoma"/>
            <family val="2"/>
          </rPr>
          <t xml:space="preserve">
</t>
        </r>
      </text>
    </comment>
    <comment ref="W16" authorId="0" shapeId="0" xr:uid="{00000000-0006-0000-0600-00000C000000}">
      <text>
        <r>
          <rPr>
            <b/>
            <sz val="8"/>
            <rFont val="Tahoma"/>
            <family val="2"/>
          </rPr>
          <t>0,3 (muy común si es posible)</t>
        </r>
        <r>
          <rPr>
            <sz val="8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600-00000D000000}">
      <text>
        <r>
          <rPr>
            <b/>
            <sz val="8"/>
            <rFont val="Tahoma"/>
            <family val="2"/>
          </rPr>
          <t>"Pres" "normal" "AOW" "AIM"</t>
        </r>
      </text>
    </comment>
    <comment ref="W17" authorId="0" shapeId="0" xr:uid="{00000000-0006-0000-0600-00000E000000}">
      <text>
        <r>
          <rPr>
            <b/>
            <sz val="8"/>
            <rFont val="Tahoma"/>
            <family val="2"/>
          </rPr>
          <t xml:space="preserve">0,04
</t>
        </r>
        <r>
          <rPr>
            <sz val="8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600-00000F000000}">
      <text>
        <r>
          <rPr>
            <b/>
            <sz val="8"/>
            <rFont val="Tahoma"/>
            <family val="2"/>
          </rPr>
          <t>Incluyo en el 19</t>
        </r>
      </text>
    </comment>
    <comment ref="W19" authorId="0" shapeId="0" xr:uid="{00000000-0006-0000-0600-000010000000}">
      <text>
        <r>
          <rPr>
            <b/>
            <sz val="8"/>
            <rFont val="Tahoma"/>
            <family val="2"/>
          </rPr>
          <t>0,045 lineal por TEC (extremos y delanteros)</t>
        </r>
        <r>
          <rPr>
            <sz val="8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600-00001100000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00000000-0006-0000-0600-000012000000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600-000013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00000000-0006-0000-0600-000014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W5" authorId="0" shapeId="0" xr:uid="{00000000-0006-0000-0700-000001000000}">
      <text>
        <r>
          <rPr>
            <sz val="8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700-000002000000}">
      <text>
        <r>
          <rPr>
            <b/>
            <sz val="8"/>
            <rFont val="Tahoma"/>
            <family val="2"/>
          </rPr>
          <t xml:space="preserve">0,028
</t>
        </r>
        <r>
          <rPr>
            <sz val="8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700-000003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700-000004000000}">
      <text>
        <r>
          <rPr>
            <b/>
            <sz val="8"/>
            <rFont val="Tahoma"/>
            <family val="2"/>
          </rPr>
          <t xml:space="preserve">0,04 (no es conocido)
</t>
        </r>
        <r>
          <rPr>
            <sz val="8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700-000005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700-000006000000}">
      <text>
        <r>
          <rPr>
            <b/>
            <sz val="8"/>
            <rFont val="Tahoma"/>
            <family val="2"/>
          </rPr>
          <t xml:space="preserve">0,018
</t>
        </r>
        <r>
          <rPr>
            <sz val="8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700-000007000000}">
      <text>
        <r>
          <rPr>
            <b/>
            <sz val="8"/>
            <rFont val="Tahoma"/>
            <family val="2"/>
          </rPr>
          <t xml:space="preserve">Según nivel de defensa del IMP
</t>
        </r>
        <r>
          <rPr>
            <sz val="8"/>
            <rFont val="Tahoma"/>
            <family val="2"/>
          </rPr>
          <t>0,045 Medios
0,015 Defensas</t>
        </r>
        <r>
          <rPr>
            <b/>
            <sz val="8"/>
            <rFont val="Tahoma"/>
            <family val="2"/>
          </rPr>
          <t xml:space="preserve">
</t>
        </r>
      </text>
    </comment>
    <comment ref="W10" authorId="0" shapeId="0" xr:uid="{00000000-0006-0000-0700-000008000000}">
      <text>
        <r>
          <rPr>
            <b/>
            <sz val="8"/>
            <rFont val="Tahoma"/>
            <family val="2"/>
          </rPr>
          <t xml:space="preserve">0,075 lineal
</t>
        </r>
        <r>
          <rPr>
            <sz val="8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700-000009000000}">
      <text>
        <r>
          <rPr>
            <b/>
            <sz val="8"/>
            <rFont val="Tahoma"/>
            <family val="2"/>
          </rPr>
          <t xml:space="preserve">0,075 lineal por ser RAP (puede de PASES pero no se sabe)
</t>
        </r>
        <r>
          <rPr>
            <sz val="8"/>
            <rFont val="Tahoma"/>
            <family val="2"/>
          </rPr>
          <t>Remata siempre un delantero y no depende del rival</t>
        </r>
      </text>
    </comment>
    <comment ref="W12" authorId="0" shapeId="0" xr:uid="{00000000-0006-0000-0700-00000A000000}">
      <text>
        <r>
          <rPr>
            <sz val="8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700-00000B000000}">
      <text>
        <r>
          <rPr>
            <b/>
            <sz val="8"/>
            <rFont val="Tahoma"/>
            <family val="2"/>
          </rPr>
          <t xml:space="preserve">0,133
</t>
        </r>
        <r>
          <rPr>
            <sz val="8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700-00000C000000}">
      <text>
        <r>
          <rPr>
            <b/>
            <sz val="8"/>
            <rFont val="Tahoma"/>
            <family val="2"/>
          </rPr>
          <t xml:space="preserve">0,08 lineal
</t>
        </r>
        <r>
          <rPr>
            <sz val="8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700-00000D000000}">
      <text>
        <r>
          <rPr>
            <b/>
            <sz val="8"/>
            <rFont val="Tahoma"/>
            <family val="2"/>
          </rPr>
          <t>0,03 (depende del XP de los jugadores)</t>
        </r>
        <r>
          <rPr>
            <sz val="8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rFont val="Tahoma"/>
            <family val="2"/>
          </rPr>
          <t xml:space="preserve">
</t>
        </r>
      </text>
    </comment>
    <comment ref="W16" authorId="0" shapeId="0" xr:uid="{00000000-0006-0000-0700-00000E000000}">
      <text>
        <r>
          <rPr>
            <b/>
            <sz val="8"/>
            <rFont val="Tahoma"/>
            <family val="2"/>
          </rPr>
          <t>0,3 (muy común si es posible)</t>
        </r>
        <r>
          <rPr>
            <sz val="8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700-00000F000000}">
      <text>
        <r>
          <rPr>
            <b/>
            <sz val="8"/>
            <rFont val="Tahoma"/>
            <family val="2"/>
          </rPr>
          <t>"Pres" "normal" "AOW" "AIM"</t>
        </r>
      </text>
    </comment>
    <comment ref="W17" authorId="0" shapeId="0" xr:uid="{00000000-0006-0000-0700-000010000000}">
      <text>
        <r>
          <rPr>
            <b/>
            <sz val="8"/>
            <rFont val="Tahoma"/>
            <family val="2"/>
          </rPr>
          <t xml:space="preserve">0,04
</t>
        </r>
        <r>
          <rPr>
            <sz val="8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700-000011000000}">
      <text>
        <r>
          <rPr>
            <b/>
            <sz val="8"/>
            <rFont val="Tahoma"/>
            <family val="2"/>
          </rPr>
          <t>Incluyo en el 19</t>
        </r>
      </text>
    </comment>
    <comment ref="W19" authorId="0" shapeId="0" xr:uid="{00000000-0006-0000-0700-000012000000}">
      <text>
        <r>
          <rPr>
            <b/>
            <sz val="8"/>
            <rFont val="Tahoma"/>
            <family val="2"/>
          </rPr>
          <t>0,045 lineal por TEC (extremos y delanteros)</t>
        </r>
        <r>
          <rPr>
            <sz val="8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700-00001300000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00000000-0006-0000-0700-000014000000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4" authorId="0" shapeId="0" xr:uid="{00000000-0006-0000-0700-000015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8" authorId="0" shapeId="0" xr:uid="{00000000-0006-0000-0700-000016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sharedStrings.xml><?xml version="1.0" encoding="utf-8"?>
<sst xmlns="http://schemas.openxmlformats.org/spreadsheetml/2006/main" count="2070" uniqueCount="343">
  <si>
    <t>NEU</t>
  </si>
  <si>
    <t>RAP</t>
  </si>
  <si>
    <t>TEC</t>
  </si>
  <si>
    <t>All</t>
  </si>
  <si>
    <t>Clima</t>
  </si>
  <si>
    <t>Sol</t>
  </si>
  <si>
    <t>POT</t>
  </si>
  <si>
    <t>Ext+Del</t>
  </si>
  <si>
    <t>Del</t>
  </si>
  <si>
    <t>LOC</t>
  </si>
  <si>
    <t>VIS</t>
  </si>
  <si>
    <t>Loc</t>
  </si>
  <si>
    <t>HPrin</t>
  </si>
  <si>
    <t>Exp</t>
  </si>
  <si>
    <t>An</t>
  </si>
  <si>
    <t>Vis</t>
  </si>
  <si>
    <t>Pcrear</t>
  </si>
  <si>
    <t>Pconv</t>
  </si>
  <si>
    <t>p</t>
  </si>
  <si>
    <t>pLoc</t>
  </si>
  <si>
    <t>p(0)</t>
  </si>
  <si>
    <t>p(1)</t>
  </si>
  <si>
    <t>p(2)</t>
  </si>
  <si>
    <t>Ev</t>
  </si>
  <si>
    <t>pVis</t>
  </si>
  <si>
    <t>pEq</t>
  </si>
  <si>
    <t>N</t>
  </si>
  <si>
    <t>pbase_P</t>
  </si>
  <si>
    <t>pbase</t>
  </si>
  <si>
    <t>Pslot</t>
  </si>
  <si>
    <t>FORMACION</t>
  </si>
  <si>
    <t>POR</t>
  </si>
  <si>
    <t>no</t>
  </si>
  <si>
    <t>Pase largo de imprevisible</t>
  </si>
  <si>
    <t>05</t>
  </si>
  <si>
    <t>Mediocampo</t>
  </si>
  <si>
    <t>LAT</t>
  </si>
  <si>
    <t>IMP</t>
  </si>
  <si>
    <t>Imprevisible recupera balón</t>
  </si>
  <si>
    <t>06</t>
  </si>
  <si>
    <t>Defensa derecha</t>
  </si>
  <si>
    <t>DC</t>
  </si>
  <si>
    <t>IMP Propia</t>
  </si>
  <si>
    <t>25</t>
  </si>
  <si>
    <t>Defensa central</t>
  </si>
  <si>
    <t>Imprevisible crea ocasión</t>
  </si>
  <si>
    <t>08</t>
  </si>
  <si>
    <t>Defensa izquierda</t>
  </si>
  <si>
    <t>Pérdida de balón Imprev.</t>
  </si>
  <si>
    <t>09</t>
  </si>
  <si>
    <t>Ataque derecho</t>
  </si>
  <si>
    <t>Rápido dispara a gol</t>
  </si>
  <si>
    <t>15</t>
  </si>
  <si>
    <t>Ataque central</t>
  </si>
  <si>
    <t>MD</t>
  </si>
  <si>
    <t>Pase de un jugador rápido</t>
  </si>
  <si>
    <t>16</t>
  </si>
  <si>
    <t>Ataque izquierdo</t>
  </si>
  <si>
    <t>Cansancio</t>
  </si>
  <si>
    <t>17</t>
  </si>
  <si>
    <t>Faltas indirectas Def</t>
  </si>
  <si>
    <t>Córner</t>
  </si>
  <si>
    <t>18</t>
  </si>
  <si>
    <t>Faltas indirectas At</t>
  </si>
  <si>
    <t>EXT</t>
  </si>
  <si>
    <t>Córner + cabeceador</t>
  </si>
  <si>
    <t>19</t>
  </si>
  <si>
    <t>Experiencia Equipo</t>
  </si>
  <si>
    <t>Experiencia</t>
  </si>
  <si>
    <t>35</t>
  </si>
  <si>
    <t xml:space="preserve">Nivel medio HabPri </t>
  </si>
  <si>
    <t>DV</t>
  </si>
  <si>
    <t>Inexperiencia</t>
  </si>
  <si>
    <t>36</t>
  </si>
  <si>
    <t>Tactica</t>
  </si>
  <si>
    <t>Normal</t>
  </si>
  <si>
    <t>Extremo + anotación</t>
  </si>
  <si>
    <t>37</t>
  </si>
  <si>
    <t>Nivel Tactica</t>
  </si>
  <si>
    <t>Extremo + cabeceador</t>
  </si>
  <si>
    <t>38</t>
  </si>
  <si>
    <t>&lt;3</t>
  </si>
  <si>
    <t>3 o más</t>
  </si>
  <si>
    <t>Técnivo vs. Cabeceador</t>
  </si>
  <si>
    <t>39</t>
  </si>
  <si>
    <t>Oca Destruidas Pression</t>
  </si>
  <si>
    <t>Ocasiones Compartidas</t>
  </si>
  <si>
    <t>Posesión HT</t>
  </si>
  <si>
    <t>Ocasiones Gol</t>
  </si>
  <si>
    <t>Posesión Real</t>
  </si>
  <si>
    <t>Local</t>
  </si>
  <si>
    <t>Visitante</t>
  </si>
  <si>
    <t>G</t>
  </si>
  <si>
    <t>GT</t>
  </si>
  <si>
    <t>p(x)</t>
  </si>
  <si>
    <t>EE(x)</t>
  </si>
  <si>
    <t>OcaS</t>
  </si>
  <si>
    <t>P</t>
  </si>
  <si>
    <t>O_CA</t>
  </si>
  <si>
    <t>TotalN</t>
  </si>
  <si>
    <t>OcaCA</t>
  </si>
  <si>
    <t>Total</t>
  </si>
  <si>
    <t>E(x)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</si>
  <si>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</si>
  <si>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</si>
  <si>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</si>
  <si>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</si>
  <si>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</si>
  <si>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</si>
  <si>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</si>
  <si>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</si>
  <si>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</si>
  <si>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</si>
  <si>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</si>
  <si>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at-central</t>
  </si>
  <si>
    <t>at-derecha</t>
  </si>
  <si>
    <t>at-izquierda</t>
  </si>
  <si>
    <t>at-bp-d</t>
  </si>
  <si>
    <t>at-bp-i</t>
  </si>
  <si>
    <t>Tiro Lejano</t>
  </si>
  <si>
    <t>Efectividad</t>
  </si>
  <si>
    <t>Probabilidad de TL</t>
  </si>
  <si>
    <t>Probabilidad de CA</t>
  </si>
  <si>
    <t>Ocasiones Total Gol</t>
  </si>
  <si>
    <t>EMPATE</t>
  </si>
  <si>
    <t>VISITANT</t>
  </si>
  <si>
    <t>LOCAL</t>
  </si>
  <si>
    <t>Esp</t>
  </si>
  <si>
    <t>+/-</t>
  </si>
  <si>
    <t>Hab</t>
  </si>
  <si>
    <t>Tiempo</t>
  </si>
  <si>
    <t>Lluvia</t>
  </si>
  <si>
    <t>-</t>
  </si>
  <si>
    <t>-JUG-ANO</t>
  </si>
  <si>
    <t>1º+2º</t>
  </si>
  <si>
    <t>+</t>
  </si>
  <si>
    <t>+JUG+ANO</t>
  </si>
  <si>
    <t xml:space="preserve">POT </t>
  </si>
  <si>
    <t>+DF+JG+AN</t>
  </si>
  <si>
    <t>-ANO-RES</t>
  </si>
  <si>
    <t>2º</t>
  </si>
  <si>
    <t>-DEF-ANO</t>
  </si>
  <si>
    <t>-DEF</t>
  </si>
  <si>
    <t>Vader</t>
  </si>
  <si>
    <t>CAB</t>
  </si>
  <si>
    <t>CA</t>
  </si>
  <si>
    <t>Obiwan</t>
  </si>
  <si>
    <t>Eventos</t>
  </si>
  <si>
    <t>0,4</t>
  </si>
  <si>
    <t>0,6</t>
  </si>
  <si>
    <t>0,72</t>
  </si>
  <si>
    <t>pA</t>
  </si>
  <si>
    <t>Tiro lejano</t>
  </si>
  <si>
    <t>07</t>
  </si>
  <si>
    <t>JC</t>
  </si>
  <si>
    <t>Ev.Clima</t>
  </si>
  <si>
    <t>&lt;debil</t>
  </si>
  <si>
    <t>Constantes Clima</t>
  </si>
  <si>
    <t>pLocal50</t>
  </si>
  <si>
    <t>pVis50</t>
  </si>
  <si>
    <t>FORM</t>
  </si>
  <si>
    <t>rap</t>
  </si>
  <si>
    <t>Nublado</t>
  </si>
  <si>
    <t>No</t>
  </si>
  <si>
    <t>Pos1</t>
  </si>
  <si>
    <t>Pos2</t>
  </si>
  <si>
    <t>E+D</t>
  </si>
  <si>
    <t>Evento</t>
  </si>
  <si>
    <t>Slots</t>
  </si>
  <si>
    <t>Descripcion</t>
  </si>
  <si>
    <t>Slots1</t>
  </si>
  <si>
    <t>Slots2</t>
  </si>
  <si>
    <t>pOK</t>
  </si>
  <si>
    <t>a1</t>
  </si>
  <si>
    <t>a2</t>
  </si>
  <si>
    <t>pConv1</t>
  </si>
  <si>
    <t>pConv2</t>
  </si>
  <si>
    <t>g1</t>
  </si>
  <si>
    <t>g2</t>
  </si>
  <si>
    <t>IMP+Pase</t>
  </si>
  <si>
    <t>IMP+Ano</t>
  </si>
  <si>
    <t>IMP Fallo</t>
  </si>
  <si>
    <t>RAP+Ano</t>
  </si>
  <si>
    <t>RAP+Pase</t>
  </si>
  <si>
    <t>pos</t>
  </si>
  <si>
    <t>Corner + Ano</t>
  </si>
  <si>
    <t>Corner + CAB</t>
  </si>
  <si>
    <t>Lat+CAB</t>
  </si>
  <si>
    <t>Lat+ANO</t>
  </si>
  <si>
    <t>TEC vs CAB</t>
  </si>
  <si>
    <t>07/09/2020 lunes</t>
  </si>
  <si>
    <t>Jugador</t>
  </si>
  <si>
    <t>PA</t>
  </si>
  <si>
    <t>Estat</t>
  </si>
  <si>
    <t>Anys</t>
  </si>
  <si>
    <t>R. Gravagnuolo</t>
  </si>
  <si>
    <t>27.22</t>
  </si>
  <si>
    <t>T. Gunnarsson</t>
  </si>
  <si>
    <t>28.16</t>
  </si>
  <si>
    <t>H. Al-Sulaiti</t>
  </si>
  <si>
    <t>27.45</t>
  </si>
  <si>
    <t>L. Zaldivar</t>
  </si>
  <si>
    <t>30.24</t>
  </si>
  <si>
    <t>R. Roosenboom</t>
  </si>
  <si>
    <t>28.42</t>
  </si>
  <si>
    <t>C. Deligny</t>
  </si>
  <si>
    <t>29.57</t>
  </si>
  <si>
    <t>R. Scott</t>
  </si>
  <si>
    <t>19.82</t>
  </si>
  <si>
    <t>J. Vaquero</t>
  </si>
  <si>
    <t>32.29</t>
  </si>
  <si>
    <t>J. Trillo Salazar</t>
  </si>
  <si>
    <t>I. Karkar</t>
  </si>
  <si>
    <t>29.29</t>
  </si>
  <si>
    <t>M. Zabalburu</t>
  </si>
  <si>
    <t>21.49</t>
  </si>
  <si>
    <t>M. Iribarrena</t>
  </si>
  <si>
    <t>20.21</t>
  </si>
  <si>
    <t>R. Valverde</t>
  </si>
  <si>
    <t>24.0</t>
  </si>
  <si>
    <t>V. Ćorović</t>
  </si>
  <si>
    <t>21.89</t>
  </si>
  <si>
    <t>C. Kábele</t>
  </si>
  <si>
    <t>21.99</t>
  </si>
  <si>
    <t>B. Cendoya</t>
  </si>
  <si>
    <t>17.32</t>
  </si>
  <si>
    <t>O. Buztintzainguntzaga</t>
  </si>
  <si>
    <t>19.32</t>
  </si>
  <si>
    <t>R. Pérez Romero</t>
  </si>
  <si>
    <t>19.87</t>
  </si>
  <si>
    <t>I. Zúñiga</t>
  </si>
  <si>
    <t>19.90</t>
  </si>
  <si>
    <t>X. Larretegi</t>
  </si>
  <si>
    <t>21.37</t>
  </si>
  <si>
    <t>G. Lera Hernández</t>
  </si>
  <si>
    <t>17.89</t>
  </si>
  <si>
    <t>A. Ciguerondo</t>
  </si>
  <si>
    <t>18.16</t>
  </si>
  <si>
    <t>M. Gjerløw</t>
  </si>
  <si>
    <t>46.53</t>
  </si>
  <si>
    <t>H. Cierzniak</t>
  </si>
  <si>
    <t>38.91</t>
  </si>
  <si>
    <t>Des de</t>
  </si>
  <si>
    <t>TSI</t>
  </si>
  <si>
    <t>Lid</t>
  </si>
  <si>
    <t>Fo</t>
  </si>
  <si>
    <t>Res</t>
  </si>
  <si>
    <t>Fi</t>
  </si>
  <si>
    <t>MB</t>
  </si>
  <si>
    <t>Últim</t>
  </si>
  <si>
    <t>Pos</t>
  </si>
  <si>
    <t>Sou</t>
  </si>
  <si>
    <t>B. Wage</t>
  </si>
  <si>
    <t>W++</t>
  </si>
  <si>
    <t>U20 WC</t>
  </si>
  <si>
    <t>MC</t>
  </si>
  <si>
    <t>GL</t>
  </si>
  <si>
    <t>GC</t>
  </si>
  <si>
    <t>HT</t>
  </si>
  <si>
    <t>HR</t>
  </si>
  <si>
    <r>
      <t>2</t>
    </r>
    <r>
      <rPr>
        <sz val="11"/>
        <color rgb="FF000000"/>
        <rFont val="Calibri"/>
        <family val="2"/>
      </rPr>
      <t xml:space="preserve">set </t>
    </r>
    <r>
      <rPr>
        <b/>
        <sz val="11"/>
        <color rgb="FF000000"/>
        <rFont val="Calibri"/>
        <family val="2"/>
      </rPr>
      <t>6</t>
    </r>
    <r>
      <rPr>
        <sz val="11"/>
        <color rgb="FF000000"/>
        <rFont val="Calibri"/>
        <family val="2"/>
      </rPr>
      <t>d</t>
    </r>
  </si>
  <si>
    <t>71 410</t>
  </si>
  <si>
    <t>PO</t>
  </si>
  <si>
    <t>35 124</t>
  </si>
  <si>
    <t>29 270</t>
  </si>
  <si>
    <t>✔</t>
  </si>
  <si>
    <r>
      <t>1</t>
    </r>
    <r>
      <rPr>
        <sz val="11"/>
        <color rgb="FF000000"/>
        <rFont val="Calibri"/>
        <family val="2"/>
      </rPr>
      <t xml:space="preserve">t </t>
    </r>
    <r>
      <rPr>
        <b/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 xml:space="preserve">set </t>
    </r>
    <r>
      <rPr>
        <b/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>d</t>
    </r>
  </si>
  <si>
    <t>154 660</t>
  </si>
  <si>
    <t>9.5</t>
  </si>
  <si>
    <t>34 356</t>
  </si>
  <si>
    <t>28 630</t>
  </si>
  <si>
    <r>
      <t>14</t>
    </r>
    <r>
      <rPr>
        <sz val="11"/>
        <color rgb="FF000000"/>
        <rFont val="Calibri"/>
        <family val="2"/>
      </rPr>
      <t xml:space="preserve">set </t>
    </r>
    <r>
      <rPr>
        <b/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d</t>
    </r>
  </si>
  <si>
    <t>160 290</t>
  </si>
  <si>
    <t>37 020</t>
  </si>
  <si>
    <t>30 850</t>
  </si>
  <si>
    <r>
      <t>2</t>
    </r>
    <r>
      <rPr>
        <sz val="11"/>
        <color rgb="FF000000"/>
        <rFont val="Calibri"/>
        <family val="2"/>
      </rPr>
      <t>d</t>
    </r>
  </si>
  <si>
    <t>95 730</t>
  </si>
  <si>
    <t>8.5</t>
  </si>
  <si>
    <t>34 500</t>
  </si>
  <si>
    <t>28 750</t>
  </si>
  <si>
    <r>
      <t>7</t>
    </r>
    <r>
      <rPr>
        <sz val="11"/>
        <color rgb="FF000000"/>
        <rFont val="Calibri"/>
        <family val="2"/>
      </rPr>
      <t xml:space="preserve">t </t>
    </r>
    <r>
      <rPr>
        <b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set </t>
    </r>
    <r>
      <rPr>
        <b/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>d</t>
    </r>
  </si>
  <si>
    <t>234 190</t>
  </si>
  <si>
    <t>10.5</t>
  </si>
  <si>
    <t>60 444</t>
  </si>
  <si>
    <t>50 370</t>
  </si>
  <si>
    <t>217 810</t>
  </si>
  <si>
    <t>67 500</t>
  </si>
  <si>
    <t>56 250</t>
  </si>
  <si>
    <r>
      <t>1</t>
    </r>
    <r>
      <rPr>
        <sz val="11"/>
        <color rgb="FF000000"/>
        <rFont val="Calibri"/>
        <family val="2"/>
      </rPr>
      <t xml:space="preserve">t </t>
    </r>
    <r>
      <rPr>
        <b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set </t>
    </r>
    <r>
      <rPr>
        <b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d</t>
    </r>
  </si>
  <si>
    <t>7 840</t>
  </si>
  <si>
    <t>4.5</t>
  </si>
  <si>
    <t>XXXI:25</t>
  </si>
  <si>
    <r>
      <t>13</t>
    </r>
    <r>
      <rPr>
        <sz val="11"/>
        <color rgb="FF000000"/>
        <rFont val="Calibri"/>
        <family val="2"/>
      </rPr>
      <t xml:space="preserve">t </t>
    </r>
    <r>
      <rPr>
        <b/>
        <sz val="11"/>
        <color rgb="FF000000"/>
        <rFont val="Calibri"/>
        <family val="2"/>
      </rPr>
      <t>12</t>
    </r>
    <r>
      <rPr>
        <sz val="11"/>
        <color rgb="FF000000"/>
        <rFont val="Calibri"/>
        <family val="2"/>
      </rPr>
      <t xml:space="preserve">set </t>
    </r>
    <r>
      <rPr>
        <b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d</t>
    </r>
  </si>
  <si>
    <t>95 940</t>
  </si>
  <si>
    <t>11 120</t>
  </si>
  <si>
    <t>✕</t>
  </si>
  <si>
    <r>
      <t>1</t>
    </r>
    <r>
      <rPr>
        <sz val="11"/>
        <color rgb="FF000000"/>
        <rFont val="Calibri"/>
        <family val="2"/>
      </rPr>
      <t xml:space="preserve">t </t>
    </r>
    <r>
      <rPr>
        <b/>
        <sz val="11"/>
        <color rgb="FF000000"/>
        <rFont val="Calibri"/>
        <family val="2"/>
      </rPr>
      <t>9</t>
    </r>
    <r>
      <rPr>
        <sz val="11"/>
        <color rgb="FF000000"/>
        <rFont val="Calibri"/>
        <family val="2"/>
      </rPr>
      <t xml:space="preserve">set </t>
    </r>
    <r>
      <rPr>
        <b/>
        <sz val="11"/>
        <color rgb="FF000000"/>
        <rFont val="Calibri"/>
        <family val="2"/>
      </rPr>
      <t>6</t>
    </r>
    <r>
      <rPr>
        <sz val="11"/>
        <color rgb="FF000000"/>
        <rFont val="Calibri"/>
        <family val="2"/>
      </rPr>
      <t>d</t>
    </r>
  </si>
  <si>
    <t>12 230</t>
  </si>
  <si>
    <t>6.5</t>
  </si>
  <si>
    <t>XXXII:12</t>
  </si>
  <si>
    <r>
      <t>2</t>
    </r>
    <r>
      <rPr>
        <sz val="11"/>
        <color rgb="FF000000"/>
        <rFont val="Calibri"/>
        <family val="2"/>
      </rPr>
      <t xml:space="preserve">set </t>
    </r>
    <r>
      <rPr>
        <b/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>d</t>
    </r>
  </si>
  <si>
    <t>179 240</t>
  </si>
  <si>
    <t>42 396</t>
  </si>
  <si>
    <t>35 330</t>
  </si>
  <si>
    <r>
      <t>4</t>
    </r>
    <r>
      <rPr>
        <sz val="11"/>
        <color rgb="FF000000"/>
        <rFont val="Calibri"/>
        <family val="2"/>
      </rPr>
      <t xml:space="preserve">t </t>
    </r>
    <r>
      <rPr>
        <b/>
        <sz val="11"/>
        <color rgb="FF000000"/>
        <rFont val="Calibri"/>
        <family val="2"/>
      </rPr>
      <t>6</t>
    </r>
    <r>
      <rPr>
        <sz val="11"/>
        <color rgb="FF000000"/>
        <rFont val="Calibri"/>
        <family val="2"/>
      </rPr>
      <t xml:space="preserve">set </t>
    </r>
    <r>
      <rPr>
        <b/>
        <sz val="11"/>
        <color rgb="FF000000"/>
        <rFont val="Calibri"/>
        <family val="2"/>
      </rPr>
      <t>5</t>
    </r>
    <r>
      <rPr>
        <sz val="11"/>
        <color rgb="FF000000"/>
        <rFont val="Calibri"/>
        <family val="2"/>
      </rPr>
      <t>d</t>
    </r>
  </si>
  <si>
    <t>63 620</t>
  </si>
  <si>
    <t>4 270</t>
  </si>
  <si>
    <r>
      <t>2</t>
    </r>
    <r>
      <rPr>
        <sz val="11"/>
        <color rgb="FF000000"/>
        <rFont val="Calibri"/>
        <family val="2"/>
      </rPr>
      <t xml:space="preserve">t </t>
    </r>
    <r>
      <rPr>
        <b/>
        <sz val="11"/>
        <color rgb="FF000000"/>
        <rFont val="Calibri"/>
        <family val="2"/>
      </rPr>
      <t>7</t>
    </r>
    <r>
      <rPr>
        <sz val="11"/>
        <color rgb="FF000000"/>
        <rFont val="Calibri"/>
        <family val="2"/>
      </rPr>
      <t xml:space="preserve">set </t>
    </r>
    <r>
      <rPr>
        <b/>
        <sz val="11"/>
        <color rgb="FF000000"/>
        <rFont val="Calibri"/>
        <family val="2"/>
      </rPr>
      <t>0</t>
    </r>
    <r>
      <rPr>
        <sz val="11"/>
        <color rgb="FF000000"/>
        <rFont val="Calibri"/>
        <family val="2"/>
      </rPr>
      <t>d</t>
    </r>
  </si>
  <si>
    <t>1 110</t>
  </si>
  <si>
    <t>XXXI:17</t>
  </si>
  <si>
    <r>
      <t>6</t>
    </r>
    <r>
      <rPr>
        <sz val="11"/>
        <color rgb="FF000000"/>
        <rFont val="Calibri"/>
        <family val="2"/>
      </rPr>
      <t xml:space="preserve">t </t>
    </r>
    <r>
      <rPr>
        <b/>
        <sz val="11"/>
        <color rgb="FF000000"/>
        <rFont val="Calibri"/>
        <family val="2"/>
      </rPr>
      <t>4</t>
    </r>
    <r>
      <rPr>
        <sz val="11"/>
        <color rgb="FF000000"/>
        <rFont val="Calibri"/>
        <family val="2"/>
      </rPr>
      <t xml:space="preserve">set </t>
    </r>
    <r>
      <rPr>
        <b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d</t>
    </r>
  </si>
  <si>
    <t>3 580</t>
  </si>
  <si>
    <t>1 310</t>
  </si>
  <si>
    <r>
      <t>8</t>
    </r>
    <r>
      <rPr>
        <sz val="11"/>
        <color rgb="FF000000"/>
        <rFont val="Calibri"/>
        <family val="2"/>
      </rPr>
      <t xml:space="preserve">set </t>
    </r>
    <r>
      <rPr>
        <b/>
        <sz val="11"/>
        <color rgb="FF000000"/>
        <rFont val="Calibri"/>
        <family val="2"/>
      </rPr>
      <t>0</t>
    </r>
    <r>
      <rPr>
        <sz val="11"/>
        <color rgb="FF000000"/>
        <rFont val="Calibri"/>
        <family val="2"/>
      </rPr>
      <t>d</t>
    </r>
  </si>
  <si>
    <t>46 160</t>
  </si>
  <si>
    <t>11 556</t>
  </si>
  <si>
    <t>9 630</t>
  </si>
  <si>
    <r>
      <t>13</t>
    </r>
    <r>
      <rPr>
        <sz val="11"/>
        <color rgb="FF000000"/>
        <rFont val="Calibri"/>
        <family val="2"/>
      </rPr>
      <t xml:space="preserve">set </t>
    </r>
    <r>
      <rPr>
        <b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d</t>
    </r>
  </si>
  <si>
    <t>54 930</t>
  </si>
  <si>
    <t>8 892</t>
  </si>
  <si>
    <t>7 410</t>
  </si>
  <si>
    <r>
      <t>2</t>
    </r>
    <r>
      <rPr>
        <sz val="11"/>
        <color rgb="FF000000"/>
        <rFont val="Calibri"/>
        <family val="2"/>
      </rPr>
      <t xml:space="preserve">set </t>
    </r>
    <r>
      <rPr>
        <b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d</t>
    </r>
  </si>
  <si>
    <t>XXXIII:7</t>
  </si>
  <si>
    <r>
      <t>9</t>
    </r>
    <r>
      <rPr>
        <sz val="11"/>
        <color rgb="FF000000"/>
        <rFont val="Calibri"/>
        <family val="2"/>
      </rPr>
      <t xml:space="preserve">set </t>
    </r>
    <r>
      <rPr>
        <b/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>d</t>
    </r>
  </si>
  <si>
    <t>XXXII:7</t>
  </si>
  <si>
    <r>
      <t>1</t>
    </r>
    <r>
      <rPr>
        <sz val="11"/>
        <color rgb="FF000000"/>
        <rFont val="Calibri"/>
        <family val="2"/>
      </rPr>
      <t xml:space="preserve">t </t>
    </r>
    <r>
      <rPr>
        <b/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 xml:space="preserve">set </t>
    </r>
    <r>
      <rPr>
        <b/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>d</t>
    </r>
  </si>
  <si>
    <r>
      <t>2</t>
    </r>
    <r>
      <rPr>
        <sz val="11"/>
        <color rgb="FF000000"/>
        <rFont val="Calibri"/>
        <family val="2"/>
      </rPr>
      <t xml:space="preserve">t </t>
    </r>
    <r>
      <rPr>
        <b/>
        <sz val="11"/>
        <color rgb="FF000000"/>
        <rFont val="Calibri"/>
        <family val="2"/>
      </rPr>
      <t>9</t>
    </r>
    <r>
      <rPr>
        <sz val="11"/>
        <color rgb="FF000000"/>
        <rFont val="Calibri"/>
        <family val="2"/>
      </rPr>
      <t xml:space="preserve">set </t>
    </r>
    <r>
      <rPr>
        <b/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>d</t>
    </r>
  </si>
  <si>
    <r>
      <t>3</t>
    </r>
    <r>
      <rPr>
        <sz val="11"/>
        <color rgb="FF000000"/>
        <rFont val="Calibri"/>
        <family val="2"/>
      </rPr>
      <t xml:space="preserve">t </t>
    </r>
    <r>
      <rPr>
        <b/>
        <sz val="11"/>
        <color rgb="FF000000"/>
        <rFont val="Calibri"/>
        <family val="2"/>
      </rPr>
      <t>7</t>
    </r>
    <r>
      <rPr>
        <sz val="11"/>
        <color rgb="FF000000"/>
        <rFont val="Calibri"/>
        <family val="2"/>
      </rPr>
      <t xml:space="preserve">set </t>
    </r>
    <r>
      <rPr>
        <b/>
        <sz val="11"/>
        <color rgb="FF000000"/>
        <rFont val="Calibri"/>
        <family val="2"/>
      </rPr>
      <t>0</t>
    </r>
    <r>
      <rPr>
        <sz val="11"/>
        <color rgb="FF000000"/>
        <rFont val="Calibri"/>
        <family val="2"/>
      </rPr>
      <t>d</t>
    </r>
  </si>
  <si>
    <t>2 630</t>
  </si>
  <si>
    <r>
      <t>6</t>
    </r>
    <r>
      <rPr>
        <sz val="11"/>
        <color rgb="FF000000"/>
        <rFont val="Calibri"/>
        <family val="2"/>
      </rPr>
      <t xml:space="preserve">set </t>
    </r>
    <r>
      <rPr>
        <b/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>d</t>
    </r>
  </si>
  <si>
    <t>XXXII:25</t>
  </si>
  <si>
    <r>
      <t>10</t>
    </r>
    <r>
      <rPr>
        <sz val="11"/>
        <color rgb="FF000000"/>
        <rFont val="Calibri"/>
        <family val="2"/>
      </rPr>
      <t xml:space="preserve">set </t>
    </r>
    <r>
      <rPr>
        <b/>
        <sz val="11"/>
        <color rgb="FF000000"/>
        <rFont val="Calibri"/>
        <family val="2"/>
      </rPr>
      <t>4</t>
    </r>
    <r>
      <rPr>
        <sz val="11"/>
        <color rgb="FF000000"/>
        <rFont val="Calibri"/>
        <family val="2"/>
      </rPr>
      <t>d</t>
    </r>
  </si>
  <si>
    <t>1 030</t>
  </si>
  <si>
    <t>XXXII:17</t>
  </si>
  <si>
    <r>
      <t>10</t>
    </r>
    <r>
      <rPr>
        <sz val="11"/>
        <color rgb="FF000000"/>
        <rFont val="Calibri"/>
        <family val="2"/>
      </rPr>
      <t xml:space="preserve">t </t>
    </r>
    <r>
      <rPr>
        <b/>
        <sz val="11"/>
        <color rgb="FF000000"/>
        <rFont val="Calibri"/>
        <family val="2"/>
      </rPr>
      <t>13</t>
    </r>
    <r>
      <rPr>
        <sz val="11"/>
        <color rgb="FF000000"/>
        <rFont val="Calibri"/>
        <family val="2"/>
      </rPr>
      <t xml:space="preserve">set </t>
    </r>
    <r>
      <rPr>
        <b/>
        <sz val="11"/>
        <color rgb="FF000000"/>
        <rFont val="Calibri"/>
        <family val="2"/>
      </rPr>
      <t>0</t>
    </r>
    <r>
      <rPr>
        <sz val="11"/>
        <color rgb="FF000000"/>
        <rFont val="Calibri"/>
        <family val="2"/>
      </rPr>
      <t>d</t>
    </r>
  </si>
  <si>
    <t>0.5</t>
  </si>
  <si>
    <r>
      <t>1</t>
    </r>
    <r>
      <rPr>
        <sz val="11"/>
        <color rgb="FF000000"/>
        <rFont val="Calibri"/>
        <family val="2"/>
      </rPr>
      <t xml:space="preserve">t </t>
    </r>
    <r>
      <rPr>
        <b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set </t>
    </r>
    <r>
      <rPr>
        <b/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>d</t>
    </r>
  </si>
  <si>
    <t>los ofensivos</t>
  </si>
  <si>
    <t>Vigilante</t>
  </si>
  <si>
    <t>RioPa</t>
  </si>
  <si>
    <t>TL</t>
  </si>
  <si>
    <t>CA bi</t>
  </si>
  <si>
    <t>532Marca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</si>
</sst>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0.0%"/>
    <numFmt numFmtId="166" formatCode="0.0000"/>
    <numFmt numFmtId="167" formatCode="_-* #,##0.000\ _€_-;\-* #,##0.000\ _€_-;_-* &quot;-&quot;??\ _€_-;_-@_-"/>
    <numFmt numFmtId="168" formatCode="0.000"/>
    <numFmt numFmtId="169" formatCode="#,##0.000_ ;\-#,##0.000\ "/>
  </numFmts>
  <fonts count="26" x14ac:knownFonts="1"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00B050"/>
      <name val="Calibri"/>
      <family val="2"/>
    </font>
    <font>
      <b/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00B050"/>
      <name val="Calibri"/>
      <family val="2"/>
    </font>
    <font>
      <sz val="8"/>
      <color rgb="FF000000"/>
      <name val="Calibri"/>
      <family val="2"/>
    </font>
    <font>
      <sz val="8"/>
      <color rgb="FFFF0000"/>
      <name val="Calibri"/>
      <family val="2"/>
    </font>
    <font>
      <sz val="11"/>
      <color rgb="FFFFFFFF"/>
      <name val="Calibri"/>
      <family val="2"/>
    </font>
    <font>
      <sz val="8"/>
      <color rgb="FF000000"/>
      <name val="Verdana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</font>
    <font>
      <b/>
      <sz val="8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FF0000"/>
      <name val="Calibri"/>
      <family val="2"/>
    </font>
    <font>
      <b/>
      <sz val="12"/>
      <color rgb="FF00B050"/>
      <name val="Calibri"/>
      <family val="2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CC0DA"/>
        <bgColor rgb="FFFFFFFF"/>
      </patternFill>
    </fill>
    <fill>
      <patternFill patternType="solid">
        <fgColor rgb="FFFCD5B4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CD5B4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C4BD9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309">
    <xf numFmtId="0" fontId="0" fillId="0" borderId="0" xfId="0"/>
    <xf numFmtId="0" fontId="0" fillId="0" borderId="0" xfId="0" applyAlignment="1">
      <alignment horizontal="right"/>
    </xf>
    <xf numFmtId="0" fontId="5" fillId="2" borderId="1" xfId="0" applyFont="1" applyFill="1" applyBorder="1" applyAlignment="1">
      <alignment horizontal="right"/>
    </xf>
    <xf numFmtId="2" fontId="3" fillId="0" borderId="2" xfId="0" applyNumberFormat="1" applyFont="1" applyBorder="1"/>
    <xf numFmtId="2" fontId="4" fillId="0" borderId="2" xfId="0" applyNumberFormat="1" applyFont="1" applyBorder="1"/>
    <xf numFmtId="0" fontId="5" fillId="3" borderId="3" xfId="0" applyFont="1" applyFill="1" applyBorder="1" applyAlignment="1">
      <alignment horizontal="right"/>
    </xf>
    <xf numFmtId="0" fontId="5" fillId="4" borderId="4" xfId="0" applyFont="1" applyFill="1" applyBorder="1" applyAlignment="1">
      <alignment horizontal="right"/>
    </xf>
    <xf numFmtId="0" fontId="5" fillId="5" borderId="5" xfId="0" applyFont="1" applyFill="1" applyBorder="1" applyAlignment="1">
      <alignment horizontal="right"/>
    </xf>
    <xf numFmtId="0" fontId="3" fillId="5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49" fontId="0" fillId="0" borderId="2" xfId="0" applyNumberForma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7" borderId="8" xfId="0" applyNumberFormat="1" applyFont="1" applyFill="1" applyBorder="1" applyAlignment="1">
      <alignment horizontal="center"/>
    </xf>
    <xf numFmtId="0" fontId="0" fillId="0" borderId="0" xfId="0"/>
    <xf numFmtId="49" fontId="4" fillId="0" borderId="2" xfId="0" applyNumberFormat="1" applyFont="1" applyBorder="1" applyAlignment="1">
      <alignment horizontal="center"/>
    </xf>
    <xf numFmtId="49" fontId="4" fillId="7" borderId="8" xfId="0" applyNumberFormat="1" applyFont="1" applyFill="1" applyBorder="1" applyAlignment="1">
      <alignment horizontal="center"/>
    </xf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2" fillId="7" borderId="8" xfId="0" applyFont="1" applyFill="1" applyBorder="1" applyAlignment="1">
      <alignment horizontal="right"/>
    </xf>
    <xf numFmtId="0" fontId="2" fillId="0" borderId="2" xfId="0" applyFont="1" applyBorder="1" applyAlignment="1">
      <alignment horizontal="right" wrapText="1"/>
    </xf>
    <xf numFmtId="0" fontId="2" fillId="5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0" xfId="0" applyNumberFormat="1" applyFont="1"/>
    <xf numFmtId="0" fontId="2" fillId="4" borderId="4" xfId="0" applyFont="1" applyFill="1" applyBorder="1" applyAlignment="1">
      <alignment horizontal="center"/>
    </xf>
    <xf numFmtId="0" fontId="0" fillId="0" borderId="0" xfId="0"/>
    <xf numFmtId="165" fontId="0" fillId="0" borderId="0" xfId="2" applyNumberFormat="1" applyFont="1"/>
    <xf numFmtId="0" fontId="2" fillId="0" borderId="0" xfId="0" applyFont="1" applyAlignment="1">
      <alignment horizontal="center"/>
    </xf>
    <xf numFmtId="9" fontId="0" fillId="0" borderId="0" xfId="0" applyNumberFormat="1"/>
    <xf numFmtId="2" fontId="0" fillId="0" borderId="0" xfId="0" applyNumberFormat="1"/>
    <xf numFmtId="164" fontId="0" fillId="0" borderId="0" xfId="1" applyFont="1"/>
    <xf numFmtId="165" fontId="0" fillId="0" borderId="2" xfId="2" applyNumberFormat="1" applyFont="1" applyBorder="1" applyAlignment="1">
      <alignment horizontal="center"/>
    </xf>
    <xf numFmtId="0" fontId="2" fillId="8" borderId="9" xfId="0" applyFont="1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166" fontId="0" fillId="7" borderId="8" xfId="0" applyNumberFormat="1" applyFill="1" applyBorder="1"/>
    <xf numFmtId="166" fontId="0" fillId="7" borderId="8" xfId="0" applyNumberFormat="1" applyFill="1" applyBorder="1"/>
    <xf numFmtId="166" fontId="0" fillId="8" borderId="9" xfId="0" applyNumberFormat="1" applyFill="1" applyBorder="1"/>
    <xf numFmtId="166" fontId="0" fillId="8" borderId="9" xfId="0" applyNumberFormat="1" applyFill="1" applyBorder="1"/>
    <xf numFmtId="165" fontId="3" fillId="7" borderId="8" xfId="2" applyNumberFormat="1" applyFont="1" applyFill="1" applyBorder="1"/>
    <xf numFmtId="165" fontId="2" fillId="7" borderId="8" xfId="2" applyNumberFormat="1" applyFont="1" applyFill="1" applyBorder="1"/>
    <xf numFmtId="165" fontId="4" fillId="7" borderId="8" xfId="2" applyNumberFormat="1" applyFont="1" applyFill="1" applyBorder="1"/>
    <xf numFmtId="0" fontId="8" fillId="7" borderId="8" xfId="0" applyFont="1" applyFill="1" applyBorder="1"/>
    <xf numFmtId="0" fontId="9" fillId="7" borderId="8" xfId="0" applyFont="1" applyFill="1" applyBorder="1"/>
    <xf numFmtId="0" fontId="2" fillId="7" borderId="8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right" wrapText="1"/>
    </xf>
    <xf numFmtId="2" fontId="3" fillId="0" borderId="2" xfId="0" applyNumberFormat="1" applyFont="1" applyBorder="1" applyAlignment="1">
      <alignment wrapText="1"/>
    </xf>
    <xf numFmtId="0" fontId="1" fillId="0" borderId="2" xfId="0" applyFont="1" applyBorder="1" applyAlignment="1">
      <alignment horizontal="right"/>
    </xf>
    <xf numFmtId="2" fontId="4" fillId="0" borderId="2" xfId="0" applyNumberFormat="1" applyFont="1" applyBorder="1" applyAlignment="1">
      <alignment wrapText="1"/>
    </xf>
    <xf numFmtId="0" fontId="7" fillId="0" borderId="2" xfId="0" applyFont="1" applyBorder="1" applyAlignment="1">
      <alignment horizontal="right"/>
    </xf>
    <xf numFmtId="168" fontId="2" fillId="5" borderId="5" xfId="0" applyNumberFormat="1" applyFont="1" applyFill="1" applyBorder="1"/>
    <xf numFmtId="168" fontId="2" fillId="6" borderId="6" xfId="0" applyNumberFormat="1" applyFont="1" applyFill="1" applyBorder="1"/>
    <xf numFmtId="167" fontId="0" fillId="6" borderId="6" xfId="1" applyNumberFormat="1" applyFont="1" applyFill="1" applyBorder="1"/>
    <xf numFmtId="167" fontId="0" fillId="0" borderId="0" xfId="1" applyNumberFormat="1" applyFont="1"/>
    <xf numFmtId="165" fontId="2" fillId="5" borderId="5" xfId="2" applyNumberFormat="1" applyFont="1" applyFill="1" applyBorder="1"/>
    <xf numFmtId="165" fontId="2" fillId="6" borderId="6" xfId="2" applyNumberFormat="1" applyFont="1" applyFill="1" applyBorder="1"/>
    <xf numFmtId="9" fontId="0" fillId="5" borderId="5" xfId="2" applyFont="1" applyFill="1" applyBorder="1"/>
    <xf numFmtId="9" fontId="0" fillId="6" borderId="6" xfId="2" applyFont="1" applyFill="1" applyBorder="1"/>
    <xf numFmtId="9" fontId="2" fillId="5" borderId="5" xfId="2" applyFont="1" applyFill="1" applyBorder="1"/>
    <xf numFmtId="9" fontId="2" fillId="9" borderId="10" xfId="2" applyFont="1" applyFill="1" applyBorder="1"/>
    <xf numFmtId="168" fontId="3" fillId="7" borderId="8" xfId="0" applyNumberFormat="1" applyFont="1" applyFill="1" applyBorder="1" applyAlignment="1">
      <alignment horizontal="center"/>
    </xf>
    <xf numFmtId="168" fontId="3" fillId="0" borderId="2" xfId="0" applyNumberFormat="1" applyFont="1" applyBorder="1" applyAlignment="1">
      <alignment horizontal="center"/>
    </xf>
    <xf numFmtId="168" fontId="4" fillId="7" borderId="8" xfId="0" applyNumberFormat="1" applyFont="1" applyFill="1" applyBorder="1" applyAlignment="1">
      <alignment horizontal="center"/>
    </xf>
    <xf numFmtId="168" fontId="4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2" xfId="2" applyNumberFormat="1" applyFont="1" applyBorder="1" applyAlignment="1">
      <alignment horizontal="center"/>
    </xf>
    <xf numFmtId="167" fontId="0" fillId="0" borderId="0" xfId="1" applyNumberFormat="1" applyFont="1" applyAlignment="1">
      <alignment horizontal="center"/>
    </xf>
    <xf numFmtId="167" fontId="0" fillId="5" borderId="5" xfId="1" applyNumberFormat="1" applyFont="1" applyFill="1" applyBorder="1"/>
    <xf numFmtId="165" fontId="0" fillId="0" borderId="0" xfId="2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2" xfId="1" applyFont="1" applyBorder="1" applyAlignment="1">
      <alignment horizontal="center"/>
    </xf>
    <xf numFmtId="164" fontId="0" fillId="0" borderId="2" xfId="1" applyFont="1" applyBorder="1" applyAlignment="1">
      <alignment horizontal="center"/>
    </xf>
    <xf numFmtId="164" fontId="0" fillId="0" borderId="0" xfId="1" applyFont="1"/>
    <xf numFmtId="164" fontId="0" fillId="0" borderId="0" xfId="0" applyNumberFormat="1"/>
    <xf numFmtId="167" fontId="0" fillId="0" borderId="0" xfId="0" applyNumberFormat="1"/>
    <xf numFmtId="0" fontId="2" fillId="10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/>
    </xf>
    <xf numFmtId="165" fontId="2" fillId="0" borderId="13" xfId="2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5" fontId="2" fillId="0" borderId="16" xfId="2" applyNumberFormat="1" applyFont="1" applyBorder="1" applyAlignment="1">
      <alignment horizontal="center"/>
    </xf>
    <xf numFmtId="0" fontId="2" fillId="11" borderId="17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165" fontId="2" fillId="0" borderId="20" xfId="2" applyNumberFormat="1" applyFont="1" applyBorder="1" applyAlignment="1">
      <alignment horizontal="center"/>
    </xf>
    <xf numFmtId="0" fontId="2" fillId="12" borderId="21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2" fillId="14" borderId="23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15" borderId="25" xfId="0" applyFont="1" applyFill="1" applyBorder="1" applyAlignment="1">
      <alignment horizontal="center"/>
    </xf>
    <xf numFmtId="0" fontId="2" fillId="16" borderId="26" xfId="0" applyFont="1" applyFill="1" applyBorder="1" applyAlignment="1">
      <alignment horizontal="center"/>
    </xf>
    <xf numFmtId="0" fontId="2" fillId="17" borderId="27" xfId="0" applyFont="1" applyFill="1" applyBorder="1" applyAlignment="1">
      <alignment horizontal="center"/>
    </xf>
    <xf numFmtId="0" fontId="2" fillId="18" borderId="28" xfId="0" applyFont="1" applyFill="1" applyBorder="1" applyAlignment="1">
      <alignment horizontal="center"/>
    </xf>
    <xf numFmtId="165" fontId="0" fillId="0" borderId="0" xfId="0" applyNumberFormat="1"/>
    <xf numFmtId="165" fontId="10" fillId="19" borderId="29" xfId="0" applyNumberFormat="1" applyFont="1" applyFill="1" applyBorder="1"/>
    <xf numFmtId="0" fontId="0" fillId="20" borderId="30" xfId="0" applyFill="1" applyBorder="1" applyAlignment="1">
      <alignment horizontal="right"/>
    </xf>
    <xf numFmtId="0" fontId="0" fillId="21" borderId="31" xfId="0" applyFill="1" applyBorder="1" applyAlignment="1">
      <alignment horizontal="right"/>
    </xf>
    <xf numFmtId="0" fontId="0" fillId="22" borderId="32" xfId="0" applyFill="1" applyBorder="1" applyAlignment="1">
      <alignment horizontal="right"/>
    </xf>
    <xf numFmtId="0" fontId="11" fillId="23" borderId="33" xfId="0" applyFont="1" applyFill="1" applyBorder="1" applyAlignment="1">
      <alignment horizontal="left" vertical="top" wrapText="1"/>
    </xf>
    <xf numFmtId="0" fontId="11" fillId="24" borderId="34" xfId="0" applyFont="1" applyFill="1" applyBorder="1" applyAlignment="1">
      <alignment horizontal="left" vertical="top" wrapText="1"/>
    </xf>
    <xf numFmtId="0" fontId="11" fillId="25" borderId="35" xfId="0" applyFont="1" applyFill="1" applyBorder="1" applyAlignment="1">
      <alignment horizontal="left" vertical="top" wrapText="1"/>
    </xf>
    <xf numFmtId="49" fontId="11" fillId="25" borderId="35" xfId="0" applyNumberFormat="1" applyFont="1" applyFill="1" applyBorder="1" applyAlignment="1">
      <alignment horizontal="left" vertical="top" wrapText="1"/>
    </xf>
    <xf numFmtId="0" fontId="11" fillId="26" borderId="36" xfId="0" applyFont="1" applyFill="1" applyBorder="1" applyAlignment="1">
      <alignment horizontal="left" vertical="top" wrapText="1"/>
    </xf>
    <xf numFmtId="9" fontId="0" fillId="27" borderId="37" xfId="2" applyFont="1" applyFill="1" applyBorder="1"/>
    <xf numFmtId="9" fontId="0" fillId="6" borderId="6" xfId="2" applyFont="1" applyFill="1" applyBorder="1"/>
    <xf numFmtId="9" fontId="0" fillId="5" borderId="5" xfId="2" applyFont="1" applyFill="1" applyBorder="1"/>
    <xf numFmtId="9" fontId="3" fillId="0" borderId="2" xfId="2" applyFont="1" applyBorder="1"/>
    <xf numFmtId="9" fontId="4" fillId="0" borderId="2" xfId="2" applyFont="1" applyBorder="1"/>
    <xf numFmtId="0" fontId="12" fillId="0" borderId="7" xfId="0" applyFont="1" applyBorder="1" applyAlignment="1">
      <alignment horizontal="right"/>
    </xf>
    <xf numFmtId="0" fontId="0" fillId="0" borderId="0" xfId="0" applyAlignment="1">
      <alignment horizontal="center"/>
    </xf>
    <xf numFmtId="0" fontId="3" fillId="0" borderId="38" xfId="0" applyFont="1" applyBorder="1" applyAlignment="1">
      <alignment horizontal="center"/>
    </xf>
    <xf numFmtId="165" fontId="3" fillId="0" borderId="39" xfId="2" applyNumberFormat="1" applyFont="1" applyBorder="1" applyAlignment="1">
      <alignment horizontal="center"/>
    </xf>
    <xf numFmtId="165" fontId="3" fillId="0" borderId="13" xfId="2" applyNumberFormat="1" applyFont="1" applyBorder="1" applyAlignment="1">
      <alignment horizontal="center"/>
    </xf>
    <xf numFmtId="165" fontId="3" fillId="0" borderId="16" xfId="2" applyNumberFormat="1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165" fontId="4" fillId="0" borderId="39" xfId="2" applyNumberFormat="1" applyFont="1" applyBorder="1" applyAlignment="1">
      <alignment horizontal="center"/>
    </xf>
    <xf numFmtId="165" fontId="4" fillId="0" borderId="13" xfId="2" applyNumberFormat="1" applyFont="1" applyBorder="1" applyAlignment="1">
      <alignment horizontal="center"/>
    </xf>
    <xf numFmtId="165" fontId="4" fillId="0" borderId="16" xfId="2" applyNumberFormat="1" applyFont="1" applyBorder="1" applyAlignment="1">
      <alignment horizontal="center"/>
    </xf>
    <xf numFmtId="0" fontId="2" fillId="28" borderId="40" xfId="0" applyFont="1" applyFill="1" applyBorder="1" applyAlignment="1">
      <alignment horizontal="center"/>
    </xf>
    <xf numFmtId="167" fontId="0" fillId="0" borderId="41" xfId="1" applyNumberFormat="1" applyFont="1" applyBorder="1" applyAlignment="1">
      <alignment horizontal="center"/>
    </xf>
    <xf numFmtId="165" fontId="2" fillId="29" borderId="42" xfId="2" applyNumberFormat="1" applyFont="1" applyFill="1" applyBorder="1" applyAlignment="1">
      <alignment horizontal="center"/>
    </xf>
    <xf numFmtId="165" fontId="0" fillId="0" borderId="12" xfId="2" applyNumberFormat="1" applyFont="1" applyBorder="1" applyAlignment="1">
      <alignment horizontal="center"/>
    </xf>
    <xf numFmtId="0" fontId="2" fillId="30" borderId="43" xfId="0" applyFont="1" applyFill="1" applyBorder="1" applyAlignment="1">
      <alignment horizontal="center"/>
    </xf>
    <xf numFmtId="0" fontId="2" fillId="31" borderId="44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32" borderId="45" xfId="0" applyFont="1" applyFill="1" applyBorder="1" applyAlignment="1">
      <alignment horizontal="center"/>
    </xf>
    <xf numFmtId="0" fontId="2" fillId="33" borderId="46" xfId="0" applyFont="1" applyFill="1" applyBorder="1" applyAlignment="1">
      <alignment horizontal="center"/>
    </xf>
    <xf numFmtId="0" fontId="2" fillId="34" borderId="47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2" fillId="20" borderId="30" xfId="0" applyFont="1" applyFill="1" applyBorder="1" applyAlignment="1">
      <alignment horizontal="right"/>
    </xf>
    <xf numFmtId="0" fontId="0" fillId="20" borderId="30" xfId="0" applyFill="1" applyBorder="1" applyAlignment="1">
      <alignment horizontal="center"/>
    </xf>
    <xf numFmtId="0" fontId="0" fillId="0" borderId="2" xfId="0" applyBorder="1"/>
    <xf numFmtId="167" fontId="0" fillId="0" borderId="0" xfId="0" applyNumberFormat="1" applyAlignment="1">
      <alignment horizontal="right"/>
    </xf>
    <xf numFmtId="10" fontId="0" fillId="35" borderId="48" xfId="2" applyNumberFormat="1" applyFont="1" applyFill="1" applyBorder="1"/>
    <xf numFmtId="165" fontId="0" fillId="0" borderId="0" xfId="2" applyNumberFormat="1" applyFont="1"/>
    <xf numFmtId="0" fontId="3" fillId="36" borderId="49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165" fontId="0" fillId="37" borderId="50" xfId="2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49" fontId="4" fillId="38" borderId="51" xfId="0" applyNumberFormat="1" applyFont="1" applyFill="1" applyBorder="1" applyAlignment="1">
      <alignment horizontal="center"/>
    </xf>
    <xf numFmtId="49" fontId="3" fillId="38" borderId="51" xfId="0" applyNumberFormat="1" applyFont="1" applyFill="1" applyBorder="1" applyAlignment="1">
      <alignment horizontal="center"/>
    </xf>
    <xf numFmtId="0" fontId="4" fillId="39" borderId="52" xfId="0" applyFont="1" applyFill="1" applyBorder="1" applyAlignment="1">
      <alignment horizontal="center"/>
    </xf>
    <xf numFmtId="0" fontId="3" fillId="39" borderId="52" xfId="0" applyFont="1" applyFill="1" applyBorder="1" applyAlignment="1">
      <alignment horizontal="center"/>
    </xf>
    <xf numFmtId="2" fontId="3" fillId="38" borderId="51" xfId="0" applyNumberFormat="1" applyFont="1" applyFill="1" applyBorder="1"/>
    <xf numFmtId="2" fontId="4" fillId="38" borderId="51" xfId="0" applyNumberFormat="1" applyFont="1" applyFill="1" applyBorder="1"/>
    <xf numFmtId="2" fontId="3" fillId="38" borderId="51" xfId="0" applyNumberFormat="1" applyFont="1" applyFill="1" applyBorder="1" applyAlignment="1">
      <alignment wrapText="1"/>
    </xf>
    <xf numFmtId="2" fontId="4" fillId="38" borderId="51" xfId="0" applyNumberFormat="1" applyFont="1" applyFill="1" applyBorder="1" applyAlignment="1">
      <alignment wrapText="1"/>
    </xf>
    <xf numFmtId="0" fontId="1" fillId="38" borderId="51" xfId="0" applyFont="1" applyFill="1" applyBorder="1" applyAlignment="1">
      <alignment horizontal="right"/>
    </xf>
    <xf numFmtId="0" fontId="7" fillId="38" borderId="51" xfId="0" applyFont="1" applyFill="1" applyBorder="1" applyAlignment="1">
      <alignment horizontal="right"/>
    </xf>
    <xf numFmtId="9" fontId="3" fillId="38" borderId="51" xfId="2" applyFont="1" applyFill="1" applyBorder="1"/>
    <xf numFmtId="9" fontId="4" fillId="38" borderId="51" xfId="2" applyFont="1" applyFill="1" applyBorder="1"/>
    <xf numFmtId="166" fontId="0" fillId="0" borderId="2" xfId="0" applyNumberFormat="1" applyBorder="1"/>
    <xf numFmtId="166" fontId="0" fillId="0" borderId="2" xfId="0" applyNumberFormat="1" applyBorder="1"/>
    <xf numFmtId="166" fontId="0" fillId="0" borderId="53" xfId="0" applyNumberFormat="1" applyBorder="1"/>
    <xf numFmtId="166" fontId="0" fillId="0" borderId="53" xfId="0" applyNumberFormat="1" applyBorder="1"/>
    <xf numFmtId="165" fontId="3" fillId="0" borderId="2" xfId="2" applyNumberFormat="1" applyFont="1" applyBorder="1"/>
    <xf numFmtId="165" fontId="2" fillId="0" borderId="2" xfId="2" applyNumberFormat="1" applyFont="1" applyBorder="1"/>
    <xf numFmtId="165" fontId="3" fillId="0" borderId="0" xfId="2" applyNumberFormat="1" applyFont="1"/>
    <xf numFmtId="165" fontId="2" fillId="0" borderId="0" xfId="2" applyNumberFormat="1" applyFont="1"/>
    <xf numFmtId="165" fontId="4" fillId="0" borderId="2" xfId="2" applyNumberFormat="1" applyFont="1" applyBorder="1"/>
    <xf numFmtId="165" fontId="4" fillId="0" borderId="0" xfId="2" applyNumberFormat="1" applyFont="1"/>
    <xf numFmtId="0" fontId="8" fillId="37" borderId="50" xfId="0" applyFont="1" applyFill="1" applyBorder="1"/>
    <xf numFmtId="0" fontId="9" fillId="37" borderId="50" xfId="0" applyFont="1" applyFill="1" applyBorder="1"/>
    <xf numFmtId="0" fontId="2" fillId="37" borderId="50" xfId="0" applyFont="1" applyFill="1" applyBorder="1" applyAlignment="1">
      <alignment horizontal="right"/>
    </xf>
    <xf numFmtId="0" fontId="2" fillId="37" borderId="50" xfId="0" applyFont="1" applyFill="1" applyBorder="1" applyAlignment="1">
      <alignment horizontal="right" wrapText="1"/>
    </xf>
    <xf numFmtId="0" fontId="2" fillId="40" borderId="54" xfId="0" applyFont="1" applyFill="1" applyBorder="1" applyAlignment="1">
      <alignment horizontal="right"/>
    </xf>
    <xf numFmtId="0" fontId="0" fillId="40" borderId="54" xfId="0" applyFill="1" applyBorder="1" applyAlignment="1">
      <alignment horizontal="right"/>
    </xf>
    <xf numFmtId="0" fontId="2" fillId="37" borderId="50" xfId="0" applyFont="1" applyFill="1" applyBorder="1" applyAlignment="1">
      <alignment horizontal="center"/>
    </xf>
    <xf numFmtId="167" fontId="3" fillId="0" borderId="2" xfId="1" applyNumberFormat="1" applyFont="1" applyBorder="1" applyAlignment="1">
      <alignment horizontal="center"/>
    </xf>
    <xf numFmtId="167" fontId="4" fillId="0" borderId="2" xfId="1" applyNumberFormat="1" applyFont="1" applyBorder="1" applyAlignment="1">
      <alignment horizontal="center"/>
    </xf>
    <xf numFmtId="167" fontId="3" fillId="38" borderId="51" xfId="1" applyNumberFormat="1" applyFont="1" applyFill="1" applyBorder="1" applyAlignment="1">
      <alignment horizontal="center"/>
    </xf>
    <xf numFmtId="167" fontId="4" fillId="38" borderId="51" xfId="1" applyNumberFormat="1" applyFont="1" applyFill="1" applyBorder="1" applyAlignment="1">
      <alignment horizontal="center"/>
    </xf>
    <xf numFmtId="0" fontId="0" fillId="41" borderId="55" xfId="0" applyFill="1" applyBorder="1" applyAlignment="1">
      <alignment horizontal="center"/>
    </xf>
    <xf numFmtId="168" fontId="0" fillId="0" borderId="0" xfId="0" applyNumberFormat="1" applyAlignment="1">
      <alignment horizontal="center"/>
    </xf>
    <xf numFmtId="0" fontId="1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8" fontId="0" fillId="0" borderId="0" xfId="0" applyNumberFormat="1"/>
    <xf numFmtId="168" fontId="3" fillId="0" borderId="2" xfId="1" applyNumberFormat="1" applyFont="1" applyBorder="1" applyAlignment="1">
      <alignment horizontal="center"/>
    </xf>
    <xf numFmtId="168" fontId="4" fillId="0" borderId="2" xfId="1" applyNumberFormat="1" applyFont="1" applyBorder="1" applyAlignment="1">
      <alignment horizontal="center"/>
    </xf>
    <xf numFmtId="169" fontId="3" fillId="38" borderId="51" xfId="1" applyNumberFormat="1" applyFont="1" applyFill="1" applyBorder="1" applyAlignment="1">
      <alignment horizontal="center"/>
    </xf>
    <xf numFmtId="169" fontId="4" fillId="38" borderId="51" xfId="1" applyNumberFormat="1" applyFont="1" applyFill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165" fontId="0" fillId="0" borderId="0" xfId="2" applyNumberFormat="1" applyFont="1"/>
    <xf numFmtId="164" fontId="0" fillId="0" borderId="0" xfId="1" applyFont="1"/>
    <xf numFmtId="9" fontId="0" fillId="5" borderId="5" xfId="2" applyFont="1" applyFill="1" applyBorder="1"/>
    <xf numFmtId="9" fontId="0" fillId="6" borderId="6" xfId="2" applyFont="1" applyFill="1" applyBorder="1"/>
    <xf numFmtId="167" fontId="0" fillId="0" borderId="0" xfId="1" applyNumberFormat="1" applyFont="1"/>
    <xf numFmtId="9" fontId="0" fillId="27" borderId="37" xfId="2" applyFont="1" applyFill="1" applyBorder="1"/>
    <xf numFmtId="167" fontId="0" fillId="0" borderId="2" xfId="1" applyNumberFormat="1" applyFont="1" applyBorder="1" applyAlignment="1">
      <alignment horizontal="center"/>
    </xf>
    <xf numFmtId="165" fontId="0" fillId="0" borderId="2" xfId="2" applyNumberFormat="1" applyFont="1" applyBorder="1" applyAlignment="1">
      <alignment horizontal="center"/>
    </xf>
    <xf numFmtId="167" fontId="0" fillId="0" borderId="41" xfId="1" applyNumberFormat="1" applyFont="1" applyBorder="1" applyAlignment="1">
      <alignment horizontal="center"/>
    </xf>
    <xf numFmtId="164" fontId="0" fillId="0" borderId="2" xfId="1" applyFont="1" applyBorder="1" applyAlignment="1">
      <alignment horizontal="center"/>
    </xf>
    <xf numFmtId="165" fontId="0" fillId="0" borderId="12" xfId="2" applyNumberFormat="1" applyFont="1" applyBorder="1" applyAlignment="1">
      <alignment horizontal="center"/>
    </xf>
    <xf numFmtId="167" fontId="0" fillId="5" borderId="5" xfId="1" applyNumberFormat="1" applyFont="1" applyFill="1" applyBorder="1"/>
    <xf numFmtId="167" fontId="0" fillId="6" borderId="6" xfId="1" applyNumberFormat="1" applyFont="1" applyFill="1" applyBorder="1"/>
    <xf numFmtId="165" fontId="0" fillId="0" borderId="0" xfId="2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12" fillId="0" borderId="0" xfId="0" applyNumberFormat="1" applyFont="1"/>
    <xf numFmtId="0" fontId="0" fillId="0" borderId="48" xfId="0" applyFill="1" applyBorder="1"/>
    <xf numFmtId="0" fontId="0" fillId="0" borderId="48" xfId="0" applyFill="1" applyBorder="1" applyAlignment="1">
      <alignment horizontal="center"/>
    </xf>
    <xf numFmtId="0" fontId="7" fillId="0" borderId="48" xfId="0" applyFont="1" applyFill="1" applyBorder="1" applyAlignment="1">
      <alignment horizontal="center"/>
    </xf>
    <xf numFmtId="165" fontId="0" fillId="0" borderId="48" xfId="2" applyNumberFormat="1" applyFont="1" applyFill="1" applyBorder="1"/>
    <xf numFmtId="0" fontId="2" fillId="0" borderId="48" xfId="0" applyFont="1" applyFill="1" applyBorder="1" applyAlignment="1">
      <alignment horizontal="right"/>
    </xf>
    <xf numFmtId="166" fontId="0" fillId="0" borderId="48" xfId="0" applyNumberForma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48" xfId="0" applyFont="1" applyFill="1" applyBorder="1"/>
    <xf numFmtId="168" fontId="3" fillId="0" borderId="48" xfId="0" applyNumberFormat="1" applyFont="1" applyFill="1" applyBorder="1" applyAlignment="1">
      <alignment horizontal="center"/>
    </xf>
    <xf numFmtId="168" fontId="3" fillId="0" borderId="48" xfId="1" applyNumberFormat="1" applyFont="1" applyFill="1" applyBorder="1" applyAlignment="1">
      <alignment horizontal="center"/>
    </xf>
    <xf numFmtId="166" fontId="3" fillId="0" borderId="48" xfId="0" applyNumberFormat="1" applyFont="1" applyFill="1" applyBorder="1" applyAlignment="1">
      <alignment horizontal="center"/>
    </xf>
    <xf numFmtId="165" fontId="0" fillId="0" borderId="48" xfId="2" applyNumberFormat="1" applyFont="1" applyFill="1" applyBorder="1" applyAlignment="1">
      <alignment horizontal="center"/>
    </xf>
    <xf numFmtId="166" fontId="0" fillId="0" borderId="48" xfId="0" applyNumberFormat="1" applyFill="1" applyBorder="1"/>
    <xf numFmtId="49" fontId="0" fillId="0" borderId="48" xfId="0" applyNumberFormat="1" applyFill="1" applyBorder="1" applyAlignment="1">
      <alignment horizontal="center"/>
    </xf>
    <xf numFmtId="168" fontId="4" fillId="0" borderId="48" xfId="0" applyNumberFormat="1" applyFont="1" applyFill="1" applyBorder="1" applyAlignment="1">
      <alignment horizontal="center"/>
    </xf>
    <xf numFmtId="168" fontId="0" fillId="0" borderId="48" xfId="0" applyNumberFormat="1" applyFill="1" applyBorder="1" applyAlignment="1">
      <alignment horizontal="center"/>
    </xf>
    <xf numFmtId="168" fontId="2" fillId="0" borderId="48" xfId="0" applyNumberFormat="1" applyFont="1" applyFill="1" applyBorder="1" applyAlignment="1">
      <alignment horizontal="center"/>
    </xf>
    <xf numFmtId="168" fontId="0" fillId="0" borderId="48" xfId="0" applyNumberFormat="1" applyFill="1" applyBorder="1"/>
    <xf numFmtId="0" fontId="0" fillId="0" borderId="48" xfId="0" applyFill="1" applyBorder="1" applyAlignment="1">
      <alignment horizontal="right"/>
    </xf>
    <xf numFmtId="49" fontId="0" fillId="0" borderId="48" xfId="0" applyNumberFormat="1" applyFill="1" applyBorder="1"/>
    <xf numFmtId="165" fontId="3" fillId="0" borderId="48" xfId="2" applyNumberFormat="1" applyFont="1" applyFill="1" applyBorder="1"/>
    <xf numFmtId="165" fontId="2" fillId="0" borderId="48" xfId="2" applyNumberFormat="1" applyFont="1" applyFill="1" applyBorder="1"/>
    <xf numFmtId="165" fontId="4" fillId="0" borderId="48" xfId="2" applyNumberFormat="1" applyFont="1" applyFill="1" applyBorder="1"/>
    <xf numFmtId="0" fontId="0" fillId="0" borderId="48" xfId="0" applyBorder="1"/>
    <xf numFmtId="0" fontId="0" fillId="0" borderId="48" xfId="0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8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/>
    </xf>
    <xf numFmtId="0" fontId="7" fillId="0" borderId="48" xfId="0" applyFont="1" applyBorder="1" applyAlignment="1">
      <alignment horizontal="center" vertical="center" wrapText="1"/>
    </xf>
    <xf numFmtId="9" fontId="7" fillId="0" borderId="48" xfId="0" applyNumberFormat="1" applyFont="1" applyBorder="1" applyAlignment="1">
      <alignment horizontal="center"/>
    </xf>
    <xf numFmtId="2" fontId="7" fillId="0" borderId="48" xfId="0" applyNumberFormat="1" applyFont="1" applyBorder="1" applyAlignment="1">
      <alignment horizontal="center"/>
    </xf>
    <xf numFmtId="9" fontId="1" fillId="0" borderId="48" xfId="0" applyNumberFormat="1" applyFont="1" applyBorder="1" applyAlignment="1">
      <alignment horizontal="center"/>
    </xf>
    <xf numFmtId="2" fontId="1" fillId="0" borderId="48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48" xfId="0" applyFont="1" applyBorder="1" applyAlignment="1">
      <alignment horizontal="center" vertical="center" wrapText="1"/>
    </xf>
    <xf numFmtId="168" fontId="0" fillId="0" borderId="48" xfId="0" applyNumberFormat="1" applyBorder="1"/>
    <xf numFmtId="168" fontId="0" fillId="0" borderId="48" xfId="0" applyNumberFormat="1" applyBorder="1" applyAlignment="1">
      <alignment horizontal="center" vertical="center" wrapText="1"/>
    </xf>
    <xf numFmtId="165" fontId="0" fillId="0" borderId="48" xfId="2" applyNumberFormat="1" applyFont="1" applyBorder="1" applyAlignment="1">
      <alignment horizontal="center" vertical="center" wrapText="1"/>
    </xf>
    <xf numFmtId="168" fontId="0" fillId="0" borderId="48" xfId="0" applyNumberFormat="1" applyBorder="1" applyAlignment="1">
      <alignment horizontal="center"/>
    </xf>
    <xf numFmtId="0" fontId="20" fillId="0" borderId="48" xfId="0" applyFont="1" applyBorder="1" applyAlignment="1">
      <alignment horizontal="center" vertical="center" wrapText="1"/>
    </xf>
    <xf numFmtId="165" fontId="1" fillId="0" borderId="48" xfId="2" applyNumberFormat="1" applyFont="1" applyBorder="1" applyAlignment="1">
      <alignment horizontal="center"/>
    </xf>
    <xf numFmtId="0" fontId="21" fillId="0" borderId="48" xfId="0" applyFont="1" applyBorder="1" applyAlignment="1">
      <alignment horizontal="center" vertical="center" wrapText="1"/>
    </xf>
    <xf numFmtId="165" fontId="7" fillId="0" borderId="48" xfId="2" applyNumberFormat="1" applyFont="1" applyBorder="1" applyAlignment="1">
      <alignment horizontal="center"/>
    </xf>
    <xf numFmtId="164" fontId="0" fillId="0" borderId="0" xfId="1" applyNumberFormat="1" applyFont="1"/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2" fontId="3" fillId="44" borderId="51" xfId="0" applyNumberFormat="1" applyFont="1" applyFill="1" applyBorder="1"/>
    <xf numFmtId="2" fontId="4" fillId="44" borderId="51" xfId="0" applyNumberFormat="1" applyFont="1" applyFill="1" applyBorder="1"/>
    <xf numFmtId="2" fontId="3" fillId="44" borderId="51" xfId="0" applyNumberFormat="1" applyFont="1" applyFill="1" applyBorder="1" applyAlignment="1">
      <alignment wrapText="1"/>
    </xf>
    <xf numFmtId="2" fontId="4" fillId="44" borderId="51" xfId="0" applyNumberFormat="1" applyFont="1" applyFill="1" applyBorder="1" applyAlignment="1">
      <alignment wrapText="1"/>
    </xf>
    <xf numFmtId="0" fontId="1" fillId="44" borderId="51" xfId="0" applyFont="1" applyFill="1" applyBorder="1" applyAlignment="1">
      <alignment horizontal="right"/>
    </xf>
    <xf numFmtId="0" fontId="7" fillId="44" borderId="51" xfId="0" applyFont="1" applyFill="1" applyBorder="1" applyAlignment="1">
      <alignment horizontal="right"/>
    </xf>
    <xf numFmtId="9" fontId="3" fillId="44" borderId="51" xfId="2" applyFont="1" applyFill="1" applyBorder="1"/>
    <xf numFmtId="9" fontId="4" fillId="44" borderId="51" xfId="2" applyFont="1" applyFill="1" applyBorder="1"/>
    <xf numFmtId="2" fontId="1" fillId="45" borderId="48" xfId="0" applyNumberFormat="1" applyFont="1" applyFill="1" applyBorder="1" applyAlignment="1">
      <alignment horizontal="center"/>
    </xf>
    <xf numFmtId="2" fontId="7" fillId="45" borderId="48" xfId="0" applyNumberFormat="1" applyFont="1" applyFill="1" applyBorder="1" applyAlignment="1">
      <alignment horizontal="center"/>
    </xf>
    <xf numFmtId="0" fontId="1" fillId="45" borderId="48" xfId="0" applyFont="1" applyFill="1" applyBorder="1" applyAlignment="1">
      <alignment horizontal="center"/>
    </xf>
    <xf numFmtId="0" fontId="7" fillId="45" borderId="48" xfId="0" applyFont="1" applyFill="1" applyBorder="1" applyAlignment="1">
      <alignment horizontal="center"/>
    </xf>
    <xf numFmtId="165" fontId="1" fillId="0" borderId="48" xfId="2" applyNumberFormat="1" applyFont="1" applyFill="1" applyBorder="1" applyAlignment="1">
      <alignment horizontal="center"/>
    </xf>
    <xf numFmtId="2" fontId="1" fillId="0" borderId="48" xfId="0" applyNumberFormat="1" applyFont="1" applyFill="1" applyBorder="1"/>
    <xf numFmtId="165" fontId="7" fillId="0" borderId="48" xfId="2" applyNumberFormat="1" applyFont="1" applyFill="1" applyBorder="1" applyAlignment="1">
      <alignment horizontal="center"/>
    </xf>
    <xf numFmtId="2" fontId="7" fillId="0" borderId="48" xfId="0" applyNumberFormat="1" applyFont="1" applyFill="1" applyBorder="1" applyAlignment="1">
      <alignment horizontal="center"/>
    </xf>
    <xf numFmtId="0" fontId="19" fillId="0" borderId="48" xfId="0" applyFont="1" applyFill="1" applyBorder="1" applyAlignment="1">
      <alignment horizontal="center"/>
    </xf>
    <xf numFmtId="0" fontId="24" fillId="0" borderId="48" xfId="0" applyFont="1" applyBorder="1" applyAlignment="1">
      <alignment horizontal="center" vertical="center" wrapText="1"/>
    </xf>
    <xf numFmtId="0" fontId="25" fillId="0" borderId="48" xfId="0" applyFont="1" applyBorder="1" applyAlignment="1">
      <alignment horizontal="center" vertical="center" wrapText="1"/>
    </xf>
    <xf numFmtId="165" fontId="22" fillId="0" borderId="48" xfId="2" applyNumberFormat="1" applyFont="1" applyBorder="1" applyAlignment="1">
      <alignment horizontal="center"/>
    </xf>
    <xf numFmtId="165" fontId="23" fillId="0" borderId="48" xfId="2" applyNumberFormat="1" applyFont="1" applyBorder="1" applyAlignment="1">
      <alignment horizontal="center"/>
    </xf>
    <xf numFmtId="164" fontId="22" fillId="0" borderId="0" xfId="1" applyFont="1" applyAlignment="1">
      <alignment horizontal="center"/>
    </xf>
    <xf numFmtId="164" fontId="23" fillId="0" borderId="0" xfId="1" applyFont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0" fillId="0" borderId="48" xfId="0" applyNumberFormat="1" applyFill="1" applyBorder="1" applyAlignment="1">
      <alignment horizontal="center"/>
    </xf>
    <xf numFmtId="3" fontId="0" fillId="0" borderId="0" xfId="0" applyNumberFormat="1" applyAlignment="1">
      <alignment horizontal="center" vertical="center" wrapText="1"/>
    </xf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7" fontId="0" fillId="46" borderId="5" xfId="1" applyNumberFormat="1" applyFont="1" applyFill="1" applyBorder="1"/>
    <xf numFmtId="167" fontId="0" fillId="46" borderId="6" xfId="1" applyNumberFormat="1" applyFont="1" applyFill="1" applyBorder="1"/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0" fillId="42" borderId="56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43" borderId="57" xfId="0" applyFill="1" applyBorder="1" applyAlignment="1">
      <alignment horizontal="center"/>
    </xf>
    <xf numFmtId="0" fontId="0" fillId="0" borderId="58" xfId="0" applyBorder="1" applyAlignment="1">
      <alignment horizontal="center"/>
    </xf>
  </cellXfs>
  <cellStyles count="3">
    <cellStyle name="Millares" xfId="1" builtinId="3" customBuiltin="1"/>
    <cellStyle name="Normal" xfId="0" builtinId="0" customBuiltin="1"/>
    <cellStyle name="Porcentaje" xfId="2" builtinId="5" customBuiltin="1"/>
  </cellStyles>
  <dxfs count="126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253380" count="1">
        <pm:charStyle name="Normal" fontId="0" Id="1"/>
      </pm:charStyles>
      <pm:colors xmlns:pm="smNativeData" id="1595253380" count="16">
        <pm:color name="Color 24" rgb="00B050"/>
        <pm:color name="Color 25" rgb="E6B8B7"/>
        <pm:color name="Color 26" rgb="D7E3BB"/>
        <pm:color name="Color 27" rgb="CCC0DA"/>
        <pm:color name="Color 28" rgb="FCD5B4"/>
        <pm:color name="Color 29" rgb="C2D69A"/>
        <pm:color name="Color 30" rgb="D8D8D8"/>
        <pm:color name="Color 31" rgb="FDE9D9"/>
        <pm:color name="Color 32" rgb="DAEEF3"/>
        <pm:color name="Color 33" rgb="C4BD97"/>
        <pm:color name="Color 34" rgb="DCE6F1"/>
        <pm:color name="Color 35" rgb="B7DEE8"/>
        <pm:color name="Color 36" rgb="006100"/>
        <pm:color name="Color 37" rgb="C6EFCE"/>
        <pm:color name="Color 38" rgb="E26B0A"/>
        <pm:color name="Color 39" rgb="585858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'VADER-Vigilante'!$G$25:$G$35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'VADER-Vigilante'!$H$25:$H$35</c:f>
              <c:numCache>
                <c:formatCode>0.0%</c:formatCode>
                <c:ptCount val="11"/>
                <c:pt idx="0">
                  <c:v>0.10557420307769871</c:v>
                </c:pt>
                <c:pt idx="1">
                  <c:v>0.25716153701356448</c:v>
                </c:pt>
                <c:pt idx="2">
                  <c:v>0.29067740610335818</c:v>
                </c:pt>
                <c:pt idx="3">
                  <c:v>0.20264835712990981</c:v>
                </c:pt>
                <c:pt idx="4">
                  <c:v>9.7689125628098797E-2</c:v>
                </c:pt>
                <c:pt idx="5">
                  <c:v>3.4594255356847903E-2</c:v>
                </c:pt>
                <c:pt idx="6">
                  <c:v>9.3282411055744911E-3</c:v>
                </c:pt>
                <c:pt idx="7">
                  <c:v>1.9571990492791456E-3</c:v>
                </c:pt>
                <c:pt idx="8">
                  <c:v>3.2311644797082724E-4</c:v>
                </c:pt>
                <c:pt idx="9">
                  <c:v>4.1991979286271674E-5</c:v>
                </c:pt>
                <c:pt idx="10">
                  <c:v>4.2329076938447498E-6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7-4FA5-AE4C-68DE599987E7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'VADER-Vigilante'!$G$25:$G$35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'VADER-Vigilante'!$H$39:$H$49</c:f>
              <c:numCache>
                <c:formatCode>0.0%</c:formatCode>
                <c:ptCount val="11"/>
                <c:pt idx="0">
                  <c:v>0.15425730594414302</c:v>
                </c:pt>
                <c:pt idx="1">
                  <c:v>0.30881918363713518</c:v>
                </c:pt>
                <c:pt idx="2">
                  <c:v>0.28652168973899178</c:v>
                </c:pt>
                <c:pt idx="3">
                  <c:v>0.16342926127863194</c:v>
                </c:pt>
                <c:pt idx="4">
                  <c:v>6.4071945127960328E-2</c:v>
                </c:pt>
                <c:pt idx="5">
                  <c:v>1.827133783923381E-2</c:v>
                </c:pt>
                <c:pt idx="6">
                  <c:v>3.9072069946341085E-3</c:v>
                </c:pt>
                <c:pt idx="7">
                  <c:v>6.3549655538543777E-4</c:v>
                </c:pt>
                <c:pt idx="8">
                  <c:v>7.8712213769142702E-5</c:v>
                </c:pt>
                <c:pt idx="9">
                  <c:v>7.3363858148072234E-6</c:v>
                </c:pt>
                <c:pt idx="10">
                  <c:v>5.0001296610871668E-7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C7-4FA5-AE4C-68DE59998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800" b="1" i="0" u="none" strike="noStrike" kern="100">
                <a:solidFill>
                  <a:srgbClr val="000000"/>
                </a:solidFill>
                <a:latin typeface="Calibri" charset="0"/>
              </a:defRPr>
            </a:pPr>
            <a:r>
              <a:t>Título del gráfico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0954-49FB-9354-589796E11576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0954-49FB-9354-589796E1157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0954-49FB-9354-589796E11576}"/>
              </c:ext>
            </c:extLst>
          </c:dPt>
          <c:val>
            <c:numRef>
              <c:f>'SIMULADOR&gt;22-12-17'!$B$37:$B$39</c:f>
              <c:numCache>
                <c:formatCode>0.0%</c:formatCode>
                <c:ptCount val="3"/>
                <c:pt idx="0">
                  <c:v>0.17659899041025631</c:v>
                </c:pt>
                <c:pt idx="1">
                  <c:v>0.59597225178515745</c:v>
                </c:pt>
                <c:pt idx="2">
                  <c:v>0.227419831552787</c:v>
                </c:pt>
              </c:numCache>
            </c:numRef>
          </c:val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6-0954-49FB-9354-589796E11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cat>
            <c:numRef>
              <c:f>SIMULADOR!$G$25:$G$35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0741-41C2-AFA1-EDBD243D68FA}"/>
            </c:ext>
          </c:extLst>
        </c:ser>
        <c:ser>
          <c:idx val="1"/>
          <c:order val="1"/>
          <c:spPr>
            <a:ln w="9525"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val>
            <c:numRef>
              <c:f>SIMULADOR!$H$39:$H$49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0741-41C2-AFA1-EDBD243D6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"/>
        <c:crosses val="autoZero"/>
        <c:auto val="1"/>
        <c:lblAlgn val="l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800" b="1" i="0" u="none" strike="noStrike" kern="100">
                <a:solidFill>
                  <a:srgbClr val="000000"/>
                </a:solidFill>
                <a:latin typeface="Calibri" charset="0"/>
              </a:defRPr>
            </a:pPr>
            <a:r>
              <a:t>Título del gráfico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08A2-4F67-9096-6C7CF8CCB3F5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08A2-4F67-9096-6C7CF8CCB3F5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08A2-4F67-9096-6C7CF8CCB3F5}"/>
              </c:ext>
            </c:extLst>
          </c:dPt>
          <c:val>
            <c:numRef>
              <c:f>SIMULADOR!$B$37:$B$39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6-08A2-4F67-9096-6C7CF8CCB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cat>
            <c:numRef>
              <c:f>SIMULADOR_sinJC!$G$24:$G$34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SIMULADOR_sinJC!$H$24:$H$34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E4D6-47EE-BF97-A9D6F6D96B40}"/>
            </c:ext>
          </c:extLst>
        </c:ser>
        <c:ser>
          <c:idx val="1"/>
          <c:order val="1"/>
          <c:spPr>
            <a:ln w="9525"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val>
            <c:numRef>
              <c:f>SIMULADOR_sinJC!$H$38:$H$48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E4D6-47EE-BF97-A9D6F6D96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"/>
        <c:crosses val="autoZero"/>
        <c:auto val="1"/>
        <c:lblAlgn val="l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800" b="1" i="0" u="none" strike="noStrike" kern="100">
                <a:solidFill>
                  <a:srgbClr val="000000"/>
                </a:solidFill>
                <a:latin typeface="Calibri" charset="0"/>
              </a:defRPr>
            </a:pPr>
            <a:r>
              <a:t>Título del gráfico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2AAF-4476-90AE-74C5EE96A591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2AAF-4476-90AE-74C5EE96A59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2AAF-4476-90AE-74C5EE96A591}"/>
              </c:ext>
            </c:extLst>
          </c:dPt>
          <c:val>
            <c:numRef>
              <c:f>SIMULADOR_sinJC!$B$37:$B$39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6-2AAF-4476-90AE-74C5EE96A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'los_ofensivos-VADER'!$G$25:$G$35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'los_ofensivos-VADER'!$H$25:$H$35</c:f>
              <c:numCache>
                <c:formatCode>0.0%</c:formatCode>
                <c:ptCount val="11"/>
                <c:pt idx="0">
                  <c:v>0.13867885970600349</c:v>
                </c:pt>
                <c:pt idx="1">
                  <c:v>0.2931566951428089</c:v>
                </c:pt>
                <c:pt idx="2">
                  <c:v>0.2844065228250427</c:v>
                </c:pt>
                <c:pt idx="3">
                  <c:v>0.17210600638298945</c:v>
                </c:pt>
                <c:pt idx="4">
                  <c:v>7.542238110192051E-2</c:v>
                </c:pt>
                <c:pt idx="5">
                  <c:v>2.6339589178902053E-2</c:v>
                </c:pt>
                <c:pt idx="6">
                  <c:v>7.6569693543628867E-3</c:v>
                </c:pt>
                <c:pt idx="7">
                  <c:v>1.8322488499586905E-3</c:v>
                </c:pt>
                <c:pt idx="8">
                  <c:v>3.4612167562220902E-4</c:v>
                </c:pt>
                <c:pt idx="9">
                  <c:v>4.922802272296935E-5</c:v>
                </c:pt>
                <c:pt idx="10">
                  <c:v>5.0192734830137177E-6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8-45BF-8C03-3BFF150486A8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'los_ofensivos-VADER'!$G$25:$G$35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'los_ofensivos-VADER'!$H$39:$H$49</c:f>
              <c:numCache>
                <c:formatCode>0.0%</c:formatCode>
                <c:ptCount val="11"/>
                <c:pt idx="0">
                  <c:v>5.0214740463720715E-2</c:v>
                </c:pt>
                <c:pt idx="1">
                  <c:v>0.16566832451915345</c:v>
                </c:pt>
                <c:pt idx="2">
                  <c:v>0.25202910739924683</c:v>
                </c:pt>
                <c:pt idx="3">
                  <c:v>0.23844413410472784</c:v>
                </c:pt>
                <c:pt idx="4">
                  <c:v>0.16037113091958485</c:v>
                </c:pt>
                <c:pt idx="5">
                  <c:v>8.2987199115401228E-2</c:v>
                </c:pt>
                <c:pt idx="6">
                  <c:v>3.4524834214851363E-2</c:v>
                </c:pt>
                <c:pt idx="7">
                  <c:v>1.1707719739180026E-2</c:v>
                </c:pt>
                <c:pt idx="8">
                  <c:v>3.2133546026533E-3</c:v>
                </c:pt>
                <c:pt idx="9">
                  <c:v>7.024760580037723E-4</c:v>
                </c:pt>
                <c:pt idx="10">
                  <c:v>1.1997091654763329E-4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38-45BF-8C03-3BFF15048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'RioPa_Prime-VADER'!$G$25:$G$35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'RioPa_Prime-VADER'!$H$25:$H$35</c:f>
              <c:numCache>
                <c:formatCode>0.0%</c:formatCode>
                <c:ptCount val="11"/>
                <c:pt idx="0">
                  <c:v>6.6420465067587461E-2</c:v>
                </c:pt>
                <c:pt idx="1">
                  <c:v>0.19862515209547449</c:v>
                </c:pt>
                <c:pt idx="2">
                  <c:v>0.27573403135938607</c:v>
                </c:pt>
                <c:pt idx="3">
                  <c:v>0.23580013164858615</c:v>
                </c:pt>
                <c:pt idx="4">
                  <c:v>0.13888762413805092</c:v>
                </c:pt>
                <c:pt idx="5">
                  <c:v>5.9608725963641612E-2</c:v>
                </c:pt>
                <c:pt idx="6">
                  <c:v>1.9204598283555533E-2</c:v>
                </c:pt>
                <c:pt idx="7">
                  <c:v>4.7060260873846719E-3</c:v>
                </c:pt>
                <c:pt idx="8">
                  <c:v>8.7710482792770651E-4</c:v>
                </c:pt>
                <c:pt idx="9">
                  <c:v>1.2271279779530202E-4</c:v>
                </c:pt>
                <c:pt idx="10">
                  <c:v>1.2510351474118592E-5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4B2A-BB89-EBC4AFDE49C2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'RioPa_Prime-VADER'!$G$25:$G$35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'RioPa_Prime-VADER'!$H$39:$H$49</c:f>
              <c:numCache>
                <c:formatCode>0.0%</c:formatCode>
                <c:ptCount val="11"/>
                <c:pt idx="0">
                  <c:v>0.22220304872890156</c:v>
                </c:pt>
                <c:pt idx="1">
                  <c:v>0.34044987093792639</c:v>
                </c:pt>
                <c:pt idx="2">
                  <c:v>0.23929266343179614</c:v>
                </c:pt>
                <c:pt idx="3">
                  <c:v>0.12238107916741363</c:v>
                </c:pt>
                <c:pt idx="4">
                  <c:v>5.2661104017768197E-2</c:v>
                </c:pt>
                <c:pt idx="5">
                  <c:v>1.7792637061038615E-2</c:v>
                </c:pt>
                <c:pt idx="6">
                  <c:v>4.3635304460630971E-3</c:v>
                </c:pt>
                <c:pt idx="7">
                  <c:v>7.556388944083886E-4</c:v>
                </c:pt>
                <c:pt idx="8">
                  <c:v>9.2043603016897415E-5</c:v>
                </c:pt>
                <c:pt idx="9">
                  <c:v>7.8885032375364587E-6</c:v>
                </c:pt>
                <c:pt idx="10">
                  <c:v>4.7477197888393736E-7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4B2A-BB89-EBC4AFDE4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SIMULADOR_v4!$G$25:$G$35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SIMULADOR_v4!$H$25:$H$35</c:f>
              <c:numCache>
                <c:formatCode>0.0%</c:formatCode>
                <c:ptCount val="11"/>
                <c:pt idx="0">
                  <c:v>0.10351394127375854</c:v>
                </c:pt>
                <c:pt idx="1">
                  <c:v>0.26009886536504917</c:v>
                </c:pt>
                <c:pt idx="2">
                  <c:v>0.29625795730228921</c:v>
                </c:pt>
                <c:pt idx="3">
                  <c:v>0.20421060603863439</c:v>
                </c:pt>
                <c:pt idx="4">
                  <c:v>9.5106856760593855E-2</c:v>
                </c:pt>
                <c:pt idx="5">
                  <c:v>3.1560913233370999E-2</c:v>
                </c:pt>
                <c:pt idx="6">
                  <c:v>7.6676469160447845E-3</c:v>
                </c:pt>
                <c:pt idx="7">
                  <c:v>1.3799579664449944E-3</c:v>
                </c:pt>
                <c:pt idx="8">
                  <c:v>1.8398564152972876E-4</c:v>
                </c:pt>
                <c:pt idx="9">
                  <c:v>1.7959909194790075E-5</c:v>
                </c:pt>
                <c:pt idx="10">
                  <c:v>1.2491590594339113E-6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E-40AD-9530-5FE04617192B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SIMULADOR_v4!$G$25:$G$35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SIMULADOR_v4!$H$39:$H$49</c:f>
              <c:numCache>
                <c:formatCode>0.0%</c:formatCode>
                <c:ptCount val="11"/>
                <c:pt idx="0">
                  <c:v>4.7351678982142141E-3</c:v>
                </c:pt>
                <c:pt idx="1">
                  <c:v>3.2004544504349974E-2</c:v>
                </c:pt>
                <c:pt idx="2">
                  <c:v>9.8933001168284379E-2</c:v>
                </c:pt>
                <c:pt idx="3">
                  <c:v>0.18504320155338355</c:v>
                </c:pt>
                <c:pt idx="4">
                  <c:v>0.23343814068609911</c:v>
                </c:pt>
                <c:pt idx="5">
                  <c:v>0.20956275213503461</c:v>
                </c:pt>
                <c:pt idx="6">
                  <c:v>0.13761978385310691</c:v>
                </c:pt>
                <c:pt idx="7">
                  <c:v>6.6898981139408897E-2</c:v>
                </c:pt>
                <c:pt idx="8">
                  <c:v>2.4072025495097484E-2</c:v>
                </c:pt>
                <c:pt idx="9">
                  <c:v>6.3383510841440172E-3</c:v>
                </c:pt>
                <c:pt idx="10">
                  <c:v>1.1901022597017457E-3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E-40AD-9530-5FE046171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cat>
            <c:numRef>
              <c:f>SIMULADOR_v3!$G$25:$G$35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SIMULADOR_v3!$H$25:$H$35</c:f>
              <c:numCache>
                <c:formatCode>0.0%</c:formatCode>
                <c:ptCount val="11"/>
                <c:pt idx="0">
                  <c:v>4.5360424470794039E-2</c:v>
                </c:pt>
                <c:pt idx="1">
                  <c:v>0.15783330304573795</c:v>
                </c:pt>
                <c:pt idx="2">
                  <c:v>0.25392608577972164</c:v>
                </c:pt>
                <c:pt idx="3">
                  <c:v>0.25045534381676698</c:v>
                </c:pt>
                <c:pt idx="4">
                  <c:v>0.16918412165769878</c:v>
                </c:pt>
                <c:pt idx="5">
                  <c:v>8.2740684471239612E-2</c:v>
                </c:pt>
                <c:pt idx="6">
                  <c:v>3.0165294160438536E-2</c:v>
                </c:pt>
                <c:pt idx="7">
                  <c:v>8.3058589548542089E-3</c:v>
                </c:pt>
                <c:pt idx="8">
                  <c:v>1.7279043580330185E-3</c:v>
                </c:pt>
                <c:pt idx="9">
                  <c:v>2.6829640626167806E-4</c:v>
                </c:pt>
                <c:pt idx="10">
                  <c:v>3.0227836015330314E-5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C95F-4E52-BDAD-89AD417D7EA4}"/>
            </c:ext>
          </c:extLst>
        </c:ser>
        <c:ser>
          <c:idx val="1"/>
          <c:order val="1"/>
          <c:spPr>
            <a:ln w="9525"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val>
            <c:numRef>
              <c:f>SIMULADOR_v3!$H$39:$H$49</c:f>
              <c:numCache>
                <c:formatCode>0.0%</c:formatCode>
                <c:ptCount val="11"/>
                <c:pt idx="0">
                  <c:v>1.6581076073962548E-2</c:v>
                </c:pt>
                <c:pt idx="1">
                  <c:v>8.1605266938989937E-2</c:v>
                </c:pt>
                <c:pt idx="2">
                  <c:v>0.18323572841762997</c:v>
                </c:pt>
                <c:pt idx="3">
                  <c:v>0.2481921520245913</c:v>
                </c:pt>
                <c:pt idx="4">
                  <c:v>0.22588690034616293</c:v>
                </c:pt>
                <c:pt idx="5">
                  <c:v>0.14560294494229817</c:v>
                </c:pt>
                <c:pt idx="6">
                  <c:v>6.8241411365084603E-2</c:v>
                </c:pt>
                <c:pt idx="7">
                  <c:v>2.3493488258559014E-2</c:v>
                </c:pt>
                <c:pt idx="8">
                  <c:v>5.9284584728184269E-3</c:v>
                </c:pt>
                <c:pt idx="9">
                  <c:v>1.0814193371394922E-3</c:v>
                </c:pt>
                <c:pt idx="10">
                  <c:v>1.3863995863244092E-4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C95F-4E52-BDAD-89AD417D7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"/>
        <c:crosses val="autoZero"/>
        <c:auto val="1"/>
        <c:lblAlgn val="l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800" b="1" i="0" u="none" strike="noStrike" kern="100">
                <a:solidFill>
                  <a:srgbClr val="000000"/>
                </a:solidFill>
                <a:latin typeface="Calibri" charset="0"/>
              </a:defRPr>
            </a:pPr>
            <a:r>
              <a:rPr lang="es-ES"/>
              <a:t>Título del gráfico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7160-4B36-A526-E94A2FF69A28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7160-4B36-A526-E94A2FF69A2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7160-4B36-A526-E94A2FF69A28}"/>
              </c:ext>
            </c:extLst>
          </c:dPt>
          <c:val>
            <c:numRef>
              <c:f>SIMULADOR_v3!$B$37:$B$39</c:f>
              <c:numCache>
                <c:formatCode>0.0%</c:formatCode>
                <c:ptCount val="3"/>
                <c:pt idx="0">
                  <c:v>0.174849493678958</c:v>
                </c:pt>
                <c:pt idx="1">
                  <c:v>0.53824289584910767</c:v>
                </c:pt>
                <c:pt idx="2">
                  <c:v>0.28686241832912457</c:v>
                </c:pt>
              </c:numCache>
            </c:numRef>
          </c:val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6-7160-4B36-A526-E94A2FF69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cat>
            <c:numRef>
              <c:f>'SIMULADOR&gt;22-12-17_v2'!$G$25:$G$35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'SIMULADOR&gt;22-12-17_v2'!$H$25:$H$35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688D-4546-90DD-5E30B5FEF743}"/>
            </c:ext>
          </c:extLst>
        </c:ser>
        <c:ser>
          <c:idx val="1"/>
          <c:order val="1"/>
          <c:spPr>
            <a:ln w="9525"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val>
            <c:numRef>
              <c:f>'SIMULADOR&gt;22-12-17_v2'!$H$39:$H$49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688D-4546-90DD-5E30B5FEF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"/>
        <c:crosses val="autoZero"/>
        <c:auto val="1"/>
        <c:lblAlgn val="l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800" b="1" i="0" u="none" strike="noStrike" kern="100">
                <a:solidFill>
                  <a:srgbClr val="000000"/>
                </a:solidFill>
                <a:latin typeface="Calibri" charset="0"/>
              </a:defRPr>
            </a:pPr>
            <a:r>
              <a:t>Título del gráfico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3246-44AA-8374-8382191FF020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3246-44AA-8374-8382191FF020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3246-44AA-8374-8382191FF020}"/>
              </c:ext>
            </c:extLst>
          </c:dPt>
          <c:val>
            <c:numRef>
              <c:f>'SIMULADOR&gt;22-12-17_v2'!$B$37:$B$39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6-3246-44AA-8374-8382191FF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cat>
            <c:numRef>
              <c:f>'SIMULADOR&gt;22-12-17'!$G$25:$G$35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'SIMULADOR&gt;22-12-17'!$H$25:$H$35</c:f>
              <c:numCache>
                <c:formatCode>0.0%</c:formatCode>
                <c:ptCount val="11"/>
                <c:pt idx="0">
                  <c:v>0.11729554082099101</c:v>
                </c:pt>
                <c:pt idx="1">
                  <c:v>0.27152796609913654</c:v>
                </c:pt>
                <c:pt idx="2">
                  <c:v>0.2917401663391731</c:v>
                </c:pt>
                <c:pt idx="3">
                  <c:v>0.19309454238427987</c:v>
                </c:pt>
                <c:pt idx="4">
                  <c:v>8.8066690842485224E-2</c:v>
                </c:pt>
                <c:pt idx="5">
                  <c:v>2.9304768260192272E-2</c:v>
                </c:pt>
                <c:pt idx="6">
                  <c:v>7.3378102626105316E-3</c:v>
                </c:pt>
                <c:pt idx="7">
                  <c:v>1.402822717321473E-3</c:v>
                </c:pt>
                <c:pt idx="8">
                  <c:v>2.0507712971897473E-4</c:v>
                </c:pt>
                <c:pt idx="9">
                  <c:v>2.266480783309812E-5</c:v>
                </c:pt>
                <c:pt idx="10">
                  <c:v>1.8421385796623046E-6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0F78-4C93-87C7-25014BC73144}"/>
            </c:ext>
          </c:extLst>
        </c:ser>
        <c:ser>
          <c:idx val="1"/>
          <c:order val="1"/>
          <c:spPr>
            <a:ln w="9525"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val>
            <c:numRef>
              <c:f>'SIMULADOR&gt;22-12-17'!$H$39:$H$49</c:f>
              <c:numCache>
                <c:formatCode>0.0%</c:formatCode>
                <c:ptCount val="11"/>
                <c:pt idx="0">
                  <c:v>3.5891216279918037E-2</c:v>
                </c:pt>
                <c:pt idx="1">
                  <c:v>0.13394167206785365</c:v>
                </c:pt>
                <c:pt idx="2">
                  <c:v>0.23283735761668781</c:v>
                </c:pt>
                <c:pt idx="3">
                  <c:v>0.25045819541552683</c:v>
                </c:pt>
                <c:pt idx="4">
                  <c:v>0.18649765693945197</c:v>
                </c:pt>
                <c:pt idx="5">
                  <c:v>0.10169269462425716</c:v>
                </c:pt>
                <c:pt idx="6">
                  <c:v>4.1800753514072017E-2</c:v>
                </c:pt>
                <c:pt idx="7">
                  <c:v>1.3107590682356623E-2</c:v>
                </c:pt>
                <c:pt idx="8">
                  <c:v>3.1309638772704018E-3</c:v>
                </c:pt>
                <c:pt idx="9">
                  <c:v>5.6156131532783256E-4</c:v>
                </c:pt>
                <c:pt idx="10">
                  <c:v>7.336160298841875E-5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0F78-4C93-87C7-25014BC73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"/>
        <c:crosses val="autoZero"/>
        <c:auto val="1"/>
        <c:lblAlgn val="l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84.hattrick.org/World/Leagues/League.aspx?LeagueID=131" TargetMode="External"/><Relationship Id="rId18" Type="http://schemas.openxmlformats.org/officeDocument/2006/relationships/hyperlink" Target="https://www84.hattrick.org/World/Leagues/League.aspx?LeagueID=50" TargetMode="External"/><Relationship Id="rId26" Type="http://schemas.openxmlformats.org/officeDocument/2006/relationships/hyperlink" Target="https://www84.hattrick.org/Club/Players/PlayerStats.aspx?playerId=418974623&amp;BrowseIds=429002568,426930725,430783951,422175076,426558658,422896291,450187796,418974623,450047651,423964218,443306833,447702997,438702037,442529762,442359135,454559851,453238851,451186837,447478945,444969953,454181351,453118940,331601621,396000945,377724370&amp;ShowAll=true" TargetMode="External"/><Relationship Id="rId39" Type="http://schemas.openxmlformats.org/officeDocument/2006/relationships/hyperlink" Target="https://www84.hattrick.org/Club/Players/PlayerStats.aspx?playerId=454181351&amp;BrowseIds=429002568,426930725,430783951,422175076,426558658,422896291,450187796,418974623,450047651,423964218,443306833,447702997,438702037,442529762,442359135,454559851,453238851,451186837,447478945,444969953,454181351,453118940,331601621,396000945,377724370&amp;ShowAll=true" TargetMode="External"/><Relationship Id="rId21" Type="http://schemas.openxmlformats.org/officeDocument/2006/relationships/hyperlink" Target="https://www84.hattrick.org/Club/Players/PlayerStats.aspx?playerId=430783951&amp;BrowseIds=429002568,426930725,430783951,422175076,426558658,422896291,450187796,418974623,450047651,423964218,443306833,447702997,438702037,442529762,442359135,454559851,453238851,451186837,447478945,444969953,454181351,453118940,331601621,396000945,377724370&amp;ShowAll=true" TargetMode="External"/><Relationship Id="rId34" Type="http://schemas.openxmlformats.org/officeDocument/2006/relationships/hyperlink" Target="https://www84.hattrick.org/Club/Players/PlayerStats.aspx?playerId=454559851&amp;BrowseIds=429002568,426930725,430783951,422175076,426558658,422896291,450187796,418974623,450047651,423964218,443306833,447702997,438702037,442529762,442359135,454559851,453238851,451186837,447478945,444969953,454181351,453118940,331601621,396000945,377724370&amp;ShowAll=true" TargetMode="External"/><Relationship Id="rId42" Type="http://schemas.openxmlformats.org/officeDocument/2006/relationships/hyperlink" Target="https://www84.hattrick.org/Club/Players/PlayerStats.aspx?playerId=396000945&amp;BrowseIds=429002568,426930725,430783951,422175076,426558658,422896291,450187796,418974623,450047651,423964218,443306833,447702997,438702037,442529762,442359135,454559851,453238851,451186837,447478945,444969953,454181351,453118940,331601621,396000945,377724370&amp;ShowAll=true" TargetMode="External"/><Relationship Id="rId7" Type="http://schemas.openxmlformats.org/officeDocument/2006/relationships/hyperlink" Target="https://www84.hattrick.org/World/Leagues/League.aspx?LeagueID=14" TargetMode="External"/><Relationship Id="rId2" Type="http://schemas.openxmlformats.org/officeDocument/2006/relationships/image" Target="../media/image1.gif"/><Relationship Id="rId16" Type="http://schemas.openxmlformats.org/officeDocument/2006/relationships/hyperlink" Target="https://www84.hattrick.org/World/Leagues/League.aspx?LeagueID=24" TargetMode="External"/><Relationship Id="rId20" Type="http://schemas.openxmlformats.org/officeDocument/2006/relationships/hyperlink" Target="https://www84.hattrick.org/Club/Players/PlayerStats.aspx?playerId=426930725&amp;BrowseIds=429002568,426930725,430783951,422175076,426558658,422896291,450187796,418974623,450047651,423964218,443306833,447702997,438702037,442529762,442359135,454559851,453238851,451186837,447478945,444969953,454181351,453118940,331601621,396000945,377724370&amp;ShowAll=true" TargetMode="External"/><Relationship Id="rId29" Type="http://schemas.openxmlformats.org/officeDocument/2006/relationships/hyperlink" Target="https://www84.hattrick.org/Club/Players/PlayerStats.aspx?playerId=443306833&amp;BrowseIds=429002568,426930725,430783951,422175076,426558658,422896291,450187796,418974623,450047651,423964218,443306833,447702997,438702037,442529762,442359135,454559851,453238851,451186837,447478945,444969953,454181351,453118940,331601621,396000945,377724370&amp;ShowAll=true" TargetMode="External"/><Relationship Id="rId41" Type="http://schemas.openxmlformats.org/officeDocument/2006/relationships/hyperlink" Target="https://www84.hattrick.org/Club/Players/PlayerStats.aspx?playerId=331601621&amp;BrowseIds=429002568,426930725,430783951,422175076,426558658,422896291,450187796,418974623,450047651,423964218,443306833,447702997,438702037,442529762,442359135,454559851,453238851,451186837,447478945,444969953,454181351,453118940,331601621,396000945,377724370&amp;ShowAll=true" TargetMode="External"/><Relationship Id="rId1" Type="http://schemas.openxmlformats.org/officeDocument/2006/relationships/hyperlink" Target="https://www84.hattrick.org/World/Leagues/League.aspx?LeagueID=4" TargetMode="External"/><Relationship Id="rId6" Type="http://schemas.openxmlformats.org/officeDocument/2006/relationships/hyperlink" Target="https://www84.hattrick.org/World/Leagues/League.aspx?LeagueID=18" TargetMode="External"/><Relationship Id="rId11" Type="http://schemas.openxmlformats.org/officeDocument/2006/relationships/hyperlink" Target="https://www84.hattrick.org/World/Leagues/League.aspx?LeagueID=36" TargetMode="External"/><Relationship Id="rId24" Type="http://schemas.openxmlformats.org/officeDocument/2006/relationships/hyperlink" Target="https://www84.hattrick.org/Club/Players/PlayerStats.aspx?playerId=422896291&amp;BrowseIds=429002568,426930725,430783951,422175076,426558658,422896291,450187796,418974623,450047651,423964218,443306833,447702997,438702037,442529762,442359135,454559851,453238851,451186837,447478945,444969953,454181351,453118940,331601621,396000945,377724370&amp;ShowAll=true" TargetMode="External"/><Relationship Id="rId32" Type="http://schemas.openxmlformats.org/officeDocument/2006/relationships/hyperlink" Target="https://www84.hattrick.org/Club/Players/PlayerStats.aspx?playerId=442529762&amp;BrowseIds=429002568,426930725,430783951,422175076,426558658,422896291,450187796,418974623,450047651,423964218,443306833,447702997,438702037,442529762,442359135,454559851,453238851,451186837,447478945,444969953,454181351,453118940,331601621,396000945,377724370&amp;ShowAll=true" TargetMode="External"/><Relationship Id="rId37" Type="http://schemas.openxmlformats.org/officeDocument/2006/relationships/hyperlink" Target="https://www84.hattrick.org/Club/Players/PlayerStats.aspx?playerId=447478945&amp;BrowseIds=429002568,426930725,430783951,422175076,426558658,422896291,450187796,418974623,450047651,423964218,443306833,447702997,438702037,442529762,442359135,454559851,453238851,451186837,447478945,444969953,454181351,453118940,331601621,396000945,377724370&amp;ShowAll=true" TargetMode="External"/><Relationship Id="rId40" Type="http://schemas.openxmlformats.org/officeDocument/2006/relationships/hyperlink" Target="https://www84.hattrick.org/Club/Players/PlayerStats.aspx?playerId=453118940&amp;BrowseIds=429002568,426930725,430783951,422175076,426558658,422896291,450187796,418974623,450047651,423964218,443306833,447702997,438702037,442529762,442359135,454559851,453238851,451186837,447478945,444969953,454181351,453118940,331601621,396000945,377724370&amp;ShowAll=true" TargetMode="External"/><Relationship Id="rId5" Type="http://schemas.openxmlformats.org/officeDocument/2006/relationships/hyperlink" Target="https://www84.hattrick.org/World/Leagues/League.aspx?LeagueID=141" TargetMode="External"/><Relationship Id="rId15" Type="http://schemas.openxmlformats.org/officeDocument/2006/relationships/hyperlink" Target="https://www84.hattrick.org/World/Leagues/League.aspx?LeagueID=9" TargetMode="External"/><Relationship Id="rId23" Type="http://schemas.openxmlformats.org/officeDocument/2006/relationships/hyperlink" Target="https://www84.hattrick.org/Club/Players/PlayerStats.aspx?playerId=426558658&amp;BrowseIds=429002568,426930725,430783951,422175076,426558658,422896291,450187796,418974623,450047651,423964218,443306833,447702997,438702037,442529762,442359135,454559851,453238851,451186837,447478945,444969953,454181351,453118940,331601621,396000945,377724370&amp;ShowAll=true" TargetMode="External"/><Relationship Id="rId28" Type="http://schemas.openxmlformats.org/officeDocument/2006/relationships/hyperlink" Target="https://www84.hattrick.org/Club/Players/PlayerStats.aspx?playerId=423964218&amp;BrowseIds=429002568,426930725,430783951,422175076,426558658,422896291,450187796,418974623,450047651,423964218,443306833,447702997,438702037,442529762,442359135,454559851,453238851,451186837,447478945,444969953,454181351,453118940,331601621,396000945,377724370&amp;ShowAll=true" TargetMode="External"/><Relationship Id="rId36" Type="http://schemas.openxmlformats.org/officeDocument/2006/relationships/hyperlink" Target="https://www84.hattrick.org/Club/Players/PlayerStats.aspx?playerId=451186837&amp;BrowseIds=429002568,426930725,430783951,422175076,426558658,422896291,450187796,418974623,450047651,423964218,443306833,447702997,438702037,442529762,442359135,454559851,453238851,451186837,447478945,444969953,454181351,453118940,331601621,396000945,377724370&amp;ShowAll=true" TargetMode="External"/><Relationship Id="rId10" Type="http://schemas.openxmlformats.org/officeDocument/2006/relationships/hyperlink" Target="https://www84.hattrick.org/World/Leagues/League.aspx?LeagueID=2" TargetMode="External"/><Relationship Id="rId19" Type="http://schemas.openxmlformats.org/officeDocument/2006/relationships/hyperlink" Target="https://www84.hattrick.org/Club/Players/PlayerStats.aspx?playerId=429002568&amp;BrowseIds=429002568,426930725,430783951,422175076,426558658,422896291,450187796,418974623,450047651,423964218,443306833,447702997,438702037,442529762,442359135,454559851,453238851,451186837,447478945,444969953,454181351,453118940,331601621,396000945,377724370&amp;ShowAll=true" TargetMode="External"/><Relationship Id="rId31" Type="http://schemas.openxmlformats.org/officeDocument/2006/relationships/hyperlink" Target="https://www84.hattrick.org/Club/Players/PlayerStats.aspx?playerId=438702037&amp;BrowseIds=429002568,426930725,430783951,422175076,426558658,422896291,450187796,418974623,450047651,423964218,443306833,447702997,438702037,442529762,442359135,454559851,453238851,451186837,447478945,444969953,454181351,453118940,331601621,396000945,377724370&amp;ShowAll=true" TargetMode="External"/><Relationship Id="rId4" Type="http://schemas.openxmlformats.org/officeDocument/2006/relationships/image" Target="../media/image2.gif"/><Relationship Id="rId9" Type="http://schemas.openxmlformats.org/officeDocument/2006/relationships/hyperlink" Target="https://www84.hattrick.org/World/Leagues/League.aspx?LeagueID=5" TargetMode="External"/><Relationship Id="rId14" Type="http://schemas.openxmlformats.org/officeDocument/2006/relationships/hyperlink" Target="https://www84.hattrick.org/World/Leagues/League.aspx?LeagueID=52" TargetMode="External"/><Relationship Id="rId22" Type="http://schemas.openxmlformats.org/officeDocument/2006/relationships/hyperlink" Target="https://www84.hattrick.org/Club/Players/PlayerStats.aspx?playerId=422175076&amp;BrowseIds=429002568,426930725,430783951,422175076,426558658,422896291,450187796,418974623,450047651,423964218,443306833,447702997,438702037,442529762,442359135,454559851,453238851,451186837,447478945,444969953,454181351,453118940,331601621,396000945,377724370&amp;ShowAll=true" TargetMode="External"/><Relationship Id="rId27" Type="http://schemas.openxmlformats.org/officeDocument/2006/relationships/hyperlink" Target="https://www84.hattrick.org/Club/Players/PlayerStats.aspx?playerId=450047651&amp;BrowseIds=429002568,426930725,430783951,422175076,426558658,422896291,450187796,418974623,450047651,423964218,443306833,447702997,438702037,442529762,442359135,454559851,453238851,451186837,447478945,444969953,454181351,453118940,331601621,396000945,377724370&amp;ShowAll=true" TargetMode="External"/><Relationship Id="rId30" Type="http://schemas.openxmlformats.org/officeDocument/2006/relationships/hyperlink" Target="https://www84.hattrick.org/Club/Players/PlayerStats.aspx?playerId=447702997&amp;BrowseIds=429002568,426930725,430783951,422175076,426558658,422896291,450187796,418974623,450047651,423964218,443306833,447702997,438702037,442529762,442359135,454559851,453238851,451186837,447478945,444969953,454181351,453118940,331601621,396000945,377724370&amp;ShowAll=true" TargetMode="External"/><Relationship Id="rId35" Type="http://schemas.openxmlformats.org/officeDocument/2006/relationships/hyperlink" Target="https://www84.hattrick.org/Club/Players/PlayerStats.aspx?playerId=453238851&amp;BrowseIds=429002568,426930725,430783951,422175076,426558658,422896291,450187796,418974623,450047651,423964218,443306833,447702997,438702037,442529762,442359135,454559851,453238851,451186837,447478945,444969953,454181351,453118940,331601621,396000945,377724370&amp;ShowAll=true" TargetMode="External"/><Relationship Id="rId43" Type="http://schemas.openxmlformats.org/officeDocument/2006/relationships/image" Target="../media/image5.png"/><Relationship Id="rId8" Type="http://schemas.openxmlformats.org/officeDocument/2006/relationships/image" Target="../media/image3.gif"/><Relationship Id="rId3" Type="http://schemas.openxmlformats.org/officeDocument/2006/relationships/hyperlink" Target="https://www84.hattrick.org/World/Leagues/League.aspx?LeagueID=1" TargetMode="External"/><Relationship Id="rId12" Type="http://schemas.openxmlformats.org/officeDocument/2006/relationships/hyperlink" Target="https://www84.hattrick.org/World/Leagues/League.aspx?LeagueID=140" TargetMode="External"/><Relationship Id="rId17" Type="http://schemas.openxmlformats.org/officeDocument/2006/relationships/image" Target="../media/image4.gif"/><Relationship Id="rId25" Type="http://schemas.openxmlformats.org/officeDocument/2006/relationships/hyperlink" Target="https://www84.hattrick.org/Club/Players/PlayerStats.aspx?playerId=450187796&amp;BrowseIds=429002568,426930725,430783951,422175076,426558658,422896291,450187796,418974623,450047651,423964218,443306833,447702997,438702037,442529762,442359135,454559851,453238851,451186837,447478945,444969953,454181351,453118940,331601621,396000945,377724370&amp;ShowAll=true" TargetMode="External"/><Relationship Id="rId33" Type="http://schemas.openxmlformats.org/officeDocument/2006/relationships/hyperlink" Target="https://www84.hattrick.org/Club/Players/PlayerStats.aspx?playerId=442359135&amp;BrowseIds=429002568,426930725,430783951,422175076,426558658,422896291,450187796,418974623,450047651,423964218,443306833,447702997,438702037,442529762,442359135,454559851,453238851,451186837,447478945,444969953,454181351,453118940,331601621,396000945,377724370&amp;ShowAll=true" TargetMode="External"/><Relationship Id="rId38" Type="http://schemas.openxmlformats.org/officeDocument/2006/relationships/hyperlink" Target="https://www84.hattrick.org/Club/Players/PlayerStats.aspx?playerId=444969953&amp;BrowseIds=429002568,426930725,430783951,422175076,426558658,422896291,450187796,418974623,450047651,423964218,443306833,447702997,438702037,442529762,442359135,454559851,453238851,451186837,447478945,444969953,454181351,453118940,331601621,396000945,377724370&amp;ShowAll=true" TargetMode="Externa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169334</xdr:colOff>
      <xdr:row>15</xdr:row>
      <xdr:rowOff>99483</xdr:rowOff>
    </xdr:from>
    <xdr:to>
      <xdr:col>26</xdr:col>
      <xdr:colOff>232834</xdr:colOff>
      <xdr:row>36</xdr:row>
      <xdr:rowOff>74083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A5E40D-454C-4026-800B-206BB32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24130</xdr:colOff>
      <xdr:row>21</xdr:row>
      <xdr:rowOff>24130</xdr:rowOff>
    </xdr:from>
    <xdr:to>
      <xdr:col>31</xdr:col>
      <xdr:colOff>535940</xdr:colOff>
      <xdr:row>47</xdr:row>
      <xdr:rowOff>78105</xdr:rowOff>
    </xdr:to>
    <xdr:graphicFrame macro="">
      <xdr:nvGraphicFramePr>
        <xdr:cNvPr id="25" name="Graphique 1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163195</xdr:colOff>
      <xdr:row>34</xdr:row>
      <xdr:rowOff>177165</xdr:rowOff>
    </xdr:from>
    <xdr:to>
      <xdr:col>5</xdr:col>
      <xdr:colOff>299085</xdr:colOff>
      <xdr:row>43</xdr:row>
      <xdr:rowOff>13335</xdr:rowOff>
    </xdr:to>
    <xdr:graphicFrame macro="">
      <xdr:nvGraphicFramePr>
        <xdr:cNvPr id="24" name="Graphique 2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169334</xdr:colOff>
      <xdr:row>15</xdr:row>
      <xdr:rowOff>99483</xdr:rowOff>
    </xdr:from>
    <xdr:to>
      <xdr:col>26</xdr:col>
      <xdr:colOff>232834</xdr:colOff>
      <xdr:row>36</xdr:row>
      <xdr:rowOff>74083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B5AC63-BDFD-4BF0-9257-00829060E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" name="Imagen 1" descr="Ital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C9069E-BA1F-4FA8-81D8-CAE4C6A9D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81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3</xdr:row>
      <xdr:rowOff>114300</xdr:rowOff>
    </xdr:to>
    <xdr:sp macro="" textlink="">
      <xdr:nvSpPr>
        <xdr:cNvPr id="30722" name="AutoShape 2" descr="Tècnic&#10;Fes clic per veure més informació">
          <a:extLst>
            <a:ext uri="{FF2B5EF4-FFF2-40B4-BE49-F238E27FC236}">
              <a16:creationId xmlns:a16="http://schemas.microsoft.com/office/drawing/2014/main" id="{FC0A11A9-5B58-4325-A7FC-45BBF9383302}"/>
            </a:ext>
          </a:extLst>
        </xdr:cNvPr>
        <xdr:cNvSpPr>
          <a:spLocks noChangeAspect="1" noChangeArrowheads="1"/>
        </xdr:cNvSpPr>
      </xdr:nvSpPr>
      <xdr:spPr bwMode="auto">
        <a:xfrm>
          <a:off x="228600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4" name="Imagen 3" descr="Sverig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86AD403-E6B7-493C-954E-4445AFFFA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38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3</xdr:row>
      <xdr:rowOff>114300</xdr:rowOff>
    </xdr:to>
    <xdr:pic>
      <xdr:nvPicPr>
        <xdr:cNvPr id="6" name="Imagen 5" descr="G×1">
          <a:extLst>
            <a:ext uri="{FF2B5EF4-FFF2-40B4-BE49-F238E27FC236}">
              <a16:creationId xmlns:a16="http://schemas.microsoft.com/office/drawing/2014/main" id="{3C5E60C9-2CD7-44FA-BBC3-EB30C02EE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38200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7" name="Imagen 6" descr="Dawlat Qatar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11F54FD-26B5-478C-A72C-43155740C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76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76200</xdr:colOff>
      <xdr:row>4</xdr:row>
      <xdr:rowOff>114300</xdr:rowOff>
    </xdr:to>
    <xdr:pic>
      <xdr:nvPicPr>
        <xdr:cNvPr id="8" name="Imagen 7" descr="G×1">
          <a:extLst>
            <a:ext uri="{FF2B5EF4-FFF2-40B4-BE49-F238E27FC236}">
              <a16:creationId xmlns:a16="http://schemas.microsoft.com/office/drawing/2014/main" id="{24842799-E860-46D9-9C44-1F658C6A4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76300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9" name="Imagen 8" descr="Chil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4172A18-1A78-4017-AE01-7C7DB34DC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895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6</xdr:row>
      <xdr:rowOff>114300</xdr:rowOff>
    </xdr:to>
    <xdr:sp macro="" textlink="">
      <xdr:nvSpPr>
        <xdr:cNvPr id="30729" name="AutoShape 9" descr="Joc aeri&#10;Fes clic per veure més informació">
          <a:extLst>
            <a:ext uri="{FF2B5EF4-FFF2-40B4-BE49-F238E27FC236}">
              <a16:creationId xmlns:a16="http://schemas.microsoft.com/office/drawing/2014/main" id="{8FADFFA3-95DC-4C3E-8E76-80D929571291}"/>
            </a:ext>
          </a:extLst>
        </xdr:cNvPr>
        <xdr:cNvSpPr>
          <a:spLocks noChangeAspect="1" noChangeArrowheads="1"/>
        </xdr:cNvSpPr>
      </xdr:nvSpPr>
      <xdr:spPr bwMode="auto">
        <a:xfrm>
          <a:off x="2286000" y="895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76200</xdr:colOff>
      <xdr:row>5</xdr:row>
      <xdr:rowOff>114300</xdr:rowOff>
    </xdr:to>
    <xdr:pic>
      <xdr:nvPicPr>
        <xdr:cNvPr id="11" name="Imagen 10" descr="G×1">
          <a:extLst>
            <a:ext uri="{FF2B5EF4-FFF2-40B4-BE49-F238E27FC236}">
              <a16:creationId xmlns:a16="http://schemas.microsoft.com/office/drawing/2014/main" id="{C48C3393-66EF-4F27-A0B1-003083F055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95350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12" name="Imagen 11" descr="Neder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CD342FE-7776-4851-9B5E-E0E8DF474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914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76200</xdr:colOff>
      <xdr:row>6</xdr:row>
      <xdr:rowOff>114300</xdr:rowOff>
    </xdr:to>
    <xdr:pic>
      <xdr:nvPicPr>
        <xdr:cNvPr id="13" name="Imagen 12" descr="TV">
          <a:extLst>
            <a:ext uri="{FF2B5EF4-FFF2-40B4-BE49-F238E27FC236}">
              <a16:creationId xmlns:a16="http://schemas.microsoft.com/office/drawing/2014/main" id="{45025171-125E-4DE3-814B-FEE82FCA8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14400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4" name="Imagen 13" descr="France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9843FC5-351F-4E76-BD3C-CD32391DD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971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15" name="Imagen 14" descr="Eng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E3C8994-D401-44A1-859B-CF54CE44B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990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16" name="Imagen 15" descr="Españ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212FA5C-F93F-400D-A34D-17A974528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09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114300</xdr:rowOff>
    </xdr:to>
    <xdr:sp macro="" textlink="">
      <xdr:nvSpPr>
        <xdr:cNvPr id="30736" name="AutoShape 16" descr="Tècnic&#10;Fes clic per veure més informació">
          <a:extLst>
            <a:ext uri="{FF2B5EF4-FFF2-40B4-BE49-F238E27FC236}">
              <a16:creationId xmlns:a16="http://schemas.microsoft.com/office/drawing/2014/main" id="{9BE94B87-B24A-4DBF-A3F3-0FE349E2E299}"/>
            </a:ext>
          </a:extLst>
        </xdr:cNvPr>
        <xdr:cNvSpPr>
          <a:spLocks noChangeAspect="1" noChangeArrowheads="1"/>
        </xdr:cNvSpPr>
      </xdr:nvSpPr>
      <xdr:spPr bwMode="auto">
        <a:xfrm>
          <a:off x="2286000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18" name="Imagen 17" descr="Españ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6C1DE006-AD7B-41E6-9783-42ADBC8B2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28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9" name="Imagen 18" descr="Suriyah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F7D3956-8D43-4C26-A440-C170562BA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66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76200</xdr:colOff>
      <xdr:row>11</xdr:row>
      <xdr:rowOff>114300</xdr:rowOff>
    </xdr:to>
    <xdr:pic>
      <xdr:nvPicPr>
        <xdr:cNvPr id="20" name="Imagen 19" descr="G×1">
          <a:extLst>
            <a:ext uri="{FF2B5EF4-FFF2-40B4-BE49-F238E27FC236}">
              <a16:creationId xmlns:a16="http://schemas.microsoft.com/office/drawing/2014/main" id="{7072168B-A601-447D-A929-40BDECFC6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66800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1" name="Imagen 20" descr="Españ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23CA1C3B-1B20-43B5-91D2-61FD89BCD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85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76200</xdr:colOff>
      <xdr:row>12</xdr:row>
      <xdr:rowOff>114300</xdr:rowOff>
    </xdr:to>
    <xdr:pic>
      <xdr:nvPicPr>
        <xdr:cNvPr id="22" name="Imagen 21" descr="G×1">
          <a:extLst>
            <a:ext uri="{FF2B5EF4-FFF2-40B4-BE49-F238E27FC236}">
              <a16:creationId xmlns:a16="http://schemas.microsoft.com/office/drawing/2014/main" id="{4A0DF418-7631-46EC-9F6B-A5534BB9E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85850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3" name="Imagen 22" descr="Españ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9D66B8A-1DB7-4346-93EB-3301958CB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123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24" name="Imagen 23" descr="Españ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734C02E-DB35-4D2B-83A4-E66596A2B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162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25" name="Imagen 24" descr="Crna Gora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3048BA2A-FEC3-4871-86E7-390ED4B64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181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114300</xdr:rowOff>
    </xdr:to>
    <xdr:sp macro="" textlink="">
      <xdr:nvSpPr>
        <xdr:cNvPr id="30745" name="AutoShape 25" descr="Imprevisible&#10;Fes clic per veure més informació">
          <a:extLst>
            <a:ext uri="{FF2B5EF4-FFF2-40B4-BE49-F238E27FC236}">
              <a16:creationId xmlns:a16="http://schemas.microsoft.com/office/drawing/2014/main" id="{25EA6782-4D36-43F3-B5D9-589CB882B8E3}"/>
            </a:ext>
          </a:extLst>
        </xdr:cNvPr>
        <xdr:cNvSpPr>
          <a:spLocks noChangeAspect="1" noChangeArrowheads="1"/>
        </xdr:cNvSpPr>
      </xdr:nvSpPr>
      <xdr:spPr bwMode="auto">
        <a:xfrm>
          <a:off x="2286000" y="1181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27" name="Imagen 26" descr="Česká republika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57341CFD-1B8D-4D70-8E95-6F7B4E88F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200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114300</xdr:rowOff>
    </xdr:to>
    <xdr:sp macro="" textlink="">
      <xdr:nvSpPr>
        <xdr:cNvPr id="30747" name="AutoShape 27" descr="Potent&#10;Fes clic per veure més informació">
          <a:extLst>
            <a:ext uri="{FF2B5EF4-FFF2-40B4-BE49-F238E27FC236}">
              <a16:creationId xmlns:a16="http://schemas.microsoft.com/office/drawing/2014/main" id="{2DE83E70-832D-46A3-A4AF-23793A46EBEB}"/>
            </a:ext>
          </a:extLst>
        </xdr:cNvPr>
        <xdr:cNvSpPr>
          <a:spLocks noChangeAspect="1" noChangeArrowheads="1"/>
        </xdr:cNvSpPr>
      </xdr:nvSpPr>
      <xdr:spPr bwMode="auto">
        <a:xfrm>
          <a:off x="2286000" y="1200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29" name="Imagen 28" descr="Españ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DFF2797-734D-430B-B65D-81547D492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219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30" name="Imagen 29" descr="Españ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2AC7877B-4DB4-41F6-A43A-36616B04B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238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31" name="Imagen 30" descr="Españ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61ECE9D-03E7-42E0-BEAB-DEA9B09E5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295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32" name="Imagen 31" descr="Españ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B29770A-76A0-42F7-894F-FBC48F43D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333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76200</xdr:colOff>
      <xdr:row>20</xdr:row>
      <xdr:rowOff>114300</xdr:rowOff>
    </xdr:to>
    <xdr:pic>
      <xdr:nvPicPr>
        <xdr:cNvPr id="33" name="Imagen 32" descr="G×1">
          <a:extLst>
            <a:ext uri="{FF2B5EF4-FFF2-40B4-BE49-F238E27FC236}">
              <a16:creationId xmlns:a16="http://schemas.microsoft.com/office/drawing/2014/main" id="{C242B2F4-D042-4342-BD24-B9F7DBC02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335000"/>
          <a:ext cx="762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4" name="Imagen 33" descr="Españ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E9FB387-B6D5-49FC-A3FD-E46104CC1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352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9525</xdr:rowOff>
    </xdr:to>
    <xdr:pic>
      <xdr:nvPicPr>
        <xdr:cNvPr id="35" name="Imagen 34" descr="Españ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BF1202D-FCF4-4F0F-9C1B-41960049F5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371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23</xdr:row>
      <xdr:rowOff>114300</xdr:rowOff>
    </xdr:to>
    <xdr:sp macro="" textlink="">
      <xdr:nvSpPr>
        <xdr:cNvPr id="30755" name="AutoShape 35" descr="Ràpid&#10;Fes clic per veure més informació">
          <a:extLst>
            <a:ext uri="{FF2B5EF4-FFF2-40B4-BE49-F238E27FC236}">
              <a16:creationId xmlns:a16="http://schemas.microsoft.com/office/drawing/2014/main" id="{1F0428FC-7B19-4CA2-A752-EB3A16909C09}"/>
            </a:ext>
          </a:extLst>
        </xdr:cNvPr>
        <xdr:cNvSpPr>
          <a:spLocks noChangeAspect="1" noChangeArrowheads="1"/>
        </xdr:cNvSpPr>
      </xdr:nvSpPr>
      <xdr:spPr bwMode="auto">
        <a:xfrm>
          <a:off x="2286000" y="137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9525</xdr:colOff>
      <xdr:row>23</xdr:row>
      <xdr:rowOff>9525</xdr:rowOff>
    </xdr:to>
    <xdr:pic>
      <xdr:nvPicPr>
        <xdr:cNvPr id="37" name="Imagen 36" descr="Españ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FE3C614-6713-461A-BB69-8C142237D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409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9525</xdr:colOff>
      <xdr:row>24</xdr:row>
      <xdr:rowOff>9525</xdr:rowOff>
    </xdr:to>
    <xdr:pic>
      <xdr:nvPicPr>
        <xdr:cNvPr id="38" name="Imagen 37" descr="Norge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193008FE-5F85-4CF5-A79C-2230B652D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447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114300</xdr:rowOff>
    </xdr:to>
    <xdr:sp macro="" textlink="">
      <xdr:nvSpPr>
        <xdr:cNvPr id="30758" name="AutoShape 38" descr="Entrenador">
          <a:extLst>
            <a:ext uri="{FF2B5EF4-FFF2-40B4-BE49-F238E27FC236}">
              <a16:creationId xmlns:a16="http://schemas.microsoft.com/office/drawing/2014/main" id="{ADD3062E-768D-40BD-AF1C-CF286E7F1460}"/>
            </a:ext>
          </a:extLst>
        </xdr:cNvPr>
        <xdr:cNvSpPr>
          <a:spLocks noChangeAspect="1" noChangeArrowheads="1"/>
        </xdr:cNvSpPr>
      </xdr:nvSpPr>
      <xdr:spPr bwMode="auto">
        <a:xfrm>
          <a:off x="1524000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40" name="Imagen 39" descr="Polska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324F1AC-CC74-4912-8BC4-9C671BA98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466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104775</xdr:colOff>
      <xdr:row>25</xdr:row>
      <xdr:rowOff>104775</xdr:rowOff>
    </xdr:to>
    <xdr:pic>
      <xdr:nvPicPr>
        <xdr:cNvPr id="41" name="Imagen 40" descr="Les">
          <a:extLst>
            <a:ext uri="{FF2B5EF4-FFF2-40B4-BE49-F238E27FC236}">
              <a16:creationId xmlns:a16="http://schemas.microsoft.com/office/drawing/2014/main" id="{FDB48FC9-4E5A-49F6-95A8-389B3E74F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668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42" name="Imagen 41" descr="Hella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D479FEBE-9C91-405D-B0E8-384DE224D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485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304800</xdr:colOff>
      <xdr:row>27</xdr:row>
      <xdr:rowOff>114300</xdr:rowOff>
    </xdr:to>
    <xdr:sp macro="" textlink="">
      <xdr:nvSpPr>
        <xdr:cNvPr id="30762" name="AutoShape 42" descr="Imprevisible&#10;Fes clic per veure més informació">
          <a:extLst>
            <a:ext uri="{FF2B5EF4-FFF2-40B4-BE49-F238E27FC236}">
              <a16:creationId xmlns:a16="http://schemas.microsoft.com/office/drawing/2014/main" id="{AAE5558D-2E6C-411C-B2EA-CCEB29E92DE2}"/>
            </a:ext>
          </a:extLst>
        </xdr:cNvPr>
        <xdr:cNvSpPr>
          <a:spLocks noChangeAspect="1" noChangeArrowheads="1"/>
        </xdr:cNvSpPr>
      </xdr:nvSpPr>
      <xdr:spPr bwMode="auto">
        <a:xfrm>
          <a:off x="2286000" y="1485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26</xdr:row>
      <xdr:rowOff>0</xdr:rowOff>
    </xdr:from>
    <xdr:to>
      <xdr:col>18</xdr:col>
      <xdr:colOff>152400</xdr:colOff>
      <xdr:row>26</xdr:row>
      <xdr:rowOff>152400</xdr:rowOff>
    </xdr:to>
    <xdr:sp macro="" textlink="">
      <xdr:nvSpPr>
        <xdr:cNvPr id="30764" name="AutoShape 44" descr="HR">
          <a:hlinkClick xmlns:r="http://schemas.openxmlformats.org/officeDocument/2006/relationships" r:id="rId19" tgtFrame="_blank" tooltip="Historial de rendiment"/>
          <a:extLst>
            <a:ext uri="{FF2B5EF4-FFF2-40B4-BE49-F238E27FC236}">
              <a16:creationId xmlns:a16="http://schemas.microsoft.com/office/drawing/2014/main" id="{F3BA2709-ADD0-4317-B10A-F7C0ABBEB4DF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1524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26</xdr:row>
      <xdr:rowOff>0</xdr:rowOff>
    </xdr:from>
    <xdr:to>
      <xdr:col>18</xdr:col>
      <xdr:colOff>152400</xdr:colOff>
      <xdr:row>26</xdr:row>
      <xdr:rowOff>152400</xdr:rowOff>
    </xdr:to>
    <xdr:sp macro="" textlink="">
      <xdr:nvSpPr>
        <xdr:cNvPr id="30765" name="AutoShape 45" descr="HR">
          <a:hlinkClick xmlns:r="http://schemas.openxmlformats.org/officeDocument/2006/relationships" r:id="rId20" tgtFrame="_blank" tooltip="Historial de rendiment"/>
          <a:extLst>
            <a:ext uri="{FF2B5EF4-FFF2-40B4-BE49-F238E27FC236}">
              <a16:creationId xmlns:a16="http://schemas.microsoft.com/office/drawing/2014/main" id="{C1864FD3-021E-4F45-BF35-ECAAA09693FA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1543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26</xdr:row>
      <xdr:rowOff>0</xdr:rowOff>
    </xdr:from>
    <xdr:to>
      <xdr:col>18</xdr:col>
      <xdr:colOff>152400</xdr:colOff>
      <xdr:row>26</xdr:row>
      <xdr:rowOff>152400</xdr:rowOff>
    </xdr:to>
    <xdr:sp macro="" textlink="">
      <xdr:nvSpPr>
        <xdr:cNvPr id="30766" name="AutoShape 46" descr="HR">
          <a:hlinkClick xmlns:r="http://schemas.openxmlformats.org/officeDocument/2006/relationships" r:id="rId21" tgtFrame="_blank" tooltip="Historial de rendiment"/>
          <a:extLst>
            <a:ext uri="{FF2B5EF4-FFF2-40B4-BE49-F238E27FC236}">
              <a16:creationId xmlns:a16="http://schemas.microsoft.com/office/drawing/2014/main" id="{FD8FFA6D-AF1C-480A-9F2C-CA1B37B20240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1562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26</xdr:row>
      <xdr:rowOff>0</xdr:rowOff>
    </xdr:from>
    <xdr:to>
      <xdr:col>18</xdr:col>
      <xdr:colOff>152400</xdr:colOff>
      <xdr:row>26</xdr:row>
      <xdr:rowOff>152400</xdr:rowOff>
    </xdr:to>
    <xdr:sp macro="" textlink="">
      <xdr:nvSpPr>
        <xdr:cNvPr id="30767" name="AutoShape 47" descr="HR">
          <a:hlinkClick xmlns:r="http://schemas.openxmlformats.org/officeDocument/2006/relationships" r:id="rId22" tgtFrame="_blank" tooltip="Historial de rendiment"/>
          <a:extLst>
            <a:ext uri="{FF2B5EF4-FFF2-40B4-BE49-F238E27FC236}">
              <a16:creationId xmlns:a16="http://schemas.microsoft.com/office/drawing/2014/main" id="{AFDED40B-71F6-4CD1-9AAE-C5540FDF4591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1581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26</xdr:row>
      <xdr:rowOff>0</xdr:rowOff>
    </xdr:from>
    <xdr:to>
      <xdr:col>18</xdr:col>
      <xdr:colOff>152400</xdr:colOff>
      <xdr:row>26</xdr:row>
      <xdr:rowOff>152400</xdr:rowOff>
    </xdr:to>
    <xdr:sp macro="" textlink="">
      <xdr:nvSpPr>
        <xdr:cNvPr id="30768" name="AutoShape 48" descr="HR">
          <a:hlinkClick xmlns:r="http://schemas.openxmlformats.org/officeDocument/2006/relationships" r:id="rId23" tgtFrame="_blank" tooltip="Historial de rendiment"/>
          <a:extLst>
            <a:ext uri="{FF2B5EF4-FFF2-40B4-BE49-F238E27FC236}">
              <a16:creationId xmlns:a16="http://schemas.microsoft.com/office/drawing/2014/main" id="{EE877374-8B8F-4AE0-BCB7-B607F4716529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1600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26</xdr:row>
      <xdr:rowOff>0</xdr:rowOff>
    </xdr:from>
    <xdr:to>
      <xdr:col>18</xdr:col>
      <xdr:colOff>152400</xdr:colOff>
      <xdr:row>26</xdr:row>
      <xdr:rowOff>152400</xdr:rowOff>
    </xdr:to>
    <xdr:sp macro="" textlink="">
      <xdr:nvSpPr>
        <xdr:cNvPr id="30769" name="AutoShape 49" descr="HR">
          <a:hlinkClick xmlns:r="http://schemas.openxmlformats.org/officeDocument/2006/relationships" r:id="rId24" tgtFrame="_blank" tooltip="Historial de rendiment"/>
          <a:extLst>
            <a:ext uri="{FF2B5EF4-FFF2-40B4-BE49-F238E27FC236}">
              <a16:creationId xmlns:a16="http://schemas.microsoft.com/office/drawing/2014/main" id="{1AC1EA01-25BA-4B62-BE12-0BDDE9175F92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1619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26</xdr:row>
      <xdr:rowOff>0</xdr:rowOff>
    </xdr:from>
    <xdr:to>
      <xdr:col>18</xdr:col>
      <xdr:colOff>152400</xdr:colOff>
      <xdr:row>26</xdr:row>
      <xdr:rowOff>152400</xdr:rowOff>
    </xdr:to>
    <xdr:sp macro="" textlink="">
      <xdr:nvSpPr>
        <xdr:cNvPr id="30770" name="AutoShape 50" descr="HR">
          <a:hlinkClick xmlns:r="http://schemas.openxmlformats.org/officeDocument/2006/relationships" r:id="rId25" tgtFrame="_blank" tooltip="Historial de rendiment"/>
          <a:extLst>
            <a:ext uri="{FF2B5EF4-FFF2-40B4-BE49-F238E27FC236}">
              <a16:creationId xmlns:a16="http://schemas.microsoft.com/office/drawing/2014/main" id="{4AF97848-A10D-4535-A556-BFE42974840D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1638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26</xdr:row>
      <xdr:rowOff>0</xdr:rowOff>
    </xdr:from>
    <xdr:to>
      <xdr:col>18</xdr:col>
      <xdr:colOff>152400</xdr:colOff>
      <xdr:row>26</xdr:row>
      <xdr:rowOff>152400</xdr:rowOff>
    </xdr:to>
    <xdr:sp macro="" textlink="">
      <xdr:nvSpPr>
        <xdr:cNvPr id="30771" name="AutoShape 51" descr="HR">
          <a:hlinkClick xmlns:r="http://schemas.openxmlformats.org/officeDocument/2006/relationships" r:id="rId26" tgtFrame="_blank" tooltip="Historial de rendiment"/>
          <a:extLst>
            <a:ext uri="{FF2B5EF4-FFF2-40B4-BE49-F238E27FC236}">
              <a16:creationId xmlns:a16="http://schemas.microsoft.com/office/drawing/2014/main" id="{0F521201-8019-44F3-9E1B-8901AC1AA10A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1657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26</xdr:row>
      <xdr:rowOff>0</xdr:rowOff>
    </xdr:from>
    <xdr:to>
      <xdr:col>18</xdr:col>
      <xdr:colOff>152400</xdr:colOff>
      <xdr:row>26</xdr:row>
      <xdr:rowOff>152400</xdr:rowOff>
    </xdr:to>
    <xdr:sp macro="" textlink="">
      <xdr:nvSpPr>
        <xdr:cNvPr id="30772" name="AutoShape 52" descr="HR">
          <a:hlinkClick xmlns:r="http://schemas.openxmlformats.org/officeDocument/2006/relationships" r:id="rId27" tgtFrame="_blank" tooltip="Historial de rendiment"/>
          <a:extLst>
            <a:ext uri="{FF2B5EF4-FFF2-40B4-BE49-F238E27FC236}">
              <a16:creationId xmlns:a16="http://schemas.microsoft.com/office/drawing/2014/main" id="{98392E6E-59C5-4CBA-BCBE-27DAF43D8460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1676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26</xdr:row>
      <xdr:rowOff>0</xdr:rowOff>
    </xdr:from>
    <xdr:to>
      <xdr:col>18</xdr:col>
      <xdr:colOff>152400</xdr:colOff>
      <xdr:row>26</xdr:row>
      <xdr:rowOff>152400</xdr:rowOff>
    </xdr:to>
    <xdr:sp macro="" textlink="">
      <xdr:nvSpPr>
        <xdr:cNvPr id="30773" name="AutoShape 53" descr="HR">
          <a:hlinkClick xmlns:r="http://schemas.openxmlformats.org/officeDocument/2006/relationships" r:id="rId28" tgtFrame="_blank" tooltip="Historial de rendiment"/>
          <a:extLst>
            <a:ext uri="{FF2B5EF4-FFF2-40B4-BE49-F238E27FC236}">
              <a16:creationId xmlns:a16="http://schemas.microsoft.com/office/drawing/2014/main" id="{5C8C5FBE-8CB3-4972-8DCE-E836EB57D376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1695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26</xdr:row>
      <xdr:rowOff>0</xdr:rowOff>
    </xdr:from>
    <xdr:to>
      <xdr:col>18</xdr:col>
      <xdr:colOff>152400</xdr:colOff>
      <xdr:row>26</xdr:row>
      <xdr:rowOff>152400</xdr:rowOff>
    </xdr:to>
    <xdr:sp macro="" textlink="">
      <xdr:nvSpPr>
        <xdr:cNvPr id="30774" name="AutoShape 54" descr="HR">
          <a:hlinkClick xmlns:r="http://schemas.openxmlformats.org/officeDocument/2006/relationships" r:id="rId29" tgtFrame="_blank" tooltip="Historial de rendiment"/>
          <a:extLst>
            <a:ext uri="{FF2B5EF4-FFF2-40B4-BE49-F238E27FC236}">
              <a16:creationId xmlns:a16="http://schemas.microsoft.com/office/drawing/2014/main" id="{672AE181-3029-4F42-B25C-CBA34CB2BC83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1714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26</xdr:row>
      <xdr:rowOff>0</xdr:rowOff>
    </xdr:from>
    <xdr:to>
      <xdr:col>18</xdr:col>
      <xdr:colOff>152400</xdr:colOff>
      <xdr:row>26</xdr:row>
      <xdr:rowOff>152400</xdr:rowOff>
    </xdr:to>
    <xdr:sp macro="" textlink="">
      <xdr:nvSpPr>
        <xdr:cNvPr id="30775" name="AutoShape 55" descr="HR">
          <a:hlinkClick xmlns:r="http://schemas.openxmlformats.org/officeDocument/2006/relationships" r:id="rId30" tgtFrame="_blank" tooltip="Historial de rendiment"/>
          <a:extLst>
            <a:ext uri="{FF2B5EF4-FFF2-40B4-BE49-F238E27FC236}">
              <a16:creationId xmlns:a16="http://schemas.microsoft.com/office/drawing/2014/main" id="{9940D0E5-E0B7-41C5-BF64-3FB9E3810B6B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1733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26</xdr:row>
      <xdr:rowOff>0</xdr:rowOff>
    </xdr:from>
    <xdr:to>
      <xdr:col>18</xdr:col>
      <xdr:colOff>152400</xdr:colOff>
      <xdr:row>26</xdr:row>
      <xdr:rowOff>152400</xdr:rowOff>
    </xdr:to>
    <xdr:sp macro="" textlink="">
      <xdr:nvSpPr>
        <xdr:cNvPr id="30776" name="AutoShape 56" descr="HR">
          <a:hlinkClick xmlns:r="http://schemas.openxmlformats.org/officeDocument/2006/relationships" r:id="rId31" tgtFrame="_blank" tooltip="Historial de rendiment"/>
          <a:extLst>
            <a:ext uri="{FF2B5EF4-FFF2-40B4-BE49-F238E27FC236}">
              <a16:creationId xmlns:a16="http://schemas.microsoft.com/office/drawing/2014/main" id="{79A09591-0EC4-4107-8A0F-B6B0003138AA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1752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26</xdr:row>
      <xdr:rowOff>0</xdr:rowOff>
    </xdr:from>
    <xdr:to>
      <xdr:col>18</xdr:col>
      <xdr:colOff>152400</xdr:colOff>
      <xdr:row>26</xdr:row>
      <xdr:rowOff>152400</xdr:rowOff>
    </xdr:to>
    <xdr:sp macro="" textlink="">
      <xdr:nvSpPr>
        <xdr:cNvPr id="30777" name="AutoShape 57" descr="HR">
          <a:hlinkClick xmlns:r="http://schemas.openxmlformats.org/officeDocument/2006/relationships" r:id="rId32" tgtFrame="_blank" tooltip="Historial de rendiment"/>
          <a:extLst>
            <a:ext uri="{FF2B5EF4-FFF2-40B4-BE49-F238E27FC236}">
              <a16:creationId xmlns:a16="http://schemas.microsoft.com/office/drawing/2014/main" id="{2CF0A036-E6C2-4E3A-893A-246151D03700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1771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26</xdr:row>
      <xdr:rowOff>0</xdr:rowOff>
    </xdr:from>
    <xdr:to>
      <xdr:col>18</xdr:col>
      <xdr:colOff>152400</xdr:colOff>
      <xdr:row>26</xdr:row>
      <xdr:rowOff>152400</xdr:rowOff>
    </xdr:to>
    <xdr:sp macro="" textlink="">
      <xdr:nvSpPr>
        <xdr:cNvPr id="30778" name="AutoShape 58" descr="HR">
          <a:hlinkClick xmlns:r="http://schemas.openxmlformats.org/officeDocument/2006/relationships" r:id="rId33" tgtFrame="_blank" tooltip="Historial de rendiment"/>
          <a:extLst>
            <a:ext uri="{FF2B5EF4-FFF2-40B4-BE49-F238E27FC236}">
              <a16:creationId xmlns:a16="http://schemas.microsoft.com/office/drawing/2014/main" id="{1A04D7AB-9302-4CA9-B4C4-5B91F5053FBF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1790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26</xdr:row>
      <xdr:rowOff>0</xdr:rowOff>
    </xdr:from>
    <xdr:to>
      <xdr:col>18</xdr:col>
      <xdr:colOff>152400</xdr:colOff>
      <xdr:row>26</xdr:row>
      <xdr:rowOff>152400</xdr:rowOff>
    </xdr:to>
    <xdr:sp macro="" textlink="">
      <xdr:nvSpPr>
        <xdr:cNvPr id="30779" name="AutoShape 59" descr="HR">
          <a:hlinkClick xmlns:r="http://schemas.openxmlformats.org/officeDocument/2006/relationships" r:id="rId34" tgtFrame="_blank" tooltip="Historial de rendiment"/>
          <a:extLst>
            <a:ext uri="{FF2B5EF4-FFF2-40B4-BE49-F238E27FC236}">
              <a16:creationId xmlns:a16="http://schemas.microsoft.com/office/drawing/2014/main" id="{2FBCF891-FB93-47E4-9C84-9514D961F8BB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1809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26</xdr:row>
      <xdr:rowOff>0</xdr:rowOff>
    </xdr:from>
    <xdr:to>
      <xdr:col>18</xdr:col>
      <xdr:colOff>152400</xdr:colOff>
      <xdr:row>26</xdr:row>
      <xdr:rowOff>152400</xdr:rowOff>
    </xdr:to>
    <xdr:sp macro="" textlink="">
      <xdr:nvSpPr>
        <xdr:cNvPr id="30780" name="AutoShape 60" descr="HR">
          <a:hlinkClick xmlns:r="http://schemas.openxmlformats.org/officeDocument/2006/relationships" r:id="rId35" tgtFrame="_blank" tooltip="Historial de rendiment"/>
          <a:extLst>
            <a:ext uri="{FF2B5EF4-FFF2-40B4-BE49-F238E27FC236}">
              <a16:creationId xmlns:a16="http://schemas.microsoft.com/office/drawing/2014/main" id="{7B9CCDB4-3AE3-4158-B5FD-F729A49F7F45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1828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26</xdr:row>
      <xdr:rowOff>0</xdr:rowOff>
    </xdr:from>
    <xdr:to>
      <xdr:col>18</xdr:col>
      <xdr:colOff>152400</xdr:colOff>
      <xdr:row>26</xdr:row>
      <xdr:rowOff>152400</xdr:rowOff>
    </xdr:to>
    <xdr:sp macro="" textlink="">
      <xdr:nvSpPr>
        <xdr:cNvPr id="30781" name="AutoShape 61" descr="HR">
          <a:hlinkClick xmlns:r="http://schemas.openxmlformats.org/officeDocument/2006/relationships" r:id="rId36" tgtFrame="_blank" tooltip="Historial de rendiment"/>
          <a:extLst>
            <a:ext uri="{FF2B5EF4-FFF2-40B4-BE49-F238E27FC236}">
              <a16:creationId xmlns:a16="http://schemas.microsoft.com/office/drawing/2014/main" id="{31C9F520-D719-491C-8FC5-476EA6ADCF06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1847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26</xdr:row>
      <xdr:rowOff>0</xdr:rowOff>
    </xdr:from>
    <xdr:to>
      <xdr:col>18</xdr:col>
      <xdr:colOff>152400</xdr:colOff>
      <xdr:row>26</xdr:row>
      <xdr:rowOff>152400</xdr:rowOff>
    </xdr:to>
    <xdr:sp macro="" textlink="">
      <xdr:nvSpPr>
        <xdr:cNvPr id="30782" name="AutoShape 62" descr="HR">
          <a:hlinkClick xmlns:r="http://schemas.openxmlformats.org/officeDocument/2006/relationships" r:id="rId37" tgtFrame="_blank" tooltip="Historial de rendiment"/>
          <a:extLst>
            <a:ext uri="{FF2B5EF4-FFF2-40B4-BE49-F238E27FC236}">
              <a16:creationId xmlns:a16="http://schemas.microsoft.com/office/drawing/2014/main" id="{3087248F-4CBE-423D-AA31-6EE2403B1861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1866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26</xdr:row>
      <xdr:rowOff>0</xdr:rowOff>
    </xdr:from>
    <xdr:to>
      <xdr:col>18</xdr:col>
      <xdr:colOff>152400</xdr:colOff>
      <xdr:row>26</xdr:row>
      <xdr:rowOff>152400</xdr:rowOff>
    </xdr:to>
    <xdr:sp macro="" textlink="">
      <xdr:nvSpPr>
        <xdr:cNvPr id="30783" name="AutoShape 63" descr="HR">
          <a:hlinkClick xmlns:r="http://schemas.openxmlformats.org/officeDocument/2006/relationships" r:id="rId38" tgtFrame="_blank" tooltip="Historial de rendiment"/>
          <a:extLst>
            <a:ext uri="{FF2B5EF4-FFF2-40B4-BE49-F238E27FC236}">
              <a16:creationId xmlns:a16="http://schemas.microsoft.com/office/drawing/2014/main" id="{E196D749-B60E-4E73-8A2A-AF9F46B4194B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1885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26</xdr:row>
      <xdr:rowOff>0</xdr:rowOff>
    </xdr:from>
    <xdr:to>
      <xdr:col>18</xdr:col>
      <xdr:colOff>152400</xdr:colOff>
      <xdr:row>26</xdr:row>
      <xdr:rowOff>152400</xdr:rowOff>
    </xdr:to>
    <xdr:sp macro="" textlink="">
      <xdr:nvSpPr>
        <xdr:cNvPr id="30784" name="AutoShape 64" descr="HR">
          <a:hlinkClick xmlns:r="http://schemas.openxmlformats.org/officeDocument/2006/relationships" r:id="rId39" tgtFrame="_blank" tooltip="Historial de rendiment"/>
          <a:extLst>
            <a:ext uri="{FF2B5EF4-FFF2-40B4-BE49-F238E27FC236}">
              <a16:creationId xmlns:a16="http://schemas.microsoft.com/office/drawing/2014/main" id="{9D44EA4D-C1EC-42F2-9D29-A786A77470B9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1905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26</xdr:row>
      <xdr:rowOff>0</xdr:rowOff>
    </xdr:from>
    <xdr:to>
      <xdr:col>18</xdr:col>
      <xdr:colOff>152400</xdr:colOff>
      <xdr:row>26</xdr:row>
      <xdr:rowOff>152400</xdr:rowOff>
    </xdr:to>
    <xdr:sp macro="" textlink="">
      <xdr:nvSpPr>
        <xdr:cNvPr id="30785" name="AutoShape 65" descr="HR">
          <a:hlinkClick xmlns:r="http://schemas.openxmlformats.org/officeDocument/2006/relationships" r:id="rId40" tgtFrame="_blank" tooltip="Historial de rendiment"/>
          <a:extLst>
            <a:ext uri="{FF2B5EF4-FFF2-40B4-BE49-F238E27FC236}">
              <a16:creationId xmlns:a16="http://schemas.microsoft.com/office/drawing/2014/main" id="{5360A76C-38AD-472A-B21F-FAC8372AA7C8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1924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26</xdr:row>
      <xdr:rowOff>0</xdr:rowOff>
    </xdr:from>
    <xdr:to>
      <xdr:col>18</xdr:col>
      <xdr:colOff>152400</xdr:colOff>
      <xdr:row>26</xdr:row>
      <xdr:rowOff>152400</xdr:rowOff>
    </xdr:to>
    <xdr:sp macro="" textlink="">
      <xdr:nvSpPr>
        <xdr:cNvPr id="30786" name="AutoShape 66" descr="HR">
          <a:hlinkClick xmlns:r="http://schemas.openxmlformats.org/officeDocument/2006/relationships" r:id="rId41" tgtFrame="_blank" tooltip="Historial de rendiment"/>
          <a:extLst>
            <a:ext uri="{FF2B5EF4-FFF2-40B4-BE49-F238E27FC236}">
              <a16:creationId xmlns:a16="http://schemas.microsoft.com/office/drawing/2014/main" id="{92EA6992-4F88-4A0E-B41A-65F88F582880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1943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26</xdr:row>
      <xdr:rowOff>0</xdr:rowOff>
    </xdr:from>
    <xdr:to>
      <xdr:col>18</xdr:col>
      <xdr:colOff>152400</xdr:colOff>
      <xdr:row>26</xdr:row>
      <xdr:rowOff>152400</xdr:rowOff>
    </xdr:to>
    <xdr:sp macro="" textlink="">
      <xdr:nvSpPr>
        <xdr:cNvPr id="30787" name="AutoShape 67" descr="HR">
          <a:hlinkClick xmlns:r="http://schemas.openxmlformats.org/officeDocument/2006/relationships" r:id="rId42" tgtFrame="_blank" tooltip="Historial de rendiment"/>
          <a:extLst>
            <a:ext uri="{FF2B5EF4-FFF2-40B4-BE49-F238E27FC236}">
              <a16:creationId xmlns:a16="http://schemas.microsoft.com/office/drawing/2014/main" id="{82B0C4CC-993E-46B8-90A0-D70507629E32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1962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</xdr:row>
      <xdr:rowOff>0</xdr:rowOff>
    </xdr:from>
    <xdr:ext cx="304800" cy="304800"/>
    <xdr:sp macro="" textlink="">
      <xdr:nvSpPr>
        <xdr:cNvPr id="69" name="AutoShape 42" descr="Imprevisible&#10;Fes clic per veure més informació">
          <a:extLst>
            <a:ext uri="{FF2B5EF4-FFF2-40B4-BE49-F238E27FC236}">
              <a16:creationId xmlns:a16="http://schemas.microsoft.com/office/drawing/2014/main" id="{7E5D4574-4772-4E31-8F5F-33F708FEA9F3}"/>
            </a:ext>
          </a:extLst>
        </xdr:cNvPr>
        <xdr:cNvSpPr>
          <a:spLocks noChangeAspect="1" noChangeArrowheads="1"/>
        </xdr:cNvSpPr>
      </xdr:nvSpPr>
      <xdr:spPr bwMode="auto">
        <a:xfrm>
          <a:off x="2286000" y="1485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</xdr:row>
      <xdr:rowOff>0</xdr:rowOff>
    </xdr:from>
    <xdr:ext cx="123825" cy="209550"/>
    <xdr:pic>
      <xdr:nvPicPr>
        <xdr:cNvPr id="70" name="Imagen 69" descr="RT">
          <a:extLst>
            <a:ext uri="{FF2B5EF4-FFF2-40B4-BE49-F238E27FC236}">
              <a16:creationId xmlns:a16="http://schemas.microsoft.com/office/drawing/2014/main" id="{56771C7E-5A27-4618-BDC4-D5B16490B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15049500"/>
          <a:ext cx="1238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24</xdr:col>
      <xdr:colOff>0</xdr:colOff>
      <xdr:row>2</xdr:row>
      <xdr:rowOff>0</xdr:rowOff>
    </xdr:from>
    <xdr:ext cx="152400" cy="152400"/>
    <xdr:sp macro="" textlink="">
      <xdr:nvSpPr>
        <xdr:cNvPr id="71" name="AutoShape 44" descr="HR">
          <a:hlinkClick xmlns:r="http://schemas.openxmlformats.org/officeDocument/2006/relationships" r:id="rId19" tgtFrame="_blank" tooltip="Historial de rendiment"/>
          <a:extLst>
            <a:ext uri="{FF2B5EF4-FFF2-40B4-BE49-F238E27FC236}">
              <a16:creationId xmlns:a16="http://schemas.microsoft.com/office/drawing/2014/main" id="{81D795C5-7AB6-4327-B725-1C4BB518331E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1524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152400" cy="152400"/>
    <xdr:sp macro="" textlink="">
      <xdr:nvSpPr>
        <xdr:cNvPr id="72" name="AutoShape 45" descr="HR">
          <a:hlinkClick xmlns:r="http://schemas.openxmlformats.org/officeDocument/2006/relationships" r:id="rId20" tgtFrame="_blank" tooltip="Historial de rendiment"/>
          <a:extLst>
            <a:ext uri="{FF2B5EF4-FFF2-40B4-BE49-F238E27FC236}">
              <a16:creationId xmlns:a16="http://schemas.microsoft.com/office/drawing/2014/main" id="{DAEF522F-FA7A-46EF-8D48-28CE3A0AECE3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1543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4</xdr:row>
      <xdr:rowOff>0</xdr:rowOff>
    </xdr:from>
    <xdr:ext cx="152400" cy="152400"/>
    <xdr:sp macro="" textlink="">
      <xdr:nvSpPr>
        <xdr:cNvPr id="73" name="AutoShape 46" descr="HR">
          <a:hlinkClick xmlns:r="http://schemas.openxmlformats.org/officeDocument/2006/relationships" r:id="rId21" tgtFrame="_blank" tooltip="Historial de rendiment"/>
          <a:extLst>
            <a:ext uri="{FF2B5EF4-FFF2-40B4-BE49-F238E27FC236}">
              <a16:creationId xmlns:a16="http://schemas.microsoft.com/office/drawing/2014/main" id="{06812EE2-4660-4E25-819E-6D52C67E4A1A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1562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5</xdr:row>
      <xdr:rowOff>0</xdr:rowOff>
    </xdr:from>
    <xdr:ext cx="152400" cy="152400"/>
    <xdr:sp macro="" textlink="">
      <xdr:nvSpPr>
        <xdr:cNvPr id="74" name="AutoShape 47" descr="HR">
          <a:hlinkClick xmlns:r="http://schemas.openxmlformats.org/officeDocument/2006/relationships" r:id="rId22" tgtFrame="_blank" tooltip="Historial de rendiment"/>
          <a:extLst>
            <a:ext uri="{FF2B5EF4-FFF2-40B4-BE49-F238E27FC236}">
              <a16:creationId xmlns:a16="http://schemas.microsoft.com/office/drawing/2014/main" id="{B8549BF0-DDBD-4039-9932-868D92CD3C3F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1581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6</xdr:row>
      <xdr:rowOff>0</xdr:rowOff>
    </xdr:from>
    <xdr:ext cx="152400" cy="152400"/>
    <xdr:sp macro="" textlink="">
      <xdr:nvSpPr>
        <xdr:cNvPr id="75" name="AutoShape 48" descr="HR">
          <a:hlinkClick xmlns:r="http://schemas.openxmlformats.org/officeDocument/2006/relationships" r:id="rId23" tgtFrame="_blank" tooltip="Historial de rendiment"/>
          <a:extLst>
            <a:ext uri="{FF2B5EF4-FFF2-40B4-BE49-F238E27FC236}">
              <a16:creationId xmlns:a16="http://schemas.microsoft.com/office/drawing/2014/main" id="{8E14B6B3-655B-446B-98CE-E55B2225E259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1600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7</xdr:row>
      <xdr:rowOff>0</xdr:rowOff>
    </xdr:from>
    <xdr:ext cx="152400" cy="152400"/>
    <xdr:sp macro="" textlink="">
      <xdr:nvSpPr>
        <xdr:cNvPr id="76" name="AutoShape 49" descr="HR">
          <a:hlinkClick xmlns:r="http://schemas.openxmlformats.org/officeDocument/2006/relationships" r:id="rId24" tgtFrame="_blank" tooltip="Historial de rendiment"/>
          <a:extLst>
            <a:ext uri="{FF2B5EF4-FFF2-40B4-BE49-F238E27FC236}">
              <a16:creationId xmlns:a16="http://schemas.microsoft.com/office/drawing/2014/main" id="{2315273D-76C9-430F-8B77-EB5551D09102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1619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8</xdr:row>
      <xdr:rowOff>0</xdr:rowOff>
    </xdr:from>
    <xdr:ext cx="152400" cy="152400"/>
    <xdr:sp macro="" textlink="">
      <xdr:nvSpPr>
        <xdr:cNvPr id="77" name="AutoShape 50" descr="HR">
          <a:hlinkClick xmlns:r="http://schemas.openxmlformats.org/officeDocument/2006/relationships" r:id="rId25" tgtFrame="_blank" tooltip="Historial de rendiment"/>
          <a:extLst>
            <a:ext uri="{FF2B5EF4-FFF2-40B4-BE49-F238E27FC236}">
              <a16:creationId xmlns:a16="http://schemas.microsoft.com/office/drawing/2014/main" id="{9280FF77-4274-479B-9A64-91FDC7AA54DC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1638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9</xdr:row>
      <xdr:rowOff>0</xdr:rowOff>
    </xdr:from>
    <xdr:ext cx="152400" cy="152400"/>
    <xdr:sp macro="" textlink="">
      <xdr:nvSpPr>
        <xdr:cNvPr id="78" name="AutoShape 51" descr="HR">
          <a:hlinkClick xmlns:r="http://schemas.openxmlformats.org/officeDocument/2006/relationships" r:id="rId26" tgtFrame="_blank" tooltip="Historial de rendiment"/>
          <a:extLst>
            <a:ext uri="{FF2B5EF4-FFF2-40B4-BE49-F238E27FC236}">
              <a16:creationId xmlns:a16="http://schemas.microsoft.com/office/drawing/2014/main" id="{B5CB5DD4-C58C-4948-825D-B663931FD62C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1657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10</xdr:row>
      <xdr:rowOff>0</xdr:rowOff>
    </xdr:from>
    <xdr:ext cx="152400" cy="152400"/>
    <xdr:sp macro="" textlink="">
      <xdr:nvSpPr>
        <xdr:cNvPr id="79" name="AutoShape 52" descr="HR">
          <a:hlinkClick xmlns:r="http://schemas.openxmlformats.org/officeDocument/2006/relationships" r:id="rId27" tgtFrame="_blank" tooltip="Historial de rendiment"/>
          <a:extLst>
            <a:ext uri="{FF2B5EF4-FFF2-40B4-BE49-F238E27FC236}">
              <a16:creationId xmlns:a16="http://schemas.microsoft.com/office/drawing/2014/main" id="{62705D27-5465-44D6-9E70-0D58E2CD9D2D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1676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11</xdr:row>
      <xdr:rowOff>0</xdr:rowOff>
    </xdr:from>
    <xdr:ext cx="152400" cy="152400"/>
    <xdr:sp macro="" textlink="">
      <xdr:nvSpPr>
        <xdr:cNvPr id="80" name="AutoShape 53" descr="HR">
          <a:hlinkClick xmlns:r="http://schemas.openxmlformats.org/officeDocument/2006/relationships" r:id="rId28" tgtFrame="_blank" tooltip="Historial de rendiment"/>
          <a:extLst>
            <a:ext uri="{FF2B5EF4-FFF2-40B4-BE49-F238E27FC236}">
              <a16:creationId xmlns:a16="http://schemas.microsoft.com/office/drawing/2014/main" id="{E2ACB099-56B7-4A13-A65C-0A62C773872A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1695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12</xdr:row>
      <xdr:rowOff>0</xdr:rowOff>
    </xdr:from>
    <xdr:ext cx="152400" cy="152400"/>
    <xdr:sp macro="" textlink="">
      <xdr:nvSpPr>
        <xdr:cNvPr id="81" name="AutoShape 54" descr="HR">
          <a:hlinkClick xmlns:r="http://schemas.openxmlformats.org/officeDocument/2006/relationships" r:id="rId29" tgtFrame="_blank" tooltip="Historial de rendiment"/>
          <a:extLst>
            <a:ext uri="{FF2B5EF4-FFF2-40B4-BE49-F238E27FC236}">
              <a16:creationId xmlns:a16="http://schemas.microsoft.com/office/drawing/2014/main" id="{1A054763-1A60-44C9-851D-B44CDC3A8903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1714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13</xdr:row>
      <xdr:rowOff>0</xdr:rowOff>
    </xdr:from>
    <xdr:ext cx="152400" cy="152400"/>
    <xdr:sp macro="" textlink="">
      <xdr:nvSpPr>
        <xdr:cNvPr id="82" name="AutoShape 55" descr="HR">
          <a:hlinkClick xmlns:r="http://schemas.openxmlformats.org/officeDocument/2006/relationships" r:id="rId30" tgtFrame="_blank" tooltip="Historial de rendiment"/>
          <a:extLst>
            <a:ext uri="{FF2B5EF4-FFF2-40B4-BE49-F238E27FC236}">
              <a16:creationId xmlns:a16="http://schemas.microsoft.com/office/drawing/2014/main" id="{4FE0E3C0-AA20-487E-98C0-6469D7AEA811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1733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14</xdr:row>
      <xdr:rowOff>0</xdr:rowOff>
    </xdr:from>
    <xdr:ext cx="152400" cy="152400"/>
    <xdr:sp macro="" textlink="">
      <xdr:nvSpPr>
        <xdr:cNvPr id="83" name="AutoShape 56" descr="HR">
          <a:hlinkClick xmlns:r="http://schemas.openxmlformats.org/officeDocument/2006/relationships" r:id="rId31" tgtFrame="_blank" tooltip="Historial de rendiment"/>
          <a:extLst>
            <a:ext uri="{FF2B5EF4-FFF2-40B4-BE49-F238E27FC236}">
              <a16:creationId xmlns:a16="http://schemas.microsoft.com/office/drawing/2014/main" id="{07DDE5B2-0B53-4448-A3BD-BBBD419BDA15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1752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</xdr:row>
      <xdr:rowOff>0</xdr:rowOff>
    </xdr:from>
    <xdr:ext cx="152400" cy="152400"/>
    <xdr:sp macro="" textlink="">
      <xdr:nvSpPr>
        <xdr:cNvPr id="84" name="AutoShape 57" descr="HR">
          <a:hlinkClick xmlns:r="http://schemas.openxmlformats.org/officeDocument/2006/relationships" r:id="rId32" tgtFrame="_blank" tooltip="Historial de rendiment"/>
          <a:extLst>
            <a:ext uri="{FF2B5EF4-FFF2-40B4-BE49-F238E27FC236}">
              <a16:creationId xmlns:a16="http://schemas.microsoft.com/office/drawing/2014/main" id="{BDE227F6-1839-4B96-909F-A9860C2091D1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1771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16</xdr:row>
      <xdr:rowOff>0</xdr:rowOff>
    </xdr:from>
    <xdr:ext cx="152400" cy="152400"/>
    <xdr:sp macro="" textlink="">
      <xdr:nvSpPr>
        <xdr:cNvPr id="85" name="AutoShape 58" descr="HR">
          <a:hlinkClick xmlns:r="http://schemas.openxmlformats.org/officeDocument/2006/relationships" r:id="rId33" tgtFrame="_blank" tooltip="Historial de rendiment"/>
          <a:extLst>
            <a:ext uri="{FF2B5EF4-FFF2-40B4-BE49-F238E27FC236}">
              <a16:creationId xmlns:a16="http://schemas.microsoft.com/office/drawing/2014/main" id="{2CD5B600-E66A-4BB3-B18B-1E11E4F8359B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1790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17</xdr:row>
      <xdr:rowOff>0</xdr:rowOff>
    </xdr:from>
    <xdr:ext cx="152400" cy="152400"/>
    <xdr:sp macro="" textlink="">
      <xdr:nvSpPr>
        <xdr:cNvPr id="86" name="AutoShape 59" descr="HR">
          <a:hlinkClick xmlns:r="http://schemas.openxmlformats.org/officeDocument/2006/relationships" r:id="rId34" tgtFrame="_blank" tooltip="Historial de rendiment"/>
          <a:extLst>
            <a:ext uri="{FF2B5EF4-FFF2-40B4-BE49-F238E27FC236}">
              <a16:creationId xmlns:a16="http://schemas.microsoft.com/office/drawing/2014/main" id="{9F9F48AB-79FD-4A11-A470-0EFC71F4FBC6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1809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18</xdr:row>
      <xdr:rowOff>0</xdr:rowOff>
    </xdr:from>
    <xdr:ext cx="152400" cy="152400"/>
    <xdr:sp macro="" textlink="">
      <xdr:nvSpPr>
        <xdr:cNvPr id="87" name="AutoShape 60" descr="HR">
          <a:hlinkClick xmlns:r="http://schemas.openxmlformats.org/officeDocument/2006/relationships" r:id="rId35" tgtFrame="_blank" tooltip="Historial de rendiment"/>
          <a:extLst>
            <a:ext uri="{FF2B5EF4-FFF2-40B4-BE49-F238E27FC236}">
              <a16:creationId xmlns:a16="http://schemas.microsoft.com/office/drawing/2014/main" id="{181801BC-A6AD-49C3-A4B8-C76FDA955A65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1828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19</xdr:row>
      <xdr:rowOff>0</xdr:rowOff>
    </xdr:from>
    <xdr:ext cx="152400" cy="152400"/>
    <xdr:sp macro="" textlink="">
      <xdr:nvSpPr>
        <xdr:cNvPr id="88" name="AutoShape 61" descr="HR">
          <a:hlinkClick xmlns:r="http://schemas.openxmlformats.org/officeDocument/2006/relationships" r:id="rId36" tgtFrame="_blank" tooltip="Historial de rendiment"/>
          <a:extLst>
            <a:ext uri="{FF2B5EF4-FFF2-40B4-BE49-F238E27FC236}">
              <a16:creationId xmlns:a16="http://schemas.microsoft.com/office/drawing/2014/main" id="{F3A215E6-9FB4-4DC4-BC32-1BA2455C0AF4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1847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20</xdr:row>
      <xdr:rowOff>0</xdr:rowOff>
    </xdr:from>
    <xdr:ext cx="152400" cy="152400"/>
    <xdr:sp macro="" textlink="">
      <xdr:nvSpPr>
        <xdr:cNvPr id="89" name="AutoShape 62" descr="HR">
          <a:hlinkClick xmlns:r="http://schemas.openxmlformats.org/officeDocument/2006/relationships" r:id="rId37" tgtFrame="_blank" tooltip="Historial de rendiment"/>
          <a:extLst>
            <a:ext uri="{FF2B5EF4-FFF2-40B4-BE49-F238E27FC236}">
              <a16:creationId xmlns:a16="http://schemas.microsoft.com/office/drawing/2014/main" id="{956C149F-E48C-4B05-B747-FAB81A9052F4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1866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21</xdr:row>
      <xdr:rowOff>0</xdr:rowOff>
    </xdr:from>
    <xdr:ext cx="152400" cy="152400"/>
    <xdr:sp macro="" textlink="">
      <xdr:nvSpPr>
        <xdr:cNvPr id="90" name="AutoShape 63" descr="HR">
          <a:hlinkClick xmlns:r="http://schemas.openxmlformats.org/officeDocument/2006/relationships" r:id="rId38" tgtFrame="_blank" tooltip="Historial de rendiment"/>
          <a:extLst>
            <a:ext uri="{FF2B5EF4-FFF2-40B4-BE49-F238E27FC236}">
              <a16:creationId xmlns:a16="http://schemas.microsoft.com/office/drawing/2014/main" id="{6DBE795F-909D-4B4B-BB0D-26EC5CFD9EBF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1885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152400" cy="152400"/>
    <xdr:sp macro="" textlink="">
      <xdr:nvSpPr>
        <xdr:cNvPr id="91" name="AutoShape 64" descr="HR">
          <a:hlinkClick xmlns:r="http://schemas.openxmlformats.org/officeDocument/2006/relationships" r:id="rId39" tgtFrame="_blank" tooltip="Historial de rendiment"/>
          <a:extLst>
            <a:ext uri="{FF2B5EF4-FFF2-40B4-BE49-F238E27FC236}">
              <a16:creationId xmlns:a16="http://schemas.microsoft.com/office/drawing/2014/main" id="{BE617228-61D0-4674-B029-1ACBA589F486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1905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23</xdr:row>
      <xdr:rowOff>0</xdr:rowOff>
    </xdr:from>
    <xdr:ext cx="152400" cy="152400"/>
    <xdr:sp macro="" textlink="">
      <xdr:nvSpPr>
        <xdr:cNvPr id="92" name="AutoShape 65" descr="HR">
          <a:hlinkClick xmlns:r="http://schemas.openxmlformats.org/officeDocument/2006/relationships" r:id="rId40" tgtFrame="_blank" tooltip="Historial de rendiment"/>
          <a:extLst>
            <a:ext uri="{FF2B5EF4-FFF2-40B4-BE49-F238E27FC236}">
              <a16:creationId xmlns:a16="http://schemas.microsoft.com/office/drawing/2014/main" id="{813630A2-707E-4C7D-9043-2327E9ABE9D2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1924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24</xdr:row>
      <xdr:rowOff>0</xdr:rowOff>
    </xdr:from>
    <xdr:ext cx="152400" cy="152400"/>
    <xdr:sp macro="" textlink="">
      <xdr:nvSpPr>
        <xdr:cNvPr id="93" name="AutoShape 66" descr="HR">
          <a:hlinkClick xmlns:r="http://schemas.openxmlformats.org/officeDocument/2006/relationships" r:id="rId41" tgtFrame="_blank" tooltip="Historial de rendiment"/>
          <a:extLst>
            <a:ext uri="{FF2B5EF4-FFF2-40B4-BE49-F238E27FC236}">
              <a16:creationId xmlns:a16="http://schemas.microsoft.com/office/drawing/2014/main" id="{5A570A75-092C-48CE-9725-B4578A5FE891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1943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25</xdr:row>
      <xdr:rowOff>0</xdr:rowOff>
    </xdr:from>
    <xdr:ext cx="152400" cy="152400"/>
    <xdr:sp macro="" textlink="">
      <xdr:nvSpPr>
        <xdr:cNvPr id="94" name="AutoShape 67" descr="HR">
          <a:hlinkClick xmlns:r="http://schemas.openxmlformats.org/officeDocument/2006/relationships" r:id="rId42" tgtFrame="_blank" tooltip="Historial de rendiment"/>
          <a:extLst>
            <a:ext uri="{FF2B5EF4-FFF2-40B4-BE49-F238E27FC236}">
              <a16:creationId xmlns:a16="http://schemas.microsoft.com/office/drawing/2014/main" id="{5C29307E-2251-4D3C-BC1D-1DB2D7B54106}"/>
            </a:ext>
          </a:extLst>
        </xdr:cNvPr>
        <xdr:cNvSpPr>
          <a:spLocks noChangeAspect="1" noChangeArrowheads="1"/>
        </xdr:cNvSpPr>
      </xdr:nvSpPr>
      <xdr:spPr bwMode="auto">
        <a:xfrm>
          <a:off x="15240000" y="1962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169334</xdr:colOff>
      <xdr:row>15</xdr:row>
      <xdr:rowOff>99483</xdr:rowOff>
    </xdr:from>
    <xdr:to>
      <xdr:col>26</xdr:col>
      <xdr:colOff>232834</xdr:colOff>
      <xdr:row>36</xdr:row>
      <xdr:rowOff>74083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5BCDB2-C42F-4F39-90AA-366B537D3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169334</xdr:colOff>
      <xdr:row>15</xdr:row>
      <xdr:rowOff>99483</xdr:rowOff>
    </xdr:from>
    <xdr:to>
      <xdr:col>26</xdr:col>
      <xdr:colOff>232834</xdr:colOff>
      <xdr:row>36</xdr:row>
      <xdr:rowOff>74083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946EE4-FA25-4566-9000-EB1409B44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24130</xdr:colOff>
      <xdr:row>22</xdr:row>
      <xdr:rowOff>24130</xdr:rowOff>
    </xdr:from>
    <xdr:to>
      <xdr:col>31</xdr:col>
      <xdr:colOff>535940</xdr:colOff>
      <xdr:row>48</xdr:row>
      <xdr:rowOff>78105</xdr:rowOff>
    </xdr:to>
    <xdr:graphicFrame macro="">
      <xdr:nvGraphicFramePr>
        <xdr:cNvPr id="23" name="Graphique 1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163195</xdr:colOff>
      <xdr:row>34</xdr:row>
      <xdr:rowOff>177165</xdr:rowOff>
    </xdr:from>
    <xdr:to>
      <xdr:col>5</xdr:col>
      <xdr:colOff>299085</xdr:colOff>
      <xdr:row>43</xdr:row>
      <xdr:rowOff>13335</xdr:rowOff>
    </xdr:to>
    <xdr:graphicFrame macro="">
      <xdr:nvGraphicFramePr>
        <xdr:cNvPr id="22" name="Graphiqu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24130</xdr:colOff>
      <xdr:row>22</xdr:row>
      <xdr:rowOff>24130</xdr:rowOff>
    </xdr:from>
    <xdr:to>
      <xdr:col>31</xdr:col>
      <xdr:colOff>535940</xdr:colOff>
      <xdr:row>48</xdr:row>
      <xdr:rowOff>78105</xdr:rowOff>
    </xdr:to>
    <xdr:graphicFrame macro="">
      <xdr:nvGraphicFramePr>
        <xdr:cNvPr id="25" name="Graphique 1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163195</xdr:colOff>
      <xdr:row>34</xdr:row>
      <xdr:rowOff>177165</xdr:rowOff>
    </xdr:from>
    <xdr:to>
      <xdr:col>5</xdr:col>
      <xdr:colOff>299085</xdr:colOff>
      <xdr:row>43</xdr:row>
      <xdr:rowOff>13335</xdr:rowOff>
    </xdr:to>
    <xdr:graphicFrame macro="">
      <xdr:nvGraphicFramePr>
        <xdr:cNvPr id="24" name="Graphique 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24130</xdr:colOff>
      <xdr:row>22</xdr:row>
      <xdr:rowOff>24130</xdr:rowOff>
    </xdr:from>
    <xdr:to>
      <xdr:col>31</xdr:col>
      <xdr:colOff>535940</xdr:colOff>
      <xdr:row>48</xdr:row>
      <xdr:rowOff>78105</xdr:rowOff>
    </xdr:to>
    <xdr:graphicFrame macro="">
      <xdr:nvGraphicFramePr>
        <xdr:cNvPr id="25" name="Graphique 1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163195</xdr:colOff>
      <xdr:row>34</xdr:row>
      <xdr:rowOff>177165</xdr:rowOff>
    </xdr:from>
    <xdr:to>
      <xdr:col>5</xdr:col>
      <xdr:colOff>299085</xdr:colOff>
      <xdr:row>43</xdr:row>
      <xdr:rowOff>13335</xdr:rowOff>
    </xdr:to>
    <xdr:graphicFrame macro="">
      <xdr:nvGraphicFramePr>
        <xdr:cNvPr id="24" name="Graphique 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24130</xdr:colOff>
      <xdr:row>22</xdr:row>
      <xdr:rowOff>24130</xdr:rowOff>
    </xdr:from>
    <xdr:to>
      <xdr:col>31</xdr:col>
      <xdr:colOff>535940</xdr:colOff>
      <xdr:row>48</xdr:row>
      <xdr:rowOff>78105</xdr:rowOff>
    </xdr:to>
    <xdr:graphicFrame macro="">
      <xdr:nvGraphicFramePr>
        <xdr:cNvPr id="25" name="Graphique 1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163195</xdr:colOff>
      <xdr:row>34</xdr:row>
      <xdr:rowOff>177165</xdr:rowOff>
    </xdr:from>
    <xdr:to>
      <xdr:col>5</xdr:col>
      <xdr:colOff>299085</xdr:colOff>
      <xdr:row>43</xdr:row>
      <xdr:rowOff>13335</xdr:rowOff>
    </xdr:to>
    <xdr:graphicFrame macro="">
      <xdr:nvGraphicFramePr>
        <xdr:cNvPr id="24" name="Graphique 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F97F3-CFBB-4EB6-8EE2-29E4AFA50BC8}">
  <sheetPr>
    <tabColor theme="9" tint="-0.249977111117893"/>
  </sheetPr>
  <dimension ref="A1:BS59"/>
  <sheetViews>
    <sheetView zoomScale="90" zoomScaleNormal="90" workbookViewId="0">
      <selection activeCell="D9" sqref="D9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570312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6.28515625" style="31" bestFit="1" customWidth="1"/>
    <col min="29" max="29" width="7.7109375" style="31" bestFit="1" customWidth="1"/>
    <col min="30" max="30" width="6.285156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99" t="s">
        <v>143</v>
      </c>
      <c r="B1" s="31" t="s">
        <v>0</v>
      </c>
      <c r="E1" s="285">
        <v>1.5</v>
      </c>
      <c r="F1" s="285">
        <v>2.5</v>
      </c>
      <c r="G1" s="285">
        <v>3.5</v>
      </c>
      <c r="H1" s="221"/>
      <c r="I1" s="220"/>
      <c r="J1" s="222"/>
      <c r="K1" s="221"/>
      <c r="L1" s="221"/>
      <c r="M1" s="221"/>
      <c r="N1" s="221">
        <f>COUNTIF(B17:C17,"JC")</f>
        <v>0</v>
      </c>
      <c r="O1" s="220"/>
      <c r="P1" s="220"/>
      <c r="Q1" s="304"/>
      <c r="R1" s="304"/>
      <c r="S1" s="223"/>
      <c r="T1" s="223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4"/>
      <c r="AK1" s="220"/>
      <c r="AL1" s="220"/>
      <c r="AM1" s="220"/>
      <c r="AN1" s="220"/>
      <c r="AO1" s="220"/>
      <c r="AP1" s="220"/>
      <c r="AQ1" s="220"/>
      <c r="AR1" s="220"/>
      <c r="AS1" s="220"/>
      <c r="AT1" s="220"/>
      <c r="AU1" s="220"/>
      <c r="AV1" s="220"/>
      <c r="AW1" s="220"/>
      <c r="AX1" s="220"/>
      <c r="AY1" s="220"/>
      <c r="AZ1" s="220"/>
    </row>
    <row r="2" spans="1:71" ht="15.75" x14ac:dyDescent="0.25">
      <c r="A2" s="299" t="s">
        <v>338</v>
      </c>
      <c r="B2" s="31" t="s">
        <v>0</v>
      </c>
      <c r="E2" s="245"/>
      <c r="F2" s="245"/>
      <c r="G2" s="245"/>
      <c r="H2" s="245"/>
      <c r="I2" s="245"/>
      <c r="J2" s="245"/>
      <c r="K2" s="245"/>
      <c r="L2" s="245"/>
      <c r="M2" s="245"/>
      <c r="N2" s="261">
        <f>SUM(N4:N15)</f>
        <v>3.5750000000000002</v>
      </c>
      <c r="O2" s="245"/>
      <c r="P2" s="247"/>
      <c r="Q2" s="247"/>
      <c r="R2" s="198">
        <f>SUM(R4:R15)</f>
        <v>2.9750000000000001</v>
      </c>
      <c r="S2" s="198">
        <f>SUM(S4:S15)</f>
        <v>3.5750000000000002</v>
      </c>
      <c r="T2" s="256">
        <f t="shared" ref="T2:U2" si="0">SUM(T4:T15)</f>
        <v>0.95045961241639509</v>
      </c>
      <c r="U2" s="256">
        <f t="shared" si="0"/>
        <v>0.77476097581889913</v>
      </c>
      <c r="V2" s="158"/>
      <c r="W2" s="158"/>
      <c r="X2" s="290">
        <f t="shared" ref="X2:Y2" si="1">SUM(X4:X15)</f>
        <v>0.49461346252786831</v>
      </c>
      <c r="Y2" s="291">
        <f t="shared" si="1"/>
        <v>0.34212025595952666</v>
      </c>
      <c r="Z2" s="220"/>
      <c r="AA2" s="226" t="s">
        <v>19</v>
      </c>
      <c r="AB2" s="226" t="s">
        <v>20</v>
      </c>
      <c r="AC2" s="226" t="s">
        <v>21</v>
      </c>
      <c r="AD2" s="226" t="s">
        <v>22</v>
      </c>
      <c r="AE2" s="298"/>
      <c r="AF2" s="220"/>
      <c r="AG2" s="227" t="s">
        <v>24</v>
      </c>
      <c r="AH2" s="227" t="s">
        <v>20</v>
      </c>
      <c r="AI2" s="227" t="s">
        <v>21</v>
      </c>
      <c r="AJ2" s="227" t="s">
        <v>22</v>
      </c>
      <c r="AK2" s="229"/>
      <c r="AL2" s="220"/>
      <c r="AM2" s="220"/>
      <c r="AN2" s="220"/>
      <c r="AO2" s="220"/>
      <c r="AP2" s="220"/>
      <c r="AQ2" s="220"/>
      <c r="AR2" s="220"/>
      <c r="AS2" s="220"/>
      <c r="AT2" s="220"/>
      <c r="AU2" s="220"/>
      <c r="AV2" s="220"/>
      <c r="AW2" s="220"/>
      <c r="AX2" s="220"/>
      <c r="AY2" s="220"/>
      <c r="AZ2" s="220"/>
    </row>
    <row r="3" spans="1:71" ht="15.75" x14ac:dyDescent="0.25">
      <c r="A3" s="157" t="s">
        <v>4</v>
      </c>
      <c r="B3" s="305" t="s">
        <v>5</v>
      </c>
      <c r="C3" s="305"/>
      <c r="D3" s="31" t="str">
        <f>IF(B3="Sol","SI",IF(B3="Lluvia","SI","NO"))</f>
        <v>SI</v>
      </c>
      <c r="E3" s="248"/>
      <c r="F3" s="249"/>
      <c r="G3" s="279" t="s">
        <v>163</v>
      </c>
      <c r="H3" s="248"/>
      <c r="I3" s="248"/>
      <c r="J3" s="245"/>
      <c r="K3" s="257" t="s">
        <v>167</v>
      </c>
      <c r="L3" s="257" t="s">
        <v>168</v>
      </c>
      <c r="M3" s="257" t="s">
        <v>28</v>
      </c>
      <c r="N3" s="257" t="s">
        <v>28</v>
      </c>
      <c r="O3" s="257" t="s">
        <v>169</v>
      </c>
      <c r="P3" s="262" t="s">
        <v>170</v>
      </c>
      <c r="Q3" s="264" t="s">
        <v>171</v>
      </c>
      <c r="R3" s="257" t="s">
        <v>28</v>
      </c>
      <c r="S3" s="257" t="s">
        <v>172</v>
      </c>
      <c r="T3" s="262" t="s">
        <v>173</v>
      </c>
      <c r="U3" s="264" t="s">
        <v>174</v>
      </c>
      <c r="V3" s="262" t="s">
        <v>175</v>
      </c>
      <c r="W3" s="264" t="s">
        <v>176</v>
      </c>
      <c r="X3" s="286" t="s">
        <v>177</v>
      </c>
      <c r="Y3" s="287" t="s">
        <v>178</v>
      </c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5"/>
      <c r="AO3" s="225"/>
      <c r="AP3" s="220"/>
      <c r="AQ3" s="220"/>
      <c r="AR3" s="220"/>
      <c r="AS3" s="220"/>
      <c r="AT3" s="220"/>
      <c r="AU3" s="220"/>
      <c r="AV3" s="220"/>
      <c r="AW3" s="220"/>
      <c r="AX3" s="220"/>
      <c r="AY3" s="220"/>
      <c r="AZ3" s="220"/>
    </row>
    <row r="4" spans="1:71" ht="15.75" x14ac:dyDescent="0.25">
      <c r="A4" s="122"/>
      <c r="B4" s="8" t="s">
        <v>9</v>
      </c>
      <c r="C4" s="9" t="s">
        <v>10</v>
      </c>
      <c r="D4" s="158"/>
      <c r="E4" s="279" t="s">
        <v>37</v>
      </c>
      <c r="F4" s="279" t="s">
        <v>163</v>
      </c>
      <c r="G4" s="279" t="s">
        <v>1</v>
      </c>
      <c r="H4" s="279" t="s">
        <v>163</v>
      </c>
      <c r="I4" s="279" t="s">
        <v>37</v>
      </c>
      <c r="J4" s="245"/>
      <c r="K4" s="246">
        <v>5</v>
      </c>
      <c r="L4" s="246">
        <v>6</v>
      </c>
      <c r="M4" s="259">
        <v>0.45</v>
      </c>
      <c r="N4" s="259">
        <f>IF($N$1=2,M4*$G$1/$E$1,IF($N$1=1,M4*$F$1/$E$1,M4))</f>
        <v>0.45</v>
      </c>
      <c r="O4" s="246" t="s">
        <v>179</v>
      </c>
      <c r="P4" s="249">
        <f>COUNTIF(E3:I4,"IMP")</f>
        <v>2</v>
      </c>
      <c r="Q4" s="251">
        <f>COUNTIF(E8:I9,"IMP")</f>
        <v>0</v>
      </c>
      <c r="R4" s="258">
        <f t="shared" ref="R4:R15" si="2">IF(P4+Q4=0,0,N4)</f>
        <v>0.45</v>
      </c>
      <c r="S4" s="258">
        <f t="shared" ref="S4:S15" si="3">R4*$N$2/$R$2</f>
        <v>0.54075630252100848</v>
      </c>
      <c r="T4" s="263">
        <f t="shared" ref="T4:T9" si="4">IF(S4=0,0,IF(Q4=0,S4*P4/L4,S4*P4/(L4*2)))</f>
        <v>0.18025210084033616</v>
      </c>
      <c r="U4" s="265">
        <f t="shared" ref="U4:U9" si="5">IF(S4=0,0,IF(P4=0,S4*Q4/L4,S4*Q4/(L4*2)))</f>
        <v>0</v>
      </c>
      <c r="V4" s="255">
        <f>$G$17</f>
        <v>0.56999999999999995</v>
      </c>
      <c r="W4" s="253">
        <f>$H$17</f>
        <v>0.56999999999999995</v>
      </c>
      <c r="X4" s="288">
        <f>V4*T4</f>
        <v>0.10274369747899161</v>
      </c>
      <c r="Y4" s="289">
        <f>W4*U4</f>
        <v>0</v>
      </c>
      <c r="Z4" s="227"/>
      <c r="AA4" s="281">
        <f t="shared" ref="AA4:AA14" si="6">X5</f>
        <v>0</v>
      </c>
      <c r="AB4" s="282">
        <f t="shared" ref="AB4:AB15" si="7">(1-AA4)</f>
        <v>1</v>
      </c>
      <c r="AC4" s="282">
        <f>AA4*AB3*PRODUCT(AB5:AB17)</f>
        <v>0</v>
      </c>
      <c r="AD4" s="282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220"/>
      <c r="AF4" s="227"/>
      <c r="AG4" s="283">
        <f>Y4</f>
        <v>0</v>
      </c>
      <c r="AH4" s="284">
        <f t="shared" ref="AH4:AH15" si="8">(1-AG4)</f>
        <v>1</v>
      </c>
      <c r="AI4" s="284">
        <f>AG4*AH3*PRODUCT(AH5:AH17)</f>
        <v>0</v>
      </c>
      <c r="AJ4" s="284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220"/>
      <c r="AL4" s="227"/>
      <c r="AM4" s="227"/>
      <c r="AN4" s="221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0"/>
      <c r="AZ4" s="220"/>
      <c r="BI4" s="31">
        <v>0</v>
      </c>
      <c r="BJ4" s="31">
        <v>1</v>
      </c>
      <c r="BK4" s="107">
        <f t="shared" ref="BK4:BK13" si="9">$H$25*H40</f>
        <v>3.260333920759604E-2</v>
      </c>
      <c r="BM4" s="31">
        <v>0</v>
      </c>
      <c r="BN4" s="31">
        <v>0</v>
      </c>
      <c r="BO4" s="107">
        <f>H25*H39</f>
        <v>1.6285592143965657E-2</v>
      </c>
      <c r="BQ4" s="31">
        <v>1</v>
      </c>
      <c r="BR4" s="31">
        <v>0</v>
      </c>
      <c r="BS4" s="107">
        <f>$H$26*H39</f>
        <v>3.9669045892167479E-2</v>
      </c>
    </row>
    <row r="5" spans="1:71" ht="15.75" x14ac:dyDescent="0.25">
      <c r="A5" s="40" t="s">
        <v>30</v>
      </c>
      <c r="B5" s="154">
        <v>532</v>
      </c>
      <c r="C5" s="154">
        <v>352</v>
      </c>
      <c r="E5" s="279" t="s">
        <v>1</v>
      </c>
      <c r="F5" s="279" t="s">
        <v>163</v>
      </c>
      <c r="G5" s="279" t="s">
        <v>144</v>
      </c>
      <c r="H5" s="279" t="s">
        <v>163</v>
      </c>
      <c r="I5" s="279" t="s">
        <v>1</v>
      </c>
      <c r="J5" s="245"/>
      <c r="K5" s="246">
        <v>6</v>
      </c>
      <c r="L5" s="246">
        <v>8</v>
      </c>
      <c r="M5" s="259">
        <v>0.35</v>
      </c>
      <c r="N5" s="259">
        <f t="shared" ref="N5:N15" si="10">IF($N$1=2,M5*$G$1/$E$1,IF($N$1=1,M5*$F$1/$E$1,M5))</f>
        <v>0.35</v>
      </c>
      <c r="O5" s="246" t="s">
        <v>180</v>
      </c>
      <c r="P5" s="249">
        <f>COUNTIF(E5:I6,"IMP")</f>
        <v>0</v>
      </c>
      <c r="Q5" s="251">
        <f>COUNTIF(E10:I11,"IMP")</f>
        <v>1</v>
      </c>
      <c r="R5" s="258">
        <f t="shared" si="2"/>
        <v>0.35</v>
      </c>
      <c r="S5" s="258">
        <f t="shared" si="3"/>
        <v>0.42058823529411765</v>
      </c>
      <c r="T5" s="263">
        <f t="shared" si="4"/>
        <v>0</v>
      </c>
      <c r="U5" s="265">
        <f t="shared" si="5"/>
        <v>5.2573529411764706E-2</v>
      </c>
      <c r="V5" s="255">
        <f>$G$17</f>
        <v>0.56999999999999995</v>
      </c>
      <c r="W5" s="253">
        <f>$H$17</f>
        <v>0.56999999999999995</v>
      </c>
      <c r="X5" s="288">
        <f t="shared" ref="X5:Y15" si="11">V5*T5</f>
        <v>0</v>
      </c>
      <c r="Y5" s="289">
        <f t="shared" si="11"/>
        <v>2.9966911764705881E-2</v>
      </c>
      <c r="Z5" s="236"/>
      <c r="AA5" s="281">
        <f t="shared" si="6"/>
        <v>1.8718487394957985E-2</v>
      </c>
      <c r="AB5" s="282">
        <f t="shared" si="7"/>
        <v>0.98128151260504204</v>
      </c>
      <c r="AC5" s="282">
        <f>AA5*PRODUCT(AB3:AB4)*PRODUCT(AB6:AB17)</f>
        <v>1.2667376666763991E-2</v>
      </c>
      <c r="AD5" s="282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5.1819852547380189E-3</v>
      </c>
      <c r="AE5" s="220"/>
      <c r="AF5" s="234"/>
      <c r="AG5" s="283">
        <f t="shared" ref="AG5:AG15" si="12">Y5</f>
        <v>2.9966911764705881E-2</v>
      </c>
      <c r="AH5" s="284">
        <f t="shared" si="8"/>
        <v>0.97003308823529411</v>
      </c>
      <c r="AI5" s="284">
        <f>AG5*PRODUCT(AH3:AH4)*PRODUCT(AH6:AH17)</f>
        <v>2.1697018957213227E-2</v>
      </c>
      <c r="AJ5" s="284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7.2524644629165117E-3</v>
      </c>
      <c r="AK5" s="220"/>
      <c r="AL5" s="237"/>
      <c r="AM5" s="220"/>
      <c r="AN5" s="225"/>
      <c r="AO5" s="239"/>
      <c r="AP5" s="220"/>
      <c r="AQ5" s="220"/>
      <c r="AR5" s="220"/>
      <c r="AS5" s="220"/>
      <c r="AT5" s="220"/>
      <c r="AU5" s="220"/>
      <c r="AV5" s="220"/>
      <c r="AW5" s="220"/>
      <c r="AX5" s="220"/>
      <c r="AY5" s="220"/>
      <c r="AZ5" s="220"/>
      <c r="BI5" s="31">
        <v>0</v>
      </c>
      <c r="BJ5" s="31">
        <v>2</v>
      </c>
      <c r="BK5" s="107">
        <f t="shared" si="9"/>
        <v>3.0249299058669701E-2</v>
      </c>
      <c r="BM5" s="31">
        <v>1</v>
      </c>
      <c r="BN5" s="31">
        <v>1</v>
      </c>
      <c r="BO5" s="107">
        <f>$H$26*H40</f>
        <v>7.9416415923399902E-2</v>
      </c>
      <c r="BQ5" s="31">
        <f>BQ4+1</f>
        <v>2</v>
      </c>
      <c r="BR5" s="31">
        <v>0</v>
      </c>
      <c r="BS5" s="107">
        <f>$H$27*H39</f>
        <v>4.4839113564335627E-2</v>
      </c>
    </row>
    <row r="6" spans="1:71" ht="15.75" x14ac:dyDescent="0.25">
      <c r="A6" s="2" t="s">
        <v>35</v>
      </c>
      <c r="B6" s="269">
        <v>3.75</v>
      </c>
      <c r="C6" s="270">
        <v>8.5</v>
      </c>
      <c r="E6" s="248"/>
      <c r="F6" s="279" t="s">
        <v>1</v>
      </c>
      <c r="G6" s="279" t="s">
        <v>163</v>
      </c>
      <c r="H6" s="279" t="s">
        <v>1</v>
      </c>
      <c r="I6" s="248"/>
      <c r="J6" s="245"/>
      <c r="K6" s="246">
        <v>8</v>
      </c>
      <c r="L6" s="246">
        <v>13</v>
      </c>
      <c r="M6" s="259">
        <v>0.45</v>
      </c>
      <c r="N6" s="259">
        <f t="shared" si="10"/>
        <v>0.45</v>
      </c>
      <c r="O6" s="246" t="s">
        <v>37</v>
      </c>
      <c r="P6" s="249">
        <f>COUNTIF(E4:I6,"IMP")</f>
        <v>2</v>
      </c>
      <c r="Q6" s="251">
        <f>COUNTIF(E9:I11,"IMP")</f>
        <v>1</v>
      </c>
      <c r="R6" s="258">
        <f t="shared" si="2"/>
        <v>0.45</v>
      </c>
      <c r="S6" s="258">
        <f t="shared" si="3"/>
        <v>0.54075630252100848</v>
      </c>
      <c r="T6" s="263">
        <f t="shared" si="4"/>
        <v>4.159663865546219E-2</v>
      </c>
      <c r="U6" s="265">
        <f t="shared" si="5"/>
        <v>2.0798319327731095E-2</v>
      </c>
      <c r="V6" s="255">
        <f>$G$18</f>
        <v>0.45</v>
      </c>
      <c r="W6" s="253">
        <f>$H$18</f>
        <v>0.45</v>
      </c>
      <c r="X6" s="288">
        <f t="shared" si="11"/>
        <v>1.8718487394957985E-2</v>
      </c>
      <c r="Y6" s="289">
        <f t="shared" si="11"/>
        <v>9.3592436974789927E-3</v>
      </c>
      <c r="Z6" s="236"/>
      <c r="AA6" s="281">
        <f t="shared" si="6"/>
        <v>0</v>
      </c>
      <c r="AB6" s="282">
        <f t="shared" si="7"/>
        <v>1</v>
      </c>
      <c r="AC6" s="282">
        <f>AA6*PRODUCT(AB3:AB5)*PRODUCT(AB7:AB17)</f>
        <v>0</v>
      </c>
      <c r="AD6" s="282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0</v>
      </c>
      <c r="AE6" s="220"/>
      <c r="AF6" s="234"/>
      <c r="AG6" s="283">
        <f t="shared" si="12"/>
        <v>9.3592436974789927E-3</v>
      </c>
      <c r="AH6" s="284">
        <f t="shared" si="8"/>
        <v>0.99064075630252102</v>
      </c>
      <c r="AI6" s="284">
        <f>AG6*PRODUCT(AH3:AH5)*PRODUCT(AH7:AH17)</f>
        <v>6.6354318337874573E-3</v>
      </c>
      <c r="AJ6" s="284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2.1552758782630924E-3</v>
      </c>
      <c r="AK6" s="220"/>
      <c r="AL6" s="237"/>
      <c r="AM6" s="220"/>
      <c r="AN6" s="225"/>
      <c r="AO6" s="239"/>
      <c r="AP6" s="220"/>
      <c r="AQ6" s="220"/>
      <c r="AR6" s="220"/>
      <c r="AS6" s="220"/>
      <c r="AT6" s="220"/>
      <c r="AU6" s="220"/>
      <c r="AV6" s="220"/>
      <c r="AW6" s="220"/>
      <c r="AX6" s="220"/>
      <c r="AY6" s="220"/>
      <c r="AZ6" s="220"/>
      <c r="BI6" s="31">
        <v>0</v>
      </c>
      <c r="BJ6" s="31">
        <v>3</v>
      </c>
      <c r="BK6" s="107">
        <f t="shared" si="9"/>
        <v>1.7253914019068572E-2</v>
      </c>
      <c r="BM6" s="31">
        <f>BI14+1</f>
        <v>2</v>
      </c>
      <c r="BN6" s="31">
        <v>2</v>
      </c>
      <c r="BO6" s="107">
        <f>$H$27*H41</f>
        <v>8.3285381565681313E-2</v>
      </c>
      <c r="BQ6" s="31">
        <f>BM5+1</f>
        <v>2</v>
      </c>
      <c r="BR6" s="31">
        <v>1</v>
      </c>
      <c r="BS6" s="107">
        <f>$H$27*H40</f>
        <v>8.9766759254599093E-2</v>
      </c>
    </row>
    <row r="7" spans="1:71" ht="15.75" x14ac:dyDescent="0.25">
      <c r="A7" s="5" t="s">
        <v>40</v>
      </c>
      <c r="B7" s="269">
        <v>20</v>
      </c>
      <c r="C7" s="270">
        <v>12.75</v>
      </c>
      <c r="E7" s="247"/>
      <c r="F7" s="247"/>
      <c r="G7" s="247"/>
      <c r="H7" s="247"/>
      <c r="I7" s="247"/>
      <c r="J7" s="245"/>
      <c r="K7" s="246">
        <v>9</v>
      </c>
      <c r="L7" s="246">
        <v>8</v>
      </c>
      <c r="M7" s="259">
        <v>0.02</v>
      </c>
      <c r="N7" s="259">
        <f t="shared" si="10"/>
        <v>0.02</v>
      </c>
      <c r="O7" s="246" t="s">
        <v>181</v>
      </c>
      <c r="P7" s="249">
        <f>COUNTIF(E9:I9,"IMP")+COUNTIF(F10:H10,"IMP")</f>
        <v>0</v>
      </c>
      <c r="Q7" s="251">
        <f>COUNTIF(E4:I4,"IMP")+COUNTIF(F5:H5,"IMP")</f>
        <v>2</v>
      </c>
      <c r="R7" s="258">
        <f t="shared" si="2"/>
        <v>0.02</v>
      </c>
      <c r="S7" s="258">
        <f t="shared" si="3"/>
        <v>2.4033613445378153E-2</v>
      </c>
      <c r="T7" s="263">
        <f t="shared" si="4"/>
        <v>0</v>
      </c>
      <c r="U7" s="265">
        <f t="shared" si="5"/>
        <v>6.0084033613445383E-3</v>
      </c>
      <c r="V7" s="255">
        <f>$G$18</f>
        <v>0.45</v>
      </c>
      <c r="W7" s="253">
        <f>$H$18</f>
        <v>0.45</v>
      </c>
      <c r="X7" s="288">
        <f t="shared" si="11"/>
        <v>0</v>
      </c>
      <c r="Y7" s="289">
        <f t="shared" si="11"/>
        <v>2.7037815126050423E-3</v>
      </c>
      <c r="Z7" s="236"/>
      <c r="AA7" s="281">
        <f t="shared" si="6"/>
        <v>8.5619747899159659E-2</v>
      </c>
      <c r="AB7" s="282">
        <f t="shared" si="7"/>
        <v>0.9143802521008404</v>
      </c>
      <c r="AC7" s="282">
        <f>AA7*PRODUCT(AB3:AB6)*PRODUCT(AB8:AB17)</f>
        <v>6.218085033069333E-2</v>
      </c>
      <c r="AD7" s="282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1.9614591811368411E-2</v>
      </c>
      <c r="AE7" s="220"/>
      <c r="AF7" s="234"/>
      <c r="AG7" s="283">
        <f t="shared" si="12"/>
        <v>2.7037815126050423E-3</v>
      </c>
      <c r="AH7" s="284">
        <f t="shared" si="8"/>
        <v>0.99729621848739491</v>
      </c>
      <c r="AI7" s="284">
        <f>AG7*PRODUCT(AH3:AH6)*PRODUCT(AH8:AH17)</f>
        <v>1.9041100694442044E-3</v>
      </c>
      <c r="AJ7" s="284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6.1331783847553038E-4</v>
      </c>
      <c r="AK7" s="220"/>
      <c r="AL7" s="237"/>
      <c r="AM7" s="220"/>
      <c r="AN7" s="225"/>
      <c r="AO7" s="239"/>
      <c r="AP7" s="220"/>
      <c r="AQ7" s="220"/>
      <c r="AR7" s="220"/>
      <c r="AS7" s="220"/>
      <c r="AT7" s="220"/>
      <c r="AU7" s="220"/>
      <c r="AV7" s="220"/>
      <c r="AW7" s="220"/>
      <c r="AX7" s="220"/>
      <c r="AY7" s="220"/>
      <c r="AZ7" s="220"/>
      <c r="BI7" s="31">
        <v>0</v>
      </c>
      <c r="BJ7" s="31">
        <v>4</v>
      </c>
      <c r="BK7" s="107">
        <f t="shared" si="9"/>
        <v>6.7643445465224526E-3</v>
      </c>
      <c r="BM7" s="31">
        <f>BI23+1</f>
        <v>3</v>
      </c>
      <c r="BN7" s="31">
        <v>3</v>
      </c>
      <c r="BO7" s="107">
        <f>$H$28*H42</f>
        <v>3.3118671305069548E-2</v>
      </c>
      <c r="BQ7" s="31">
        <f>BQ5+1</f>
        <v>3</v>
      </c>
      <c r="BR7" s="31">
        <v>0</v>
      </c>
      <c r="BS7" s="107">
        <f>$H$28*H39</f>
        <v>3.1259989624866452E-2</v>
      </c>
    </row>
    <row r="8" spans="1:71" ht="15.75" x14ac:dyDescent="0.25">
      <c r="A8" s="5" t="s">
        <v>44</v>
      </c>
      <c r="B8" s="269">
        <v>18.25</v>
      </c>
      <c r="C8" s="270">
        <v>13</v>
      </c>
      <c r="E8" s="250"/>
      <c r="F8" s="251"/>
      <c r="G8" s="280" t="s">
        <v>163</v>
      </c>
      <c r="H8" s="250"/>
      <c r="I8" s="250"/>
      <c r="J8" s="245"/>
      <c r="K8" s="246">
        <v>15</v>
      </c>
      <c r="L8" s="246">
        <v>8</v>
      </c>
      <c r="M8" s="259">
        <v>0.5</v>
      </c>
      <c r="N8" s="259">
        <f t="shared" si="10"/>
        <v>0.5</v>
      </c>
      <c r="O8" s="246" t="s">
        <v>182</v>
      </c>
      <c r="P8" s="249">
        <f>COUNTIF(E5:I6,"RAP")</f>
        <v>4</v>
      </c>
      <c r="Q8" s="251">
        <f>COUNTIF(E10:I11,"RAP")</f>
        <v>4</v>
      </c>
      <c r="R8" s="258">
        <f t="shared" si="2"/>
        <v>0.5</v>
      </c>
      <c r="S8" s="258">
        <f t="shared" si="3"/>
        <v>0.60084033613445376</v>
      </c>
      <c r="T8" s="263">
        <f t="shared" si="4"/>
        <v>0.15021008403361344</v>
      </c>
      <c r="U8" s="265">
        <f t="shared" si="5"/>
        <v>0.15021008403361344</v>
      </c>
      <c r="V8" s="255">
        <f>$G$17</f>
        <v>0.56999999999999995</v>
      </c>
      <c r="W8" s="253">
        <f>$H$17</f>
        <v>0.56999999999999995</v>
      </c>
      <c r="X8" s="288">
        <f t="shared" si="11"/>
        <v>8.5619747899159659E-2</v>
      </c>
      <c r="Y8" s="289">
        <f t="shared" si="11"/>
        <v>8.5619747899159659E-2</v>
      </c>
      <c r="Z8" s="236"/>
      <c r="AA8" s="281">
        <f t="shared" si="6"/>
        <v>8.5619747899159659E-2</v>
      </c>
      <c r="AB8" s="282">
        <f t="shared" si="7"/>
        <v>0.9143802521008404</v>
      </c>
      <c r="AC8" s="282">
        <f>AA8*PRODUCT(AB3:AB7)*PRODUCT(AB9:AB17)</f>
        <v>6.218085033069333E-2</v>
      </c>
      <c r="AD8" s="282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1.379216868134416E-2</v>
      </c>
      <c r="AE8" s="220"/>
      <c r="AF8" s="234"/>
      <c r="AG8" s="283">
        <f t="shared" si="12"/>
        <v>8.5619747899159659E-2</v>
      </c>
      <c r="AH8" s="284">
        <f t="shared" si="8"/>
        <v>0.9143802521008404</v>
      </c>
      <c r="AI8" s="284">
        <f>AG8*PRODUCT(AH3:AH7)*PRODUCT(AH9:AH17)</f>
        <v>6.5764532100790959E-2</v>
      </c>
      <c r="AJ8" s="284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1.5024905385119532E-2</v>
      </c>
      <c r="AK8" s="220"/>
      <c r="AL8" s="237"/>
      <c r="AM8" s="220"/>
      <c r="AN8" s="225"/>
      <c r="AO8" s="239"/>
      <c r="AP8" s="220"/>
      <c r="AQ8" s="220"/>
      <c r="AR8" s="220"/>
      <c r="AS8" s="220"/>
      <c r="AT8" s="220"/>
      <c r="AU8" s="220"/>
      <c r="AV8" s="220"/>
      <c r="AW8" s="220"/>
      <c r="AX8" s="220"/>
      <c r="AY8" s="220"/>
      <c r="AZ8" s="220"/>
      <c r="BI8" s="31">
        <v>0</v>
      </c>
      <c r="BJ8" s="31">
        <v>5</v>
      </c>
      <c r="BK8" s="107">
        <f t="shared" si="9"/>
        <v>1.9289819315405109E-3</v>
      </c>
      <c r="BM8" s="31">
        <f>BI31+1</f>
        <v>4</v>
      </c>
      <c r="BN8" s="31">
        <v>4</v>
      </c>
      <c r="BO8" s="107">
        <f>$H$29*H43</f>
        <v>6.2591322968419691E-3</v>
      </c>
      <c r="BQ8" s="31">
        <f>BQ6+1</f>
        <v>3</v>
      </c>
      <c r="BR8" s="31">
        <v>1</v>
      </c>
      <c r="BS8" s="107">
        <f>$H$28*H40</f>
        <v>6.2581700214265373E-2</v>
      </c>
    </row>
    <row r="9" spans="1:71" ht="15.75" x14ac:dyDescent="0.25">
      <c r="A9" s="5" t="s">
        <v>47</v>
      </c>
      <c r="B9" s="269">
        <v>19.5</v>
      </c>
      <c r="C9" s="270">
        <v>12.75</v>
      </c>
      <c r="E9" s="280" t="s">
        <v>144</v>
      </c>
      <c r="F9" s="280" t="s">
        <v>163</v>
      </c>
      <c r="G9" s="280" t="s">
        <v>163</v>
      </c>
      <c r="H9" s="280" t="s">
        <v>163</v>
      </c>
      <c r="I9" s="280" t="s">
        <v>2</v>
      </c>
      <c r="J9" s="245"/>
      <c r="K9" s="246">
        <v>16</v>
      </c>
      <c r="L9" s="246">
        <v>8</v>
      </c>
      <c r="M9" s="259">
        <v>0.5</v>
      </c>
      <c r="N9" s="259">
        <f t="shared" si="10"/>
        <v>0.5</v>
      </c>
      <c r="O9" s="246" t="s">
        <v>183</v>
      </c>
      <c r="P9" s="249">
        <f>COUNTIF(E5:I6,"RAP")</f>
        <v>4</v>
      </c>
      <c r="Q9" s="251">
        <f>COUNTIF(E10:I11,"RAP")</f>
        <v>4</v>
      </c>
      <c r="R9" s="258">
        <f t="shared" si="2"/>
        <v>0.5</v>
      </c>
      <c r="S9" s="258">
        <f t="shared" si="3"/>
        <v>0.60084033613445376</v>
      </c>
      <c r="T9" s="263">
        <f t="shared" si="4"/>
        <v>0.15021008403361344</v>
      </c>
      <c r="U9" s="265">
        <f t="shared" si="5"/>
        <v>0.15021008403361344</v>
      </c>
      <c r="V9" s="255">
        <f>$G$17</f>
        <v>0.56999999999999995</v>
      </c>
      <c r="W9" s="253">
        <f>$H$17</f>
        <v>0.56999999999999995</v>
      </c>
      <c r="X9" s="288">
        <f t="shared" si="11"/>
        <v>8.5619747899159659E-2</v>
      </c>
      <c r="Y9" s="289">
        <f t="shared" si="11"/>
        <v>8.5619747899159659E-2</v>
      </c>
      <c r="Z9" s="236"/>
      <c r="AA9" s="281">
        <f t="shared" si="6"/>
        <v>2.4830646544332018E-2</v>
      </c>
      <c r="AB9" s="282">
        <f t="shared" si="7"/>
        <v>0.97516935345566802</v>
      </c>
      <c r="AC9" s="282">
        <f>AA9*PRODUCT(AB3:AB8)*PRODUCT(AB10:AB17)</f>
        <v>1.6908984797574897E-2</v>
      </c>
      <c r="AD9" s="282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3.3199849433060745E-3</v>
      </c>
      <c r="AE9" s="220"/>
      <c r="AF9" s="234"/>
      <c r="AG9" s="283">
        <f t="shared" si="12"/>
        <v>8.5619747899159659E-2</v>
      </c>
      <c r="AH9" s="284">
        <f t="shared" si="8"/>
        <v>0.9143802521008404</v>
      </c>
      <c r="AI9" s="284">
        <f>AG9*PRODUCT(AH3:AH8)*PRODUCT(AH10:AH17)</f>
        <v>6.5764532100790959E-2</v>
      </c>
      <c r="AJ9" s="284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8.8669173421374557E-3</v>
      </c>
      <c r="AK9" s="220"/>
      <c r="AL9" s="237"/>
      <c r="AM9" s="220"/>
      <c r="AN9" s="225"/>
      <c r="AO9" s="239"/>
      <c r="AP9" s="220"/>
      <c r="AQ9" s="220"/>
      <c r="AR9" s="220"/>
      <c r="AS9" s="220"/>
      <c r="AT9" s="220"/>
      <c r="AU9" s="220"/>
      <c r="AV9" s="220"/>
      <c r="AW9" s="220"/>
      <c r="AX9" s="220"/>
      <c r="AY9" s="220"/>
      <c r="AZ9" s="220"/>
      <c r="BI9" s="31">
        <v>0</v>
      </c>
      <c r="BJ9" s="31">
        <v>6</v>
      </c>
      <c r="BK9" s="107">
        <f t="shared" si="9"/>
        <v>4.1250026471810621E-4</v>
      </c>
      <c r="BM9" s="31">
        <f>BI38+1</f>
        <v>5</v>
      </c>
      <c r="BN9" s="31">
        <v>5</v>
      </c>
      <c r="BO9" s="107">
        <f>$H$30*H44</f>
        <v>6.3208332692169195E-4</v>
      </c>
      <c r="BQ9" s="31">
        <f>BM6+1</f>
        <v>3</v>
      </c>
      <c r="BR9" s="31">
        <v>2</v>
      </c>
      <c r="BS9" s="107">
        <f>$H$28*H41</f>
        <v>5.806314970769242E-2</v>
      </c>
    </row>
    <row r="10" spans="1:71" ht="15.75" x14ac:dyDescent="0.25">
      <c r="A10" s="6" t="s">
        <v>50</v>
      </c>
      <c r="B10" s="269">
        <v>15</v>
      </c>
      <c r="C10" s="270">
        <v>10.25</v>
      </c>
      <c r="E10" s="280" t="s">
        <v>1</v>
      </c>
      <c r="F10" s="280" t="s">
        <v>163</v>
      </c>
      <c r="G10" s="280" t="s">
        <v>1</v>
      </c>
      <c r="H10" s="280" t="s">
        <v>6</v>
      </c>
      <c r="I10" s="280" t="s">
        <v>1</v>
      </c>
      <c r="J10" s="245"/>
      <c r="K10" s="246">
        <v>18</v>
      </c>
      <c r="L10" s="246" t="s">
        <v>184</v>
      </c>
      <c r="M10" s="259">
        <v>0.15</v>
      </c>
      <c r="N10" s="259">
        <f t="shared" si="10"/>
        <v>0.15</v>
      </c>
      <c r="O10" s="246" t="s">
        <v>185</v>
      </c>
      <c r="P10" s="249">
        <v>1</v>
      </c>
      <c r="Q10" s="251">
        <v>1</v>
      </c>
      <c r="R10" s="258">
        <f t="shared" si="2"/>
        <v>0.15</v>
      </c>
      <c r="S10" s="258">
        <f t="shared" si="3"/>
        <v>0.18025210084033613</v>
      </c>
      <c r="T10" s="263">
        <f>S10*G13</f>
        <v>5.5179214542960042E-2</v>
      </c>
      <c r="U10" s="265">
        <f>S10*G14</f>
        <v>0.12507288629737609</v>
      </c>
      <c r="V10" s="255">
        <f>$G$18</f>
        <v>0.45</v>
      </c>
      <c r="W10" s="253">
        <f>$H$18</f>
        <v>0.45</v>
      </c>
      <c r="X10" s="288">
        <f t="shared" si="11"/>
        <v>2.4830646544332018E-2</v>
      </c>
      <c r="Y10" s="289">
        <f t="shared" si="11"/>
        <v>5.6282798833819245E-2</v>
      </c>
      <c r="Z10" s="236"/>
      <c r="AA10" s="281">
        <f t="shared" si="6"/>
        <v>1.269121934488081E-2</v>
      </c>
      <c r="AB10" s="282">
        <f t="shared" si="7"/>
        <v>0.98730878065511918</v>
      </c>
      <c r="AC10" s="282">
        <f>AA10*PRODUCT(AB3:AB9)*PRODUCT(AB11:AB17)</f>
        <v>8.5361079915565498E-3</v>
      </c>
      <c r="AD10" s="282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1.5662910606442561E-3</v>
      </c>
      <c r="AE10" s="220"/>
      <c r="AF10" s="234"/>
      <c r="AG10" s="283">
        <f t="shared" si="12"/>
        <v>5.6282798833819245E-2</v>
      </c>
      <c r="AH10" s="284">
        <f t="shared" si="8"/>
        <v>0.94371720116618074</v>
      </c>
      <c r="AI10" s="284">
        <f>AG10*PRODUCT(AH3:AH9)*PRODUCT(AH11:AH17)</f>
        <v>4.1886921487638042E-2</v>
      </c>
      <c r="AJ10" s="284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3.149426658160071E-3</v>
      </c>
      <c r="AK10" s="220"/>
      <c r="AL10" s="237"/>
      <c r="AM10" s="220"/>
      <c r="AN10" s="225"/>
      <c r="AO10" s="239"/>
      <c r="AP10" s="220"/>
      <c r="AQ10" s="220"/>
      <c r="AR10" s="220"/>
      <c r="AS10" s="220"/>
      <c r="AT10" s="220"/>
      <c r="AU10" s="220"/>
      <c r="AV10" s="220"/>
      <c r="AW10" s="220"/>
      <c r="AX10" s="220"/>
      <c r="AY10" s="220"/>
      <c r="AZ10" s="220"/>
      <c r="BI10" s="31">
        <v>0</v>
      </c>
      <c r="BJ10" s="31">
        <v>7</v>
      </c>
      <c r="BK10" s="107">
        <f t="shared" si="9"/>
        <v>6.7092042393440213E-5</v>
      </c>
      <c r="BM10" s="31">
        <f>BI44+1</f>
        <v>6</v>
      </c>
      <c r="BN10" s="31">
        <v>6</v>
      </c>
      <c r="BO10" s="107">
        <f>$H$31*H45</f>
        <v>3.6447368895334058E-5</v>
      </c>
      <c r="BQ10" s="31">
        <f>BQ7+1</f>
        <v>4</v>
      </c>
      <c r="BR10" s="31">
        <v>0</v>
      </c>
      <c r="BS10" s="107">
        <f>$H$29*H39</f>
        <v>1.5069261339429459E-2</v>
      </c>
    </row>
    <row r="11" spans="1:71" ht="15.75" x14ac:dyDescent="0.25">
      <c r="A11" s="6" t="s">
        <v>53</v>
      </c>
      <c r="B11" s="269">
        <v>6.5</v>
      </c>
      <c r="C11" s="270">
        <v>9.5</v>
      </c>
      <c r="E11" s="250"/>
      <c r="F11" s="280" t="s">
        <v>1</v>
      </c>
      <c r="G11" s="280" t="s">
        <v>163</v>
      </c>
      <c r="H11" s="280" t="s">
        <v>37</v>
      </c>
      <c r="I11" s="250"/>
      <c r="J11" s="245"/>
      <c r="K11" s="246">
        <v>19</v>
      </c>
      <c r="L11" s="246" t="s">
        <v>184</v>
      </c>
      <c r="M11" s="259">
        <v>0.23</v>
      </c>
      <c r="N11" s="259">
        <f t="shared" si="10"/>
        <v>0.23</v>
      </c>
      <c r="O11" s="246" t="s">
        <v>186</v>
      </c>
      <c r="P11" s="249">
        <f>COUNTIF(E4:I6,"CAB")</f>
        <v>1</v>
      </c>
      <c r="Q11" s="251">
        <f>COUNTIF(E9:I11,"CAB")</f>
        <v>1</v>
      </c>
      <c r="R11" s="258">
        <f t="shared" si="2"/>
        <v>0.23</v>
      </c>
      <c r="S11" s="258">
        <f t="shared" si="3"/>
        <v>0.27638655462184875</v>
      </c>
      <c r="T11" s="263">
        <f>IF(P11&gt;0,S11*G13,0)</f>
        <v>8.4608128965872068E-2</v>
      </c>
      <c r="U11" s="265">
        <f>IF(Q11&gt;0,S11*G14,0)</f>
        <v>0.19177842565597669</v>
      </c>
      <c r="V11" s="255">
        <f>IF(P11-Q11&gt;2,0.9,IF(P11-Q11&gt;1,0.75,IF(P11-Q11&gt;0,0.5,0.15)))</f>
        <v>0.15</v>
      </c>
      <c r="W11" s="253">
        <f>IF(Q11-P11&gt;2,0.9,IF(Q11-P11&gt;1,0.75,IF(Q11-P11&gt;0,0.5,0.15)))</f>
        <v>0.15</v>
      </c>
      <c r="X11" s="288">
        <f t="shared" si="11"/>
        <v>1.269121934488081E-2</v>
      </c>
      <c r="Y11" s="289">
        <f t="shared" si="11"/>
        <v>2.8766763848396503E-2</v>
      </c>
      <c r="Z11" s="236"/>
      <c r="AA11" s="281">
        <f t="shared" si="6"/>
        <v>0</v>
      </c>
      <c r="AB11" s="282">
        <f t="shared" si="7"/>
        <v>1</v>
      </c>
      <c r="AC11" s="282">
        <f>AA11*PRODUCT(AB3:AB10)*PRODUCT(AB12:AB17)</f>
        <v>0</v>
      </c>
      <c r="AD11" s="282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0</v>
      </c>
      <c r="AE11" s="220"/>
      <c r="AF11" s="234"/>
      <c r="AG11" s="283">
        <f t="shared" si="12"/>
        <v>2.8766763848396503E-2</v>
      </c>
      <c r="AH11" s="284">
        <f t="shared" si="8"/>
        <v>0.97123323615160351</v>
      </c>
      <c r="AI11" s="284">
        <f>AG11*PRODUCT(AH3:AH10)*PRODUCT(AH12:AH17)</f>
        <v>2.0802335681854321E-2</v>
      </c>
      <c r="AJ11" s="284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9.4796206859144405E-4</v>
      </c>
      <c r="AK11" s="220"/>
      <c r="AL11" s="237"/>
      <c r="AM11" s="220"/>
      <c r="AN11" s="225"/>
      <c r="AO11" s="239"/>
      <c r="AP11" s="220"/>
      <c r="AQ11" s="220"/>
      <c r="AR11" s="220"/>
      <c r="AS11" s="220"/>
      <c r="AT11" s="220"/>
      <c r="AU11" s="220"/>
      <c r="AV11" s="220"/>
      <c r="AW11" s="220"/>
      <c r="AX11" s="220"/>
      <c r="AY11" s="220"/>
      <c r="AZ11" s="220"/>
      <c r="BI11" s="31">
        <v>0</v>
      </c>
      <c r="BJ11" s="31">
        <v>8</v>
      </c>
      <c r="BK11" s="107">
        <f t="shared" si="9"/>
        <v>8.3099792411587039E-6</v>
      </c>
      <c r="BM11" s="31">
        <f>BI50+1</f>
        <v>7</v>
      </c>
      <c r="BN11" s="31">
        <v>7</v>
      </c>
      <c r="BO11" s="107">
        <f>$H$32*H46</f>
        <v>1.2437932540205507E-6</v>
      </c>
      <c r="BQ11" s="31">
        <f>BQ8+1</f>
        <v>4</v>
      </c>
      <c r="BR11" s="31">
        <v>1</v>
      </c>
      <c r="BS11" s="107">
        <f>$H$29*H40</f>
        <v>3.0168276026695012E-2</v>
      </c>
    </row>
    <row r="12" spans="1:71" ht="15.75" x14ac:dyDescent="0.25">
      <c r="A12" s="6" t="s">
        <v>57</v>
      </c>
      <c r="B12" s="269">
        <v>15</v>
      </c>
      <c r="C12" s="270">
        <v>9.25</v>
      </c>
      <c r="E12" s="247"/>
      <c r="F12" s="247"/>
      <c r="G12" s="247"/>
      <c r="H12" s="247"/>
      <c r="I12" s="247"/>
      <c r="J12" s="245"/>
      <c r="K12" s="246">
        <v>25</v>
      </c>
      <c r="L12" s="246">
        <v>5</v>
      </c>
      <c r="M12" s="259">
        <v>2.5000000000000001E-2</v>
      </c>
      <c r="N12" s="259">
        <f t="shared" si="10"/>
        <v>2.5000000000000001E-2</v>
      </c>
      <c r="O12" s="246" t="s">
        <v>42</v>
      </c>
      <c r="P12" s="249">
        <f>COUNTIF(F6:H6,"IMP")+COUNTIF(E5,"IMP")+COUNTIF(I5,"IMP")</f>
        <v>0</v>
      </c>
      <c r="Q12" s="251">
        <f>COUNTIF(F11:H11,"IMP")+COUNTIF(E10,"IMP")+COUNTIF(I10,"IMP")</f>
        <v>1</v>
      </c>
      <c r="R12" s="258">
        <f t="shared" si="2"/>
        <v>2.5000000000000001E-2</v>
      </c>
      <c r="S12" s="258">
        <f t="shared" si="3"/>
        <v>3.004201680672269E-2</v>
      </c>
      <c r="T12" s="263">
        <f>IF(S12=0,0,IF(Q12=0,S12*P12/L12,S12*P12/(L12*2)))</f>
        <v>0</v>
      </c>
      <c r="U12" s="265">
        <f>IF(S12=0,0,IF(P12=0,S12*Q12/L12,S12*Q12/(L12*2)))</f>
        <v>6.0084033613445383E-3</v>
      </c>
      <c r="V12" s="255">
        <f>$G$18</f>
        <v>0.45</v>
      </c>
      <c r="W12" s="253">
        <f>$H$18</f>
        <v>0.45</v>
      </c>
      <c r="X12" s="288">
        <f t="shared" si="11"/>
        <v>0</v>
      </c>
      <c r="Y12" s="289">
        <f t="shared" si="11"/>
        <v>2.7037815126050423E-3</v>
      </c>
      <c r="Z12" s="236"/>
      <c r="AA12" s="281">
        <f t="shared" si="6"/>
        <v>0.12329243697478989</v>
      </c>
      <c r="AB12" s="282">
        <f t="shared" si="7"/>
        <v>0.87670756302521013</v>
      </c>
      <c r="AC12" s="282">
        <f>AA12*PRODUCT(AB3:AB11)*PRODUCT(AB13:AB17)</f>
        <v>9.3388034230301495E-2</v>
      </c>
      <c r="AD12" s="282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4.0025056674271578E-3</v>
      </c>
      <c r="AE12" s="220"/>
      <c r="AF12" s="234"/>
      <c r="AG12" s="283">
        <f t="shared" si="12"/>
        <v>2.7037815126050423E-3</v>
      </c>
      <c r="AH12" s="284">
        <f t="shared" si="8"/>
        <v>0.99729621848739491</v>
      </c>
      <c r="AI12" s="284">
        <f>AG12*PRODUCT(AH3:AH11)*PRODUCT(AH13:AH17)</f>
        <v>1.9041100694442042E-3</v>
      </c>
      <c r="AJ12" s="284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8.1608006926894939E-5</v>
      </c>
      <c r="AK12" s="220"/>
      <c r="AL12" s="237"/>
      <c r="AM12" s="220"/>
      <c r="AN12" s="225"/>
      <c r="AO12" s="239"/>
      <c r="AP12" s="220"/>
      <c r="AQ12" s="220"/>
      <c r="AR12" s="220"/>
      <c r="AS12" s="220"/>
      <c r="AT12" s="220"/>
      <c r="AU12" s="220"/>
      <c r="AV12" s="220"/>
      <c r="AW12" s="220"/>
      <c r="AX12" s="220"/>
      <c r="AY12" s="220"/>
      <c r="AZ12" s="220"/>
      <c r="BI12" s="31">
        <v>0</v>
      </c>
      <c r="BJ12" s="31">
        <v>9</v>
      </c>
      <c r="BK12" s="107">
        <f t="shared" si="9"/>
        <v>7.7453308586880594E-7</v>
      </c>
      <c r="BM12" s="31">
        <f>BI54+1</f>
        <v>8</v>
      </c>
      <c r="BN12" s="31">
        <v>8</v>
      </c>
      <c r="BO12" s="107">
        <f>$H$33*H47</f>
        <v>2.5433210925005828E-8</v>
      </c>
      <c r="BQ12" s="31">
        <f>BQ9+1</f>
        <v>4</v>
      </c>
      <c r="BR12" s="31">
        <v>2</v>
      </c>
      <c r="BS12" s="107">
        <f>$H$29*H41</f>
        <v>2.7990053344087513E-2</v>
      </c>
    </row>
    <row r="13" spans="1:71" ht="15.75" x14ac:dyDescent="0.25">
      <c r="A13" s="7" t="s">
        <v>60</v>
      </c>
      <c r="B13" s="269">
        <v>12.5</v>
      </c>
      <c r="C13" s="270">
        <v>8</v>
      </c>
      <c r="E13" s="247"/>
      <c r="F13" s="247" t="s">
        <v>164</v>
      </c>
      <c r="G13" s="254">
        <f>B22</f>
        <v>0.30612244897959184</v>
      </c>
      <c r="H13" s="247"/>
      <c r="I13" s="247"/>
      <c r="J13" s="245"/>
      <c r="K13" s="246">
        <v>37</v>
      </c>
      <c r="L13" s="246">
        <v>2</v>
      </c>
      <c r="M13" s="259">
        <v>0.18</v>
      </c>
      <c r="N13" s="259">
        <f t="shared" si="10"/>
        <v>0.18</v>
      </c>
      <c r="O13" s="246" t="s">
        <v>187</v>
      </c>
      <c r="P13" s="249">
        <f>COUNTIF(E5:I6,"CAB")</f>
        <v>1</v>
      </c>
      <c r="Q13" s="251">
        <f>COUNTIF(E10:I11,"CAB")</f>
        <v>0</v>
      </c>
      <c r="R13" s="258">
        <f t="shared" si="2"/>
        <v>0.18</v>
      </c>
      <c r="S13" s="258">
        <f t="shared" si="3"/>
        <v>0.21630252100840333</v>
      </c>
      <c r="T13" s="263">
        <f>IF(P13+Q13=0,0,S13*P13/(Q13+P13))</f>
        <v>0.21630252100840333</v>
      </c>
      <c r="U13" s="265">
        <f>IF(P13+Q13=0,0,S13*Q13/(Q13+P13))</f>
        <v>0</v>
      </c>
      <c r="V13" s="255">
        <f>$G$17</f>
        <v>0.56999999999999995</v>
      </c>
      <c r="W13" s="253">
        <f>$H$17</f>
        <v>0.56999999999999995</v>
      </c>
      <c r="X13" s="288">
        <f t="shared" si="11"/>
        <v>0.12329243697478989</v>
      </c>
      <c r="Y13" s="289">
        <f t="shared" si="11"/>
        <v>0</v>
      </c>
      <c r="Z13" s="236"/>
      <c r="AA13" s="281">
        <f t="shared" si="6"/>
        <v>4.1097478991596638E-2</v>
      </c>
      <c r="AB13" s="282">
        <f t="shared" si="7"/>
        <v>0.95890252100840334</v>
      </c>
      <c r="AC13" s="282">
        <f>AA13*PRODUCT(AB3:AB12)*PRODUCT(AB14:AB17)</f>
        <v>2.8461007631815735E-2</v>
      </c>
      <c r="AD13" s="282">
        <f>AA13*AA14*PRODUCT(AB3:AB12)*PRODUCT(AB15:AB17)+AA13*AA15*PRODUCT(AB3:AB12)*AB14*PRODUCT(AB16:AB17)+AA13*AA16*PRODUCT(AB3:AB12)*AB14*AB15*AB17+AA13*AA17*PRODUCT(AB3:AB12)*AB14*AB15*AB16</f>
        <v>0</v>
      </c>
      <c r="AE13" s="220"/>
      <c r="AF13" s="234"/>
      <c r="AG13" s="283">
        <f t="shared" si="12"/>
        <v>0</v>
      </c>
      <c r="AH13" s="284">
        <f t="shared" si="8"/>
        <v>1</v>
      </c>
      <c r="AI13" s="284">
        <f>AG13*PRODUCT(AH3:AH12)*PRODUCT(AH14:AH17)</f>
        <v>0</v>
      </c>
      <c r="AJ13" s="284">
        <f>AG13*AG14*PRODUCT(AH3:AH12)*PRODUCT(AH15:AH17)+AG13*AG15*PRODUCT(AH3:AH12)*AH14*PRODUCT(AH16:AH17)+AG13*AG16*PRODUCT(AH3:AH12)*AH14*AH15*AH17+AG13*AG17*PRODUCT(AH3:AH12)*AH14*AH15*AH16</f>
        <v>0</v>
      </c>
      <c r="AK13" s="220"/>
      <c r="AL13" s="237"/>
      <c r="AM13" s="220"/>
      <c r="AN13" s="225"/>
      <c r="AO13" s="239"/>
      <c r="AP13" s="220"/>
      <c r="AQ13" s="220"/>
      <c r="AR13" s="220"/>
      <c r="AS13" s="220"/>
      <c r="AT13" s="220"/>
      <c r="AU13" s="220"/>
      <c r="AV13" s="220"/>
      <c r="AW13" s="220"/>
      <c r="AX13" s="220"/>
      <c r="AY13" s="220"/>
      <c r="AZ13" s="220"/>
      <c r="BI13" s="31">
        <v>0</v>
      </c>
      <c r="BJ13" s="31">
        <v>10</v>
      </c>
      <c r="BK13" s="107">
        <f t="shared" si="9"/>
        <v>5.2788470425444142E-8</v>
      </c>
      <c r="BM13" s="31">
        <f>BI57+1</f>
        <v>9</v>
      </c>
      <c r="BN13" s="31">
        <v>9</v>
      </c>
      <c r="BO13" s="107">
        <f>$H$34*H48</f>
        <v>3.0806936117148228E-10</v>
      </c>
      <c r="BQ13" s="31">
        <f>BM7+1</f>
        <v>4</v>
      </c>
      <c r="BR13" s="31">
        <v>3</v>
      </c>
      <c r="BS13" s="107">
        <f>$H$29*H42</f>
        <v>1.5965261636355657E-2</v>
      </c>
    </row>
    <row r="14" spans="1:71" ht="15.75" x14ac:dyDescent="0.25">
      <c r="A14" s="7" t="s">
        <v>63</v>
      </c>
      <c r="B14" s="269">
        <v>10.25</v>
      </c>
      <c r="C14" s="270">
        <v>5.75</v>
      </c>
      <c r="E14" s="247"/>
      <c r="F14" s="247" t="s">
        <v>165</v>
      </c>
      <c r="G14" s="252">
        <f>C22</f>
        <v>0.69387755102040816</v>
      </c>
      <c r="H14" s="247"/>
      <c r="I14" s="247"/>
      <c r="J14" s="245"/>
      <c r="K14" s="246">
        <v>38</v>
      </c>
      <c r="L14" s="246">
        <v>2</v>
      </c>
      <c r="M14" s="259">
        <v>0.12</v>
      </c>
      <c r="N14" s="259">
        <f t="shared" si="10"/>
        <v>0.12</v>
      </c>
      <c r="O14" s="246" t="s">
        <v>188</v>
      </c>
      <c r="P14" s="249">
        <f>COUNTA(E5,I5)</f>
        <v>2</v>
      </c>
      <c r="Q14" s="251">
        <f>COUNTA(E10,I10)</f>
        <v>2</v>
      </c>
      <c r="R14" s="258">
        <f t="shared" si="2"/>
        <v>0.12</v>
      </c>
      <c r="S14" s="258">
        <f t="shared" si="3"/>
        <v>0.14420168067226891</v>
      </c>
      <c r="T14" s="263">
        <f>S14*P14/(Q14+P14)</f>
        <v>7.2100840336134453E-2</v>
      </c>
      <c r="U14" s="265">
        <f>S14*Q14/(Q14+P14)</f>
        <v>7.2100840336134453E-2</v>
      </c>
      <c r="V14" s="255">
        <f>$G$17</f>
        <v>0.56999999999999995</v>
      </c>
      <c r="W14" s="253">
        <f>$H$17</f>
        <v>0.56999999999999995</v>
      </c>
      <c r="X14" s="288">
        <f t="shared" si="11"/>
        <v>4.1097478991596638E-2</v>
      </c>
      <c r="Y14" s="289">
        <f t="shared" si="11"/>
        <v>4.1097478991596638E-2</v>
      </c>
      <c r="Z14" s="236"/>
      <c r="AA14" s="281">
        <f t="shared" si="6"/>
        <v>0</v>
      </c>
      <c r="AB14" s="282">
        <f t="shared" si="7"/>
        <v>1</v>
      </c>
      <c r="AC14" s="282">
        <f>AA14*PRODUCT(AB3:AB13)*PRODUCT(AB15:AB17)</f>
        <v>0</v>
      </c>
      <c r="AD14" s="282">
        <f>AA14*AA15*PRODUCT(AB3:AB13)*PRODUCT(AB16:AB17)+AA14*AA16*PRODUCT(AB3:AB13)*AB15*AB17+AA14*AA17*PRODUCT(AB3:AB13)*AB15*AB16</f>
        <v>0</v>
      </c>
      <c r="AE14" s="220"/>
      <c r="AF14" s="234"/>
      <c r="AG14" s="283">
        <f t="shared" si="12"/>
        <v>4.1097478991596638E-2</v>
      </c>
      <c r="AH14" s="284">
        <f t="shared" si="8"/>
        <v>0.95890252100840334</v>
      </c>
      <c r="AI14" s="284">
        <f>AG14*PRODUCT(AH3:AH13)*PRODUCT(AH15:AH17)</f>
        <v>3.0101306753913808E-2</v>
      </c>
      <c r="AJ14" s="284">
        <f>AG14*AG15*PRODUCT(AH3:AH13)*PRODUCT(AH16:AH17)+AG14*AG16*PRODUCT(AH3:AH13)*AH15*AH17+AG14*AG17*PRODUCT(AH3:AH13)*AH15*AH16</f>
        <v>0</v>
      </c>
      <c r="AK14" s="220"/>
      <c r="AL14" s="237"/>
      <c r="AM14" s="220"/>
      <c r="AN14" s="225"/>
      <c r="AO14" s="239"/>
      <c r="AP14" s="220"/>
      <c r="AQ14" s="220"/>
      <c r="AR14" s="220"/>
      <c r="AS14" s="220"/>
      <c r="AT14" s="220"/>
      <c r="AU14" s="220"/>
      <c r="AV14" s="220"/>
      <c r="AW14" s="220"/>
      <c r="AX14" s="220"/>
      <c r="AY14" s="220"/>
      <c r="AZ14" s="220"/>
      <c r="BI14" s="31">
        <v>1</v>
      </c>
      <c r="BJ14" s="31">
        <v>2</v>
      </c>
      <c r="BK14" s="107">
        <f t="shared" ref="BK14:BK22" si="13">$H$26*H41</f>
        <v>7.3682358121002767E-2</v>
      </c>
      <c r="BM14" s="31">
        <f>BQ39+1</f>
        <v>10</v>
      </c>
      <c r="BN14" s="31">
        <v>10</v>
      </c>
      <c r="BO14" s="107">
        <f>$H$35*H49</f>
        <v>2.1165087312637209E-12</v>
      </c>
      <c r="BQ14" s="31">
        <f>BQ10+1</f>
        <v>5</v>
      </c>
      <c r="BR14" s="31">
        <v>0</v>
      </c>
      <c r="BS14" s="107">
        <f>$H$30*H39</f>
        <v>5.336416632491096E-3</v>
      </c>
    </row>
    <row r="15" spans="1:71" ht="15.75" x14ac:dyDescent="0.25">
      <c r="A15" s="184" t="s">
        <v>67</v>
      </c>
      <c r="B15" s="271">
        <v>5</v>
      </c>
      <c r="C15" s="272">
        <v>5</v>
      </c>
      <c r="E15" s="247"/>
      <c r="F15" s="247"/>
      <c r="G15" s="247"/>
      <c r="H15" s="247"/>
      <c r="I15" s="247"/>
      <c r="J15" s="245"/>
      <c r="K15" s="246">
        <v>39</v>
      </c>
      <c r="L15" s="246">
        <v>8</v>
      </c>
      <c r="M15" s="259">
        <v>0.6</v>
      </c>
      <c r="N15" s="259">
        <f t="shared" si="10"/>
        <v>0.6</v>
      </c>
      <c r="O15" s="246" t="s">
        <v>189</v>
      </c>
      <c r="P15" s="249">
        <f>IF(COUNTIF(E9:I9,"CAB")+COUNTIF(F10:H10,"CAB") &gt; 0, COUNTIF(E5:I6,"TEC"),0)</f>
        <v>0</v>
      </c>
      <c r="Q15" s="251">
        <f>IF(COUNTIF(E4:I4,"CAB")+COUNTIF(F5:H5,"CAB") &gt; 0, COUNTIF(E10:I11,"TEC"),0)</f>
        <v>0</v>
      </c>
      <c r="R15" s="258">
        <f t="shared" si="2"/>
        <v>0</v>
      </c>
      <c r="S15" s="258">
        <f t="shared" si="3"/>
        <v>0</v>
      </c>
      <c r="T15" s="263">
        <f>IF(S15=0,0,IF(Q15=0,S15*P15/L15,S15*P15/(L15*2)))</f>
        <v>0</v>
      </c>
      <c r="U15" s="265">
        <f>IF(S15=0,0,IF(P15=0,S15*Q15/L15,S15*Q15/(L15*2)))</f>
        <v>0</v>
      </c>
      <c r="V15" s="255">
        <f>$G$17</f>
        <v>0.56999999999999995</v>
      </c>
      <c r="W15" s="253">
        <f>$H$17</f>
        <v>0.56999999999999995</v>
      </c>
      <c r="X15" s="288">
        <f t="shared" si="11"/>
        <v>0</v>
      </c>
      <c r="Y15" s="289">
        <f t="shared" si="11"/>
        <v>0</v>
      </c>
      <c r="Z15" s="236"/>
      <c r="AA15" s="281">
        <f>X16</f>
        <v>0</v>
      </c>
      <c r="AB15" s="282">
        <f t="shared" si="7"/>
        <v>1</v>
      </c>
      <c r="AC15" s="282">
        <f>AA15*PRODUCT(AB3:AB14)*PRODUCT(AB16:AB17)</f>
        <v>0</v>
      </c>
      <c r="AD15" s="282">
        <f>AA15*AA16*PRODUCT(AB3:AB14)*AB17+AA15*AA17*PRODUCT(AB3:AB14)*AB16</f>
        <v>0</v>
      </c>
      <c r="AE15" s="220"/>
      <c r="AF15" s="234"/>
      <c r="AG15" s="283">
        <f t="shared" si="12"/>
        <v>0</v>
      </c>
      <c r="AH15" s="284">
        <f t="shared" si="8"/>
        <v>1</v>
      </c>
      <c r="AI15" s="284">
        <f>AG15*PRODUCT(AH3:AH14)*PRODUCT(AH16:AH17)</f>
        <v>0</v>
      </c>
      <c r="AJ15" s="284">
        <f>AG15*AG16*PRODUCT(AH3:AH14)*AH17+AG15*AG17*PRODUCT(AH3:AH14)*AH16</f>
        <v>0</v>
      </c>
      <c r="AK15" s="220"/>
      <c r="AL15" s="237"/>
      <c r="AM15" s="220"/>
      <c r="AN15" s="225"/>
      <c r="AO15" s="239"/>
      <c r="AP15" s="220"/>
      <c r="AQ15" s="220"/>
      <c r="AR15" s="220"/>
      <c r="AS15" s="220"/>
      <c r="AT15" s="220"/>
      <c r="AU15" s="220"/>
      <c r="AV15" s="220"/>
      <c r="AW15" s="220"/>
      <c r="AX15" s="220"/>
      <c r="AY15" s="220"/>
      <c r="AZ15" s="220"/>
      <c r="BI15" s="31">
        <v>1</v>
      </c>
      <c r="BJ15" s="31">
        <v>3</v>
      </c>
      <c r="BK15" s="107">
        <f t="shared" si="13"/>
        <v>4.2027720023404408E-2</v>
      </c>
      <c r="BQ15" s="31">
        <f>BQ11+1</f>
        <v>5</v>
      </c>
      <c r="BR15" s="31">
        <v>1</v>
      </c>
      <c r="BS15" s="107">
        <f>$H$30*H40</f>
        <v>1.068336969783636E-2</v>
      </c>
    </row>
    <row r="16" spans="1:71" x14ac:dyDescent="0.25">
      <c r="A16" s="184" t="s">
        <v>70</v>
      </c>
      <c r="B16" s="52">
        <v>12</v>
      </c>
      <c r="C16" s="54">
        <v>12</v>
      </c>
      <c r="E16" s="247"/>
      <c r="F16" s="247" t="s">
        <v>8</v>
      </c>
      <c r="G16" s="277">
        <v>0.7</v>
      </c>
      <c r="H16" s="278">
        <v>0.7</v>
      </c>
      <c r="I16" s="247"/>
      <c r="J16" s="245"/>
      <c r="K16" s="245"/>
      <c r="L16" s="245"/>
      <c r="M16" s="245"/>
      <c r="N16" s="245"/>
      <c r="O16" s="245"/>
      <c r="P16" s="247"/>
      <c r="Q16" s="247"/>
      <c r="V16" s="158"/>
      <c r="W16" s="158"/>
      <c r="X16" s="158"/>
      <c r="Y16" s="158"/>
      <c r="Z16" s="236"/>
      <c r="AA16" s="236"/>
      <c r="AB16" s="236"/>
      <c r="AC16" s="236"/>
      <c r="AD16" s="236"/>
      <c r="AE16" s="236"/>
      <c r="AF16" s="236"/>
      <c r="AG16" s="236"/>
      <c r="AH16" s="236"/>
      <c r="AI16" s="236"/>
      <c r="AJ16" s="236"/>
      <c r="AK16" s="236"/>
      <c r="AL16" s="237"/>
      <c r="AM16" s="220"/>
      <c r="AN16" s="225"/>
      <c r="AO16" s="239"/>
      <c r="AP16" s="220"/>
      <c r="AQ16" s="220"/>
      <c r="AR16" s="220"/>
      <c r="AS16" s="220"/>
      <c r="AT16" s="220"/>
      <c r="AU16" s="220"/>
      <c r="AV16" s="220"/>
      <c r="AW16" s="220"/>
      <c r="AX16" s="220"/>
      <c r="AY16" s="220"/>
      <c r="AZ16" s="220"/>
      <c r="BI16" s="31">
        <v>1</v>
      </c>
      <c r="BJ16" s="31">
        <v>4</v>
      </c>
      <c r="BK16" s="107">
        <f t="shared" si="13"/>
        <v>1.6476839888555042E-2</v>
      </c>
      <c r="BQ16" s="31">
        <f>BQ12+1</f>
        <v>5</v>
      </c>
      <c r="BR16" s="31">
        <v>2</v>
      </c>
      <c r="BS16" s="107">
        <f>$H$30*H41</f>
        <v>9.9120045001062293E-3</v>
      </c>
    </row>
    <row r="17" spans="1:71" x14ac:dyDescent="0.25">
      <c r="A17" s="183" t="s">
        <v>74</v>
      </c>
      <c r="B17" s="273" t="s">
        <v>145</v>
      </c>
      <c r="C17" s="274" t="s">
        <v>75</v>
      </c>
      <c r="E17" s="247"/>
      <c r="F17" s="247" t="s">
        <v>166</v>
      </c>
      <c r="G17" s="277">
        <v>0.56999999999999995</v>
      </c>
      <c r="H17" s="278">
        <v>0.56999999999999995</v>
      </c>
      <c r="I17" s="247"/>
      <c r="J17" s="245"/>
      <c r="K17" s="246"/>
      <c r="L17" s="246"/>
      <c r="M17" s="246"/>
      <c r="N17" s="246"/>
      <c r="O17" s="246"/>
      <c r="P17" s="246"/>
      <c r="Q17" s="247"/>
      <c r="V17" s="158"/>
      <c r="W17" s="158"/>
      <c r="X17" s="158"/>
      <c r="Y17" s="158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6"/>
      <c r="AL17" s="237"/>
      <c r="AM17" s="220"/>
      <c r="AN17" s="225"/>
      <c r="AO17" s="239"/>
      <c r="AP17" s="220"/>
      <c r="AQ17" s="220"/>
      <c r="AR17" s="220"/>
      <c r="AS17" s="220"/>
      <c r="AT17" s="220"/>
      <c r="AU17" s="220"/>
      <c r="AV17" s="220"/>
      <c r="AW17" s="220"/>
      <c r="AX17" s="220"/>
      <c r="AY17" s="220"/>
      <c r="AZ17" s="220"/>
      <c r="BI17" s="31">
        <v>1</v>
      </c>
      <c r="BJ17" s="31">
        <v>5</v>
      </c>
      <c r="BK17" s="107">
        <f t="shared" si="13"/>
        <v>4.6986853220314668E-3</v>
      </c>
      <c r="BQ17" s="31">
        <f>BQ13+1</f>
        <v>5</v>
      </c>
      <c r="BR17" s="31">
        <v>3</v>
      </c>
      <c r="BS17" s="107">
        <f>$H$30*H42</f>
        <v>5.6537135974540085E-3</v>
      </c>
    </row>
    <row r="18" spans="1:71" x14ac:dyDescent="0.25">
      <c r="A18" s="183" t="s">
        <v>78</v>
      </c>
      <c r="B18" s="273">
        <v>23</v>
      </c>
      <c r="C18" s="274">
        <v>20</v>
      </c>
      <c r="E18" s="247"/>
      <c r="F18" s="246" t="s">
        <v>3</v>
      </c>
      <c r="G18" s="277">
        <v>0.45</v>
      </c>
      <c r="H18" s="278">
        <v>0.45</v>
      </c>
      <c r="I18" s="247"/>
      <c r="J18" s="245"/>
      <c r="K18" s="246"/>
      <c r="L18" s="246"/>
      <c r="M18" s="246"/>
      <c r="N18" s="246"/>
      <c r="O18" s="246"/>
      <c r="P18" s="260"/>
      <c r="Q18" s="247"/>
      <c r="V18" s="158"/>
      <c r="W18" s="158"/>
      <c r="X18" s="158"/>
      <c r="Y18" s="158"/>
      <c r="Z18" s="236"/>
      <c r="AB18" s="175">
        <f>PRODUCT(AB3:AB17)</f>
        <v>0.6640634082243313</v>
      </c>
      <c r="AC18" s="176">
        <f>SUM(AC3:AC17)</f>
        <v>0.2843232119793993</v>
      </c>
      <c r="AD18" s="176">
        <f>SUM(AD3:AD17)</f>
        <v>4.7477527418828082E-2</v>
      </c>
      <c r="AE18" s="176">
        <f>1-AB18-AC18-AD18</f>
        <v>4.1358523774413167E-3</v>
      </c>
      <c r="AF18" s="234"/>
      <c r="AG18" s="158"/>
      <c r="AH18" s="179">
        <f>PRODUCT(AH3:AH17)</f>
        <v>0.70233551157425511</v>
      </c>
      <c r="AI18" s="176">
        <f>SUM(AI3:AI17)</f>
        <v>0.25646029905487716</v>
      </c>
      <c r="AJ18" s="176">
        <f>SUM(AJ3:AJ17)</f>
        <v>3.8091877640590528E-2</v>
      </c>
      <c r="AK18" s="176">
        <f>1-AH18-AI18-AJ18</f>
        <v>3.1123117302771994E-3</v>
      </c>
      <c r="AL18" s="237"/>
      <c r="AM18" s="220"/>
      <c r="AN18" s="225"/>
      <c r="AO18" s="239"/>
      <c r="AP18" s="220"/>
      <c r="AQ18" s="220"/>
      <c r="AR18" s="220"/>
      <c r="AS18" s="220"/>
      <c r="AT18" s="220"/>
      <c r="AU18" s="220"/>
      <c r="AV18" s="220"/>
      <c r="AW18" s="220"/>
      <c r="AX18" s="220"/>
      <c r="AY18" s="220"/>
      <c r="AZ18" s="220"/>
      <c r="BI18" s="31">
        <v>1</v>
      </c>
      <c r="BJ18" s="31">
        <v>6</v>
      </c>
      <c r="BK18" s="107">
        <f t="shared" si="13"/>
        <v>1.0047833561702573E-3</v>
      </c>
      <c r="BQ18" s="31">
        <f>BM8+1</f>
        <v>5</v>
      </c>
      <c r="BR18" s="31">
        <v>4</v>
      </c>
      <c r="BS18" s="107">
        <f>$H$30*H43</f>
        <v>2.2165212309666065E-3</v>
      </c>
    </row>
    <row r="19" spans="1:71" ht="9" customHeight="1" x14ac:dyDescent="0.25">
      <c r="E19" s="220"/>
      <c r="F19" s="220"/>
      <c r="G19" s="220"/>
      <c r="H19" s="221"/>
      <c r="I19" s="220"/>
      <c r="J19" s="220"/>
      <c r="K19" s="220"/>
      <c r="L19" s="221"/>
      <c r="M19" s="221"/>
      <c r="N19" s="220"/>
      <c r="O19" s="220"/>
      <c r="P19" s="230"/>
      <c r="Q19" s="231"/>
      <c r="R19" s="232"/>
      <c r="S19" s="233"/>
      <c r="T19" s="234"/>
      <c r="U19" s="234"/>
      <c r="V19" s="234"/>
      <c r="W19" s="240"/>
      <c r="X19" s="220"/>
      <c r="Y19" s="235"/>
      <c r="Z19" s="236"/>
      <c r="AA19" s="236"/>
      <c r="AB19" s="236"/>
      <c r="AC19" s="233"/>
      <c r="AD19" s="234"/>
      <c r="AE19" s="234"/>
      <c r="AF19" s="234"/>
      <c r="AG19" s="240"/>
      <c r="AH19" s="237"/>
      <c r="AI19" s="220"/>
      <c r="AJ19" s="238"/>
      <c r="AK19" s="220"/>
      <c r="AL19" s="237"/>
      <c r="AM19" s="220"/>
      <c r="AN19" s="225"/>
      <c r="AO19" s="239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  <c r="AZ19" s="220"/>
      <c r="BI19" s="31">
        <v>1</v>
      </c>
      <c r="BJ19" s="31">
        <v>7</v>
      </c>
      <c r="BK19" s="107">
        <f t="shared" si="13"/>
        <v>1.6342527094974498E-4</v>
      </c>
      <c r="BQ19" s="31">
        <f>BQ15+1</f>
        <v>6</v>
      </c>
      <c r="BR19" s="31">
        <v>1</v>
      </c>
      <c r="BS19" s="107">
        <f>$H$31*H40</f>
        <v>2.8807398029938817E-3</v>
      </c>
    </row>
    <row r="20" spans="1:71" x14ac:dyDescent="0.25">
      <c r="A20" s="185" t="s">
        <v>85</v>
      </c>
      <c r="B20" s="31">
        <f>IF(B17="Pres",IF(C17="Pres",2,1),IF(C17="Pres",1,0))</f>
        <v>0</v>
      </c>
      <c r="D20" s="205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41"/>
      <c r="Q20" s="241"/>
      <c r="R20" s="241"/>
      <c r="S20" s="220"/>
      <c r="T20" s="242"/>
      <c r="U20" s="243"/>
      <c r="V20" s="243"/>
      <c r="W20" s="243"/>
      <c r="X20" s="220"/>
      <c r="Y20" s="241"/>
      <c r="Z20" s="241"/>
      <c r="AA20" s="241"/>
      <c r="AB20" s="241"/>
      <c r="AC20" s="221"/>
      <c r="AD20" s="244"/>
      <c r="AE20" s="243"/>
      <c r="AF20" s="243"/>
      <c r="AG20" s="243"/>
      <c r="AH20" s="220"/>
      <c r="AI20" s="220"/>
      <c r="AJ20" s="220"/>
      <c r="AK20" s="220"/>
      <c r="AL20" s="220"/>
      <c r="AM20" s="220"/>
      <c r="AN20" s="220"/>
      <c r="AO20" s="220"/>
      <c r="AP20" s="220"/>
      <c r="AQ20" s="220"/>
      <c r="AR20" s="220"/>
      <c r="AS20" s="220"/>
      <c r="AT20" s="220"/>
      <c r="AU20" s="220"/>
      <c r="AV20" s="220"/>
      <c r="AW20" s="220"/>
      <c r="AX20" s="220"/>
      <c r="AY20" s="220"/>
      <c r="AZ20" s="220"/>
      <c r="BI20" s="31">
        <v>1</v>
      </c>
      <c r="BJ20" s="31">
        <v>8</v>
      </c>
      <c r="BK20" s="107">
        <f t="shared" si="13"/>
        <v>2.0241753874612992E-5</v>
      </c>
      <c r="BQ20" s="31">
        <f>BQ16+1</f>
        <v>6</v>
      </c>
      <c r="BR20" s="31">
        <v>2</v>
      </c>
      <c r="BS20" s="107">
        <f>$H$31*H41</f>
        <v>2.6727434038619239E-3</v>
      </c>
    </row>
    <row r="21" spans="1:71" x14ac:dyDescent="0.25">
      <c r="A21" s="185" t="s">
        <v>86</v>
      </c>
      <c r="B21" s="186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3"/>
        <v>1.8866362522603371E-6</v>
      </c>
      <c r="BQ21" s="31">
        <f>BQ17+1</f>
        <v>6</v>
      </c>
      <c r="BR21" s="31">
        <v>3</v>
      </c>
      <c r="BS21" s="107">
        <f>$H$31*H42</f>
        <v>1.5245075529130079E-3</v>
      </c>
    </row>
    <row r="22" spans="1:71" x14ac:dyDescent="0.25">
      <c r="A22" s="26" t="s">
        <v>87</v>
      </c>
      <c r="B22" s="206">
        <f>(B6)/((B6)+(C6))</f>
        <v>0.30612244897959184</v>
      </c>
      <c r="C22" s="207">
        <f>1-B22</f>
        <v>0.69387755102040816</v>
      </c>
      <c r="V22" s="208">
        <f>SUM(V25:V35)</f>
        <v>1</v>
      </c>
      <c r="AS22" s="82">
        <f>Y23+AA23+AC23+AE23+AG23+AI23+AK23+AM23+AO23+AQ23+AS23</f>
        <v>1.0000000000000002</v>
      </c>
      <c r="BI22" s="31">
        <v>1</v>
      </c>
      <c r="BJ22" s="31">
        <v>10</v>
      </c>
      <c r="BK22" s="107">
        <f t="shared" si="13"/>
        <v>1.2858410289122891E-7</v>
      </c>
      <c r="BQ22" s="31">
        <f>BQ18+1</f>
        <v>6</v>
      </c>
      <c r="BR22" s="31">
        <v>4</v>
      </c>
      <c r="BS22" s="107">
        <f>$H$31*H43</f>
        <v>5.9767855225675273E-4</v>
      </c>
    </row>
    <row r="23" spans="1:71" ht="15.75" thickBot="1" x14ac:dyDescent="0.3">
      <c r="A23" s="40" t="s">
        <v>88</v>
      </c>
      <c r="B23" s="56">
        <f>((B22^2.8)/((B22^2.8)+(C22^2.8)))*B21</f>
        <v>0.4592432626026679</v>
      </c>
      <c r="C23" s="57">
        <f>B21-B23</f>
        <v>4.5407567373973325</v>
      </c>
      <c r="D23" s="149">
        <f>SUM(D25:D30)</f>
        <v>1</v>
      </c>
      <c r="E23" s="149">
        <f>SUM(E25:E30)</f>
        <v>1</v>
      </c>
      <c r="H23" s="266">
        <f>SUM(H25:H35)</f>
        <v>0.99999966579928234</v>
      </c>
      <c r="I23" s="81"/>
      <c r="J23" s="266">
        <f>SUM(J25:J35)</f>
        <v>1</v>
      </c>
      <c r="K23" s="266"/>
      <c r="L23" s="266">
        <f>SUM(L25:L35)</f>
        <v>0.99999999999999989</v>
      </c>
      <c r="M23" s="81"/>
      <c r="N23" s="266">
        <f>SUM(N25:N35)</f>
        <v>1.0000000000000002</v>
      </c>
      <c r="O23" s="81"/>
      <c r="P23" s="266">
        <f>SUM(P25:P35)</f>
        <v>1.0000000000000002</v>
      </c>
      <c r="Q23" s="81"/>
      <c r="R23" s="266">
        <f>SUM(R25:R35)</f>
        <v>1.0000000000000007</v>
      </c>
      <c r="S23" s="81"/>
      <c r="T23" s="266">
        <f>SUM(T25:T35)</f>
        <v>1.0000000000000004</v>
      </c>
      <c r="V23" s="208">
        <f>SUM(V25:V34)</f>
        <v>0.99933085857982151</v>
      </c>
      <c r="Y23" s="205">
        <f>SUM(Y25:Y35)</f>
        <v>5.8092643993734924E-3</v>
      </c>
      <c r="Z23" s="81"/>
      <c r="AA23" s="205">
        <f>SUM(AA25:AA35)</f>
        <v>3.9146618045464078E-2</v>
      </c>
      <c r="AB23" s="81"/>
      <c r="AC23" s="205">
        <f>SUM(AC25:AC35)</f>
        <v>0.11798966667643884</v>
      </c>
      <c r="AD23" s="81"/>
      <c r="AE23" s="205">
        <f>SUM(AE25:AE35)</f>
        <v>0.20999354822996111</v>
      </c>
      <c r="AF23" s="81"/>
      <c r="AG23" s="205">
        <f>SUM(AG25:AG35)</f>
        <v>0.24559335620701014</v>
      </c>
      <c r="AH23" s="81"/>
      <c r="AI23" s="205">
        <f>SUM(AI25:AI35)</f>
        <v>0.19902570924744725</v>
      </c>
      <c r="AJ23" s="81"/>
      <c r="AK23" s="205">
        <f>SUM(AK25:AK35)</f>
        <v>0.11508644003181055</v>
      </c>
      <c r="AL23" s="81"/>
      <c r="AM23" s="205">
        <f>SUM(AM25:AM35)</f>
        <v>4.833585500119357E-2</v>
      </c>
      <c r="AN23" s="81"/>
      <c r="AO23" s="205">
        <f>SUM(AO25:AO35)</f>
        <v>1.4927792558287988E-2</v>
      </c>
      <c r="AP23" s="81"/>
      <c r="AQ23" s="205">
        <f>SUM(AQ25:AQ35)</f>
        <v>3.4226081828346035E-3</v>
      </c>
      <c r="AR23" s="81"/>
      <c r="AS23" s="205">
        <f>SUM(AS25:AS35)</f>
        <v>6.6914142017848743E-4</v>
      </c>
      <c r="BI23" s="31">
        <f t="shared" ref="BI23:BI30" si="14">BI15+1</f>
        <v>2</v>
      </c>
      <c r="BJ23" s="31">
        <v>3</v>
      </c>
      <c r="BK23" s="107">
        <f t="shared" ref="BK23:BK30" si="15">$H$27*H42</f>
        <v>4.750519374986073E-2</v>
      </c>
      <c r="BQ23" s="31">
        <f>BM9+1</f>
        <v>6</v>
      </c>
      <c r="BR23" s="31">
        <v>5</v>
      </c>
      <c r="BS23" s="107">
        <f>$H$31*H44</f>
        <v>1.7043944468577942E-4</v>
      </c>
    </row>
    <row r="24" spans="1:71" ht="15.75" thickBot="1" x14ac:dyDescent="0.3">
      <c r="A24" s="26" t="s">
        <v>89</v>
      </c>
      <c r="B24" s="64">
        <f>B23/B21</f>
        <v>9.1848652520533577E-2</v>
      </c>
      <c r="C24" s="65">
        <f>C23/B21</f>
        <v>0.90815134747946646</v>
      </c>
      <c r="D24" s="158" t="s">
        <v>90</v>
      </c>
      <c r="E24" s="158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4"/>
        <v>2</v>
      </c>
      <c r="BJ24" s="31">
        <v>4</v>
      </c>
      <c r="BK24" s="107">
        <f t="shared" si="15"/>
        <v>1.8624266813792208E-2</v>
      </c>
      <c r="BQ24" s="31">
        <f>BI49+1</f>
        <v>7</v>
      </c>
      <c r="BR24" s="31">
        <v>0</v>
      </c>
      <c r="BS24" s="107">
        <f t="shared" ref="BS24:BS30" si="16">$H$32*H39</f>
        <v>3.0191225253823901E-4</v>
      </c>
    </row>
    <row r="25" spans="1:71" x14ac:dyDescent="0.25">
      <c r="A25" s="26" t="s">
        <v>114</v>
      </c>
      <c r="B25" s="209">
        <f>1/(1+EXP(-3.1416*4*((B11/(B11+C8))-(3.1416/6))))</f>
        <v>8.3864103423478886E-2</v>
      </c>
      <c r="C25" s="207">
        <f>1/(1+EXP(-3.1416*4*((C11/(C11+B8))-(3.1416/6))))</f>
        <v>9.2982011835827494E-2</v>
      </c>
      <c r="D25" s="204">
        <f>IF(B17="AOW",0.36-0.08,IF(B17="AIM",0.36+0.08,IF(B17="TL",(0.361)-(0.36*B32),0.36)))</f>
        <v>0.36</v>
      </c>
      <c r="E25" s="204">
        <f>IF(C17="AOW",0.36-0.08,IF(C17="AIM",0.36+0.08,IF(C17="TL",(0.361)-(0.36*C32),0.36)))</f>
        <v>0.36</v>
      </c>
      <c r="G25" s="124">
        <v>0</v>
      </c>
      <c r="H25" s="125">
        <f>L25*J25</f>
        <v>0.10557420307769871</v>
      </c>
      <c r="I25" s="97">
        <v>0</v>
      </c>
      <c r="J25" s="98">
        <f t="shared" ref="J25:J35" si="17">Y25+AA25+AC25+AE25+AG25+AI25+AK25+AM25+AO25+AQ25+AS25</f>
        <v>0.15898211190403982</v>
      </c>
      <c r="K25" s="97">
        <v>0</v>
      </c>
      <c r="L25" s="98">
        <f>AB18</f>
        <v>0.6640634082243313</v>
      </c>
      <c r="M25" s="85">
        <v>0</v>
      </c>
      <c r="N25" s="210">
        <f>(1-$B$24)^$B$21</f>
        <v>0.61771928252107644</v>
      </c>
      <c r="O25" s="72">
        <v>0</v>
      </c>
      <c r="P25" s="210">
        <f t="shared" ref="P25:P30" si="18">N25</f>
        <v>0.61771928252107644</v>
      </c>
      <c r="Q25" s="28">
        <v>0</v>
      </c>
      <c r="R25" s="211">
        <f>P25*N25</f>
        <v>0.38157711199835348</v>
      </c>
      <c r="S25" s="72">
        <v>0</v>
      </c>
      <c r="T25" s="212">
        <f>(1-$B$33)^(INT(C23*2*(1-C31)))</f>
        <v>1.5224352343750009E-2</v>
      </c>
      <c r="U25" s="138">
        <v>0</v>
      </c>
      <c r="V25" s="86">
        <f>R25*T25</f>
        <v>5.8092643993734924E-3</v>
      </c>
      <c r="W25" s="134">
        <f>B31</f>
        <v>0.41568773994110131</v>
      </c>
      <c r="X25" s="28">
        <v>0</v>
      </c>
      <c r="Y25" s="213">
        <f>V25</f>
        <v>5.8092643993734924E-3</v>
      </c>
      <c r="Z25" s="28">
        <v>0</v>
      </c>
      <c r="AA25" s="213">
        <f>((1-W25)^Z26)*V26</f>
        <v>2.2873848863807583E-2</v>
      </c>
      <c r="AB25" s="28">
        <v>0</v>
      </c>
      <c r="AC25" s="213">
        <f>(((1-$W$25)^AB27))*V27</f>
        <v>4.028412842433108E-2</v>
      </c>
      <c r="AD25" s="28">
        <v>0</v>
      </c>
      <c r="AE25" s="213">
        <f>(((1-$W$25)^AB28))*V28</f>
        <v>4.1892950461217535E-2</v>
      </c>
      <c r="AF25" s="28">
        <v>0</v>
      </c>
      <c r="AG25" s="213">
        <f>(((1-$W$25)^AB29))*V29</f>
        <v>2.8628369191368574E-2</v>
      </c>
      <c r="AH25" s="28">
        <v>0</v>
      </c>
      <c r="AI25" s="213">
        <f>(((1-$W$25)^AB30))*V30</f>
        <v>1.355608159365101E-2</v>
      </c>
      <c r="AJ25" s="28">
        <v>0</v>
      </c>
      <c r="AK25" s="213">
        <f>(((1-$W$25)^AB31))*V31</f>
        <v>4.5803023693266149E-3</v>
      </c>
      <c r="AL25" s="28">
        <v>0</v>
      </c>
      <c r="AM25" s="213">
        <f>(((1-$W$25)^AB32))*V32</f>
        <v>1.1240468079038641E-3</v>
      </c>
      <c r="AN25" s="28">
        <v>0</v>
      </c>
      <c r="AO25" s="213">
        <f>(((1-$W$25)^AB33))*V33</f>
        <v>2.0284092466097461E-4</v>
      </c>
      <c r="AP25" s="28">
        <v>0</v>
      </c>
      <c r="AQ25" s="213">
        <f>(((1-$W$25)^AB34))*V34</f>
        <v>2.7174538258179345E-5</v>
      </c>
      <c r="AR25" s="28">
        <v>0</v>
      </c>
      <c r="AS25" s="213">
        <f>(((1-$W$25)^AB35))*V35</f>
        <v>3.1043301409264488E-6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4"/>
        <v>2</v>
      </c>
      <c r="BJ25" s="31">
        <v>5</v>
      </c>
      <c r="BK25" s="107">
        <f t="shared" si="15"/>
        <v>5.3110650891466209E-3</v>
      </c>
      <c r="BQ25" s="31">
        <f>BQ19+1</f>
        <v>7</v>
      </c>
      <c r="BR25" s="31">
        <v>1</v>
      </c>
      <c r="BS25" s="107">
        <f t="shared" si="16"/>
        <v>6.0442061261376282E-4</v>
      </c>
    </row>
    <row r="26" spans="1:71" x14ac:dyDescent="0.25">
      <c r="A26" s="40" t="s">
        <v>115</v>
      </c>
      <c r="B26" s="206">
        <f>1/(1+EXP(-3.1416*4*((B10/(B10+C9))-(3.1416/6))))</f>
        <v>0.55302031944174657</v>
      </c>
      <c r="C26" s="207">
        <f>1/(1+EXP(-3.1416*4*((C10/(C10+B9))-(3.1416/6))))</f>
        <v>9.5335057345950575E-2</v>
      </c>
      <c r="D26" s="204">
        <f>IF(B17="AOW",0.257+0.04,IF(B17="AIM",0.257-0.04,IF(B17="TL",(0.257)-(0.257*B32),0.257)))</f>
        <v>0.25700000000000001</v>
      </c>
      <c r="E26" s="204">
        <f>IF(C17="AOW",0.257+0.04,IF(C17="AIM",0.257-0.04,IF(C17="TL",(0.257)-(0.257*C32),0.257)))</f>
        <v>0.25700000000000001</v>
      </c>
      <c r="G26" s="87">
        <v>1</v>
      </c>
      <c r="H26" s="126">
        <f>L25*J26+L26*J25</f>
        <v>0.25716153701356448</v>
      </c>
      <c r="I26" s="138">
        <v>1</v>
      </c>
      <c r="J26" s="86">
        <f t="shared" si="17"/>
        <v>0.31918523093526086</v>
      </c>
      <c r="K26" s="138">
        <v>1</v>
      </c>
      <c r="L26" s="86">
        <f>AC18</f>
        <v>0.2843232119793993</v>
      </c>
      <c r="M26" s="85">
        <v>1</v>
      </c>
      <c r="N26" s="210">
        <f>(($B$24)^M26)*((1-($B$24))^($B$21-M26))*HLOOKUP($B$21,$AV$24:$BF$34,M26+1)</f>
        <v>0.31237460525154642</v>
      </c>
      <c r="O26" s="72">
        <v>1</v>
      </c>
      <c r="P26" s="210">
        <f t="shared" si="18"/>
        <v>0.31237460525154642</v>
      </c>
      <c r="Q26" s="28">
        <v>1</v>
      </c>
      <c r="R26" s="211">
        <f>N26*P25+P26*N25</f>
        <v>0.38591963406757945</v>
      </c>
      <c r="S26" s="72">
        <v>1</v>
      </c>
      <c r="T26" s="212">
        <f t="shared" ref="T26:T35" si="19">(($B$33)^S26)*((1-($B$33))^(INT($C$23*2*(1-$C$31))-S26))*HLOOKUP(INT($C$23*2*(1-$C$31)),$AV$24:$BF$34,S26+1)</f>
        <v>8.7194017968750037E-2</v>
      </c>
      <c r="U26" s="138">
        <v>1</v>
      </c>
      <c r="V26" s="86">
        <f>R26*T25+T26*R25</f>
        <v>3.9146618045464078E-2</v>
      </c>
      <c r="W26" s="214"/>
      <c r="X26" s="28">
        <v>1</v>
      </c>
      <c r="Y26" s="211"/>
      <c r="Z26" s="28">
        <v>1</v>
      </c>
      <c r="AA26" s="213">
        <f>(1-((1-W25)^Z26))*V26</f>
        <v>1.6272769181656495E-2</v>
      </c>
      <c r="AB26" s="28">
        <v>1</v>
      </c>
      <c r="AC26" s="213">
        <f>((($W$25)^M26)*((1-($W$25))^($U$27-M26))*HLOOKUP($U$27,$AV$24:$BF$34,M26+1))*V27</f>
        <v>5.7317360749950051E-2</v>
      </c>
      <c r="AD26" s="28">
        <v>1</v>
      </c>
      <c r="AE26" s="213">
        <f>((($W$25)^M26)*((1-($W$25))^($U$28-M26))*HLOOKUP($U$28,$AV$24:$BF$34,M26+1))*V28</f>
        <v>8.9409655181286088E-2</v>
      </c>
      <c r="AF26" s="28">
        <v>1</v>
      </c>
      <c r="AG26" s="213">
        <f>((($W$25)^M26)*((1-($W$25))^($U$29-M26))*HLOOKUP($U$29,$AV$24:$BF$34,M26+1))*V29</f>
        <v>8.1466454844948077E-2</v>
      </c>
      <c r="AH26" s="28">
        <v>1</v>
      </c>
      <c r="AI26" s="213">
        <f>((($W$25)^M26)*((1-($W$25))^($U$30-M26))*HLOOKUP($U$30,$AV$24:$BF$34,M26+1))*V30</f>
        <v>4.8219910014843201E-2</v>
      </c>
      <c r="AJ26" s="28">
        <v>1</v>
      </c>
      <c r="AK26" s="213">
        <f>((($W$25)^M26)*((1-($W$25))^($U$31-M26))*HLOOKUP($U$31,$AV$24:$BF$34,M26+1))*V31</f>
        <v>1.9550938807551269E-2</v>
      </c>
      <c r="AL26" s="28">
        <v>1</v>
      </c>
      <c r="AM26" s="213">
        <f>((($W$25)^Q26)*((1-($W$25))^($U$32-Q26))*HLOOKUP($U$32,$AV$24:$BF$34,Q26+1))*V32</f>
        <v>5.5976359965975589E-3</v>
      </c>
      <c r="AN26" s="28">
        <v>1</v>
      </c>
      <c r="AO26" s="213">
        <f>((($W$25)^Q26)*((1-($W$25))^($U$33-Q26))*HLOOKUP($U$33,$AV$24:$BF$34,Q26+1))*V33</f>
        <v>1.1544304825147353E-3</v>
      </c>
      <c r="AP26" s="28">
        <v>1</v>
      </c>
      <c r="AQ26" s="213">
        <f>((($W$25)^Q26)*((1-($W$25))^($U$34-Q26))*HLOOKUP($U$34,$AV$24:$BF$34,Q26+1))*V34</f>
        <v>1.7399104636641071E-4</v>
      </c>
      <c r="AR26" s="28">
        <v>1</v>
      </c>
      <c r="AS26" s="213">
        <f>((($W$25)^Q26)*((1-($W$25))^($U$35-Q26))*HLOOKUP($U$35,$AV$24:$BF$34,Q26+1))*V35</f>
        <v>2.2084629546925486E-5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4"/>
        <v>2</v>
      </c>
      <c r="BJ26" s="31">
        <v>6</v>
      </c>
      <c r="BK26" s="107">
        <f t="shared" si="15"/>
        <v>1.1357367943091404E-3</v>
      </c>
      <c r="BQ26" s="31">
        <f>BQ20+1</f>
        <v>7</v>
      </c>
      <c r="BR26" s="31">
        <v>2</v>
      </c>
      <c r="BS26" s="107">
        <f t="shared" si="16"/>
        <v>5.6077997875500908E-4</v>
      </c>
    </row>
    <row r="27" spans="1:71" x14ac:dyDescent="0.25">
      <c r="A27" s="26" t="s">
        <v>116</v>
      </c>
      <c r="B27" s="206">
        <f>1/(1+EXP(-3.1416*4*((B12/(B12+C7))-(3.1416/6))))</f>
        <v>0.55302031944174657</v>
      </c>
      <c r="C27" s="207">
        <f>1/(1+EXP(-3.1416*4*((C12/(C12+B7))-(3.1416/6))))</f>
        <v>6.876752763587192E-2</v>
      </c>
      <c r="D27" s="204">
        <f>D26</f>
        <v>0.25700000000000001</v>
      </c>
      <c r="E27" s="204">
        <f>E26</f>
        <v>0.25700000000000001</v>
      </c>
      <c r="G27" s="87">
        <v>2</v>
      </c>
      <c r="H27" s="126">
        <f>L25*J27+J26*L26+J25*L27</f>
        <v>0.29067740610335818</v>
      </c>
      <c r="I27" s="138">
        <v>2</v>
      </c>
      <c r="J27" s="86">
        <f t="shared" si="17"/>
        <v>0.28969757415912761</v>
      </c>
      <c r="K27" s="138">
        <v>2</v>
      </c>
      <c r="L27" s="86">
        <f>AD18</f>
        <v>4.7477527418828082E-2</v>
      </c>
      <c r="M27" s="85">
        <v>2</v>
      </c>
      <c r="N27" s="210">
        <f>(($B$24)^M27)*((1-($B$24))^($B$21-M27))*HLOOKUP($B$21,$AV$24:$BF$34,M27+1)</f>
        <v>6.318591422810578E-2</v>
      </c>
      <c r="O27" s="72">
        <v>2</v>
      </c>
      <c r="P27" s="210">
        <f t="shared" si="18"/>
        <v>6.318591422810578E-2</v>
      </c>
      <c r="Q27" s="28">
        <v>2</v>
      </c>
      <c r="R27" s="211">
        <f>P25*N27+P26*N26+P27*N25</f>
        <v>0.17564020921090703</v>
      </c>
      <c r="S27" s="72">
        <v>2</v>
      </c>
      <c r="T27" s="212">
        <f t="shared" si="19"/>
        <v>0.21402168046875009</v>
      </c>
      <c r="U27" s="138">
        <v>2</v>
      </c>
      <c r="V27" s="86">
        <f>R27*T25+T26*R26+R25*T27</f>
        <v>0.11798966667643884</v>
      </c>
      <c r="W27" s="214"/>
      <c r="X27" s="28">
        <v>2</v>
      </c>
      <c r="Y27" s="211"/>
      <c r="Z27" s="28">
        <v>2</v>
      </c>
      <c r="AA27" s="213"/>
      <c r="AB27" s="28">
        <v>2</v>
      </c>
      <c r="AC27" s="213">
        <f>((($W$25)^M27)*((1-($W$25))^($U$27-M27))*HLOOKUP($U$27,$AV$24:$BF$34,M27+1))*V27</f>
        <v>2.0388177502157712E-2</v>
      </c>
      <c r="AD27" s="28">
        <v>2</v>
      </c>
      <c r="AE27" s="213">
        <f>((($W$25)^M27)*((1-($W$25))^($U$28-M27))*HLOOKUP($U$28,$AV$24:$BF$34,M27+1))*V28</f>
        <v>6.3607252545882939E-2</v>
      </c>
      <c r="AF27" s="28">
        <v>2</v>
      </c>
      <c r="AG27" s="213">
        <f>((($W$25)^M27)*((1-($W$25))^($U$29-M27))*HLOOKUP($U$29,$AV$24:$BF$34,M27+1))*V29</f>
        <v>8.6934526648722116E-2</v>
      </c>
      <c r="AH27" s="28">
        <v>2</v>
      </c>
      <c r="AI27" s="213">
        <f>((($W$25)^M27)*((1-($W$25))^($U$30-M27))*HLOOKUP($U$30,$AV$24:$BF$34,M27+1))*V30</f>
        <v>6.8608608048761371E-2</v>
      </c>
      <c r="AJ27" s="28">
        <v>2</v>
      </c>
      <c r="AK27" s="213">
        <f>((($W$25)^M27)*((1-($W$25))^($U$31-M27))*HLOOKUP($U$31,$AV$24:$BF$34,M27+1))*V31</f>
        <v>3.4772013708126492E-2</v>
      </c>
      <c r="AL27" s="28">
        <v>2</v>
      </c>
      <c r="AM27" s="213">
        <f>((($W$25)^Q27)*((1-($W$25))^($U$32-Q27))*HLOOKUP($U$32,$AV$24:$BF$34,Q27+1))*V32</f>
        <v>1.194670460724568E-2</v>
      </c>
      <c r="AN27" s="28">
        <v>2</v>
      </c>
      <c r="AO27" s="213">
        <f>((($W$25)^Q27)*((1-($W$25))^($U$33-Q27))*HLOOKUP($U$33,$AV$24:$BF$34,Q27+1))*V33</f>
        <v>2.8744717653460261E-3</v>
      </c>
      <c r="AP27" s="28">
        <v>2</v>
      </c>
      <c r="AQ27" s="213">
        <f>((($W$25)^Q27)*((1-($W$25))^($U$34-Q27))*HLOOKUP($U$34,$AV$24:$BF$34,Q27+1))*V34</f>
        <v>4.9511844798019592E-4</v>
      </c>
      <c r="AR27" s="28">
        <v>2</v>
      </c>
      <c r="AS27" s="213">
        <f>((($W$25)^Q27)*((1-($W$25))^($U$35-Q27))*HLOOKUP($U$35,$AV$24:$BF$34,Q27+1))*V35</f>
        <v>7.0700884905147229E-5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4"/>
        <v>2</v>
      </c>
      <c r="BJ27" s="31">
        <v>7</v>
      </c>
      <c r="BK27" s="107">
        <f t="shared" si="15"/>
        <v>1.8472449030705815E-4</v>
      </c>
      <c r="BQ27" s="31">
        <f>BQ21+1</f>
        <v>7</v>
      </c>
      <c r="BR27" s="31">
        <v>3</v>
      </c>
      <c r="BS27" s="107">
        <f t="shared" si="16"/>
        <v>3.198635947989315E-4</v>
      </c>
    </row>
    <row r="28" spans="1:71" x14ac:dyDescent="0.25">
      <c r="A28" s="26" t="s">
        <v>117</v>
      </c>
      <c r="B28" s="275">
        <v>0.9</v>
      </c>
      <c r="C28" s="276">
        <v>0.9</v>
      </c>
      <c r="D28" s="204">
        <v>8.5000000000000006E-2</v>
      </c>
      <c r="E28" s="204">
        <v>8.5000000000000006E-2</v>
      </c>
      <c r="G28" s="87">
        <v>3</v>
      </c>
      <c r="H28" s="126">
        <f>J28*L25+J27*L26+L28*J25+L27*J26</f>
        <v>0.20264835712990981</v>
      </c>
      <c r="I28" s="138">
        <v>3</v>
      </c>
      <c r="J28" s="86">
        <f t="shared" si="17"/>
        <v>0.15731774850053523</v>
      </c>
      <c r="K28" s="138">
        <v>3</v>
      </c>
      <c r="L28" s="86">
        <f>AE18</f>
        <v>4.1358523774413167E-3</v>
      </c>
      <c r="M28" s="85">
        <v>3</v>
      </c>
      <c r="N28" s="210">
        <f>(($B$24)^M28)*((1-($B$24))^($B$21-M28))*HLOOKUP($B$21,$AV$24:$BF$34,M28+1)</f>
        <v>6.3904998833476338E-3</v>
      </c>
      <c r="O28" s="72">
        <v>3</v>
      </c>
      <c r="P28" s="210">
        <f t="shared" si="18"/>
        <v>6.3904998833476338E-3</v>
      </c>
      <c r="Q28" s="28">
        <v>3</v>
      </c>
      <c r="R28" s="211">
        <f>P25*N28+P26*N27+P27*N26+P28*N25</f>
        <v>4.7370420034710273E-2</v>
      </c>
      <c r="S28" s="72">
        <v>3</v>
      </c>
      <c r="T28" s="212">
        <f t="shared" si="19"/>
        <v>0.29184774609375008</v>
      </c>
      <c r="U28" s="138">
        <v>3</v>
      </c>
      <c r="V28" s="86">
        <f>R28*T25+R27*T26+R26*T27+R25*T28</f>
        <v>0.20999354822996108</v>
      </c>
      <c r="W28" s="214"/>
      <c r="X28" s="28">
        <v>3</v>
      </c>
      <c r="Y28" s="211"/>
      <c r="Z28" s="28">
        <v>3</v>
      </c>
      <c r="AA28" s="213"/>
      <c r="AB28" s="28">
        <v>3</v>
      </c>
      <c r="AC28" s="213"/>
      <c r="AD28" s="28">
        <v>3</v>
      </c>
      <c r="AE28" s="213">
        <f>((($W$25)^M28)*((1-($W$25))^($U$28-M28))*HLOOKUP($U$28,$AV$24:$BF$34,M28+1))*V28</f>
        <v>1.5083690041574522E-2</v>
      </c>
      <c r="AF28" s="28">
        <v>3</v>
      </c>
      <c r="AG28" s="213">
        <f>((($W$25)^M28)*((1-($W$25))^($U$29-M28))*HLOOKUP($U$29,$AV$24:$BF$34,M28+1))*V29</f>
        <v>4.1230941485310223E-2</v>
      </c>
      <c r="AH28" s="28">
        <v>3</v>
      </c>
      <c r="AI28" s="213">
        <f>((($W$25)^M28)*((1-($W$25))^($U$30-M28))*HLOOKUP($U$30,$AV$24:$BF$34,M28+1))*V30</f>
        <v>4.8809102888615868E-2</v>
      </c>
      <c r="AJ28" s="28">
        <v>3</v>
      </c>
      <c r="AK28" s="213">
        <f>((($W$25)^M28)*((1-($W$25))^($U$31-M28))*HLOOKUP($U$31,$AV$24:$BF$34,M28+1))*V31</f>
        <v>3.298304868718676E-2</v>
      </c>
      <c r="AL28" s="28">
        <v>3</v>
      </c>
      <c r="AM28" s="213">
        <f>((($W$25)^Q28)*((1-($W$25))^($U$32-Q28))*HLOOKUP($U$32,$AV$24:$BF$34,Q28+1))*V32</f>
        <v>1.4165081975829486E-2</v>
      </c>
      <c r="AN28" s="28">
        <v>3</v>
      </c>
      <c r="AO28" s="213">
        <f>((($W$25)^Q28)*((1-($W$25))^($U$33-Q28))*HLOOKUP($U$33,$AV$24:$BF$34,Q28+1))*V33</f>
        <v>4.089877119952106E-3</v>
      </c>
      <c r="AP28" s="28">
        <v>3</v>
      </c>
      <c r="AQ28" s="213">
        <f>((($W$25)^Q28)*((1-($W$25))^($U$34-Q28))*HLOOKUP($U$34,$AV$24:$BF$34,Q28+1))*V34</f>
        <v>8.2187942931005774E-4</v>
      </c>
      <c r="AR28" s="28">
        <v>3</v>
      </c>
      <c r="AS28" s="213">
        <f>((($W$25)^Q28)*((1-($W$25))^($U$35-Q28))*HLOOKUP($U$35,$AV$24:$BF$34,Q28+1))*V35</f>
        <v>1.3412687275621711E-4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0">BE27+BE28</f>
        <v>210</v>
      </c>
      <c r="BI28" s="31">
        <f t="shared" si="14"/>
        <v>2</v>
      </c>
      <c r="BJ28" s="31">
        <v>8</v>
      </c>
      <c r="BK28" s="107">
        <f t="shared" si="15"/>
        <v>2.2879862127067434E-5</v>
      </c>
      <c r="BQ28" s="31">
        <f>BQ22+1</f>
        <v>7</v>
      </c>
      <c r="BR28" s="31">
        <v>4</v>
      </c>
      <c r="BS28" s="107">
        <f t="shared" si="16"/>
        <v>1.2540155008990955E-4</v>
      </c>
    </row>
    <row r="29" spans="1:71" x14ac:dyDescent="0.25">
      <c r="A29" s="26" t="s">
        <v>118</v>
      </c>
      <c r="B29" s="206">
        <f>1/(1+EXP(-3.1416*4*((B14/(B14+C13))-(3.1416/6))))</f>
        <v>0.6172929880966993</v>
      </c>
      <c r="C29" s="207">
        <f>1/(1+EXP(-3.1416*4*((C14/(C14+B13))-(3.1416/6))))</f>
        <v>6.7831283489497657E-2</v>
      </c>
      <c r="D29" s="204">
        <v>0.04</v>
      </c>
      <c r="E29" s="204">
        <v>0.04</v>
      </c>
      <c r="G29" s="87">
        <v>4</v>
      </c>
      <c r="H29" s="126">
        <f>J29*L25+J28*L26+J27*L27+J26*L28</f>
        <v>9.7689125628098797E-2</v>
      </c>
      <c r="I29" s="138">
        <v>4</v>
      </c>
      <c r="J29" s="86">
        <f t="shared" si="17"/>
        <v>5.7051495515839559E-2</v>
      </c>
      <c r="K29" s="138">
        <v>4</v>
      </c>
      <c r="L29" s="86"/>
      <c r="M29" s="85">
        <v>4</v>
      </c>
      <c r="N29" s="210">
        <f>(($B$24)^M29)*((1-($B$24))^($B$21-M29))*HLOOKUP($B$21,$AV$24:$BF$34,M29+1)</f>
        <v>3.2316133475283887E-4</v>
      </c>
      <c r="O29" s="72">
        <v>4</v>
      </c>
      <c r="P29" s="210">
        <f t="shared" si="18"/>
        <v>3.2316133475283887E-4</v>
      </c>
      <c r="Q29" s="28">
        <v>4</v>
      </c>
      <c r="R29" s="211">
        <f>P25*N29+P26*N28+P27*N27+P28*N26+P29*N25</f>
        <v>8.3841654893672349E-3</v>
      </c>
      <c r="S29" s="72">
        <v>4</v>
      </c>
      <c r="T29" s="212">
        <f t="shared" si="19"/>
        <v>0.23878451953125013</v>
      </c>
      <c r="U29" s="138">
        <v>4</v>
      </c>
      <c r="V29" s="86">
        <f>T29*R25+T28*R26+T27*R27+T26*R28+T25*R29</f>
        <v>0.24559335620701012</v>
      </c>
      <c r="W29" s="214"/>
      <c r="X29" s="28">
        <v>4</v>
      </c>
      <c r="Y29" s="211"/>
      <c r="Z29" s="28">
        <v>4</v>
      </c>
      <c r="AA29" s="213"/>
      <c r="AB29" s="28">
        <v>4</v>
      </c>
      <c r="AC29" s="213"/>
      <c r="AD29" s="28">
        <v>4</v>
      </c>
      <c r="AE29" s="213"/>
      <c r="AF29" s="28">
        <v>4</v>
      </c>
      <c r="AG29" s="213">
        <f>((($W$25)^M29)*((1-($W$25))^($U$29-M29))*HLOOKUP($U$29,$AV$24:$BF$34,M29+1))*V29</f>
        <v>7.3330640366611397E-3</v>
      </c>
      <c r="AH29" s="28">
        <v>4</v>
      </c>
      <c r="AI29" s="213">
        <f>((($W$25)^M29)*((1-($W$25))^($U$30-M29))*HLOOKUP($U$30,$AV$24:$BF$34,M29+1))*V30</f>
        <v>1.7361731949862087E-2</v>
      </c>
      <c r="AJ29" s="28">
        <v>4</v>
      </c>
      <c r="AK29" s="213">
        <f>((($W$25)^M29)*((1-($W$25))^($U$31-M29))*HLOOKUP($U$31,$AV$24:$BF$34,M29+1))*V31</f>
        <v>1.7598444233946856E-2</v>
      </c>
      <c r="AL29" s="28">
        <v>4</v>
      </c>
      <c r="AM29" s="213">
        <f>((($W$25)^Q29)*((1-($W$25))^($U$32-Q29))*HLOOKUP($U$32,$AV$24:$BF$34,Q29+1))*V32</f>
        <v>1.0077233210919542E-2</v>
      </c>
      <c r="AN29" s="28">
        <v>4</v>
      </c>
      <c r="AO29" s="213">
        <f>((($W$25)^Q29)*((1-($W$25))^($U$33-Q29))*HLOOKUP($U$33,$AV$24:$BF$34,Q29+1))*V33</f>
        <v>3.6369932073185064E-3</v>
      </c>
      <c r="AP29" s="28">
        <v>4</v>
      </c>
      <c r="AQ29" s="213">
        <f>((($W$25)^Q29)*((1-($W$25))^($U$34-Q29))*HLOOKUP($U$34,$AV$24:$BF$34,Q29+1))*V34</f>
        <v>8.7704441399075466E-4</v>
      </c>
      <c r="AR29" s="28">
        <v>4</v>
      </c>
      <c r="AS29" s="213">
        <f>((($W$25)^Q29)*((1-($W$25))^($U$35-Q29))*HLOOKUP($U$35,$AV$24:$BF$34,Q29+1))*V35</f>
        <v>1.6698446314067423E-4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0"/>
        <v>252</v>
      </c>
      <c r="BI29" s="31">
        <f t="shared" si="14"/>
        <v>2</v>
      </c>
      <c r="BJ29" s="31">
        <v>9</v>
      </c>
      <c r="BK29" s="107">
        <f t="shared" si="15"/>
        <v>2.1325215988216356E-6</v>
      </c>
      <c r="BQ29" s="31">
        <f>BQ23+1</f>
        <v>7</v>
      </c>
      <c r="BR29" s="31">
        <v>5</v>
      </c>
      <c r="BS29" s="107">
        <f t="shared" si="16"/>
        <v>3.5760645048006488E-5</v>
      </c>
    </row>
    <row r="30" spans="1:71" x14ac:dyDescent="0.25">
      <c r="A30" s="26" t="s">
        <v>119</v>
      </c>
      <c r="B30" s="275">
        <v>0.15</v>
      </c>
      <c r="C30" s="276">
        <v>0.15</v>
      </c>
      <c r="D30" s="204">
        <f>IF(B17="TL",0.875*B32,0.001)</f>
        <v>1E-3</v>
      </c>
      <c r="E30" s="204">
        <f>IF(C17="TL",0.875*C32,0.001)</f>
        <v>1E-3</v>
      </c>
      <c r="G30" s="87">
        <v>5</v>
      </c>
      <c r="H30" s="126">
        <f>J30*L25+J29*L26+J28*L27+J27*L28</f>
        <v>3.4594255356847903E-2</v>
      </c>
      <c r="I30" s="138">
        <v>5</v>
      </c>
      <c r="J30" s="86">
        <f t="shared" si="17"/>
        <v>1.4616054227083376E-2</v>
      </c>
      <c r="K30" s="138">
        <v>5</v>
      </c>
      <c r="L30" s="86"/>
      <c r="M30" s="85">
        <v>5</v>
      </c>
      <c r="N30" s="210">
        <f>(($B$24)^M30)*((1-($B$24))^($B$21-M30))*HLOOKUP($B$21,$AV$24:$BF$34,M30+1)</f>
        <v>6.5367811711486655E-6</v>
      </c>
      <c r="O30" s="72">
        <v>5</v>
      </c>
      <c r="P30" s="210">
        <f t="shared" si="18"/>
        <v>6.5367811711486655E-6</v>
      </c>
      <c r="Q30" s="28">
        <v>5</v>
      </c>
      <c r="R30" s="211">
        <f>P25*N30+P26*N29+P27*N28+P28*N27+P29*N26+P30*N25</f>
        <v>1.0175497353098874E-3</v>
      </c>
      <c r="S30" s="72">
        <v>5</v>
      </c>
      <c r="T30" s="212">
        <f t="shared" si="19"/>
        <v>0.11722149140625006</v>
      </c>
      <c r="U30" s="138">
        <v>5</v>
      </c>
      <c r="V30" s="86">
        <f>T30*R25+T29*R26+T28*R27+T27*R28+T26*R29+T25*R30</f>
        <v>0.19902570924744722</v>
      </c>
      <c r="W30" s="214"/>
      <c r="X30" s="28">
        <v>5</v>
      </c>
      <c r="Y30" s="211"/>
      <c r="Z30" s="28">
        <v>5</v>
      </c>
      <c r="AA30" s="213"/>
      <c r="AB30" s="28">
        <v>5</v>
      </c>
      <c r="AC30" s="213"/>
      <c r="AD30" s="28">
        <v>5</v>
      </c>
      <c r="AE30" s="213"/>
      <c r="AF30" s="28">
        <v>5</v>
      </c>
      <c r="AG30" s="213"/>
      <c r="AH30" s="28">
        <v>5</v>
      </c>
      <c r="AI30" s="213">
        <f>((($W$25)^M30)*((1-($W$25))^($U$30-M30))*HLOOKUP($U$30,$AV$24:$BF$34,M30+1))*V30</f>
        <v>2.4702747517137162E-3</v>
      </c>
      <c r="AJ30" s="28">
        <v>5</v>
      </c>
      <c r="AK30" s="213">
        <f>((($W$25)^M30)*((1-($W$25))^($U$31-M30))*HLOOKUP($U$31,$AV$24:$BF$34,M30+1))*V31</f>
        <v>5.0079096470448704E-3</v>
      </c>
      <c r="AL30" s="28">
        <v>5</v>
      </c>
      <c r="AM30" s="213">
        <f>((($W$25)^Q30)*((1-($W$25))^($U$32-Q30))*HLOOKUP($U$32,$AV$24:$BF$34,Q30+1))*V32</f>
        <v>4.3014489867636554E-3</v>
      </c>
      <c r="AN30" s="28">
        <v>5</v>
      </c>
      <c r="AO30" s="213">
        <f>((($W$25)^Q30)*((1-($W$25))^($U$33-Q30))*HLOOKUP($U$33,$AV$24:$BF$34,Q30+1))*V33</f>
        <v>2.0699254010230388E-3</v>
      </c>
      <c r="AP30" s="28">
        <v>5</v>
      </c>
      <c r="AQ30" s="213">
        <f>((($W$25)^Q30)*((1-($W$25))^($U$34-Q30))*HLOOKUP($U$34,$AV$24:$BF$34,Q30+1))*V34</f>
        <v>6.2394140120050721E-4</v>
      </c>
      <c r="AR30" s="28">
        <v>5</v>
      </c>
      <c r="AS30" s="213">
        <f>((($W$25)^Q30)*((1-($W$25))^($U$35-Q30))*HLOOKUP($U$35,$AV$24:$BF$34,Q30+1))*V35</f>
        <v>1.4255403933758598E-4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0"/>
        <v>210</v>
      </c>
      <c r="BI30" s="31">
        <f t="shared" si="14"/>
        <v>2</v>
      </c>
      <c r="BJ30" s="31">
        <v>10</v>
      </c>
      <c r="BK30" s="107">
        <f t="shared" si="15"/>
        <v>1.4534247200652811E-7</v>
      </c>
      <c r="BQ30" s="31">
        <f>BM10+1</f>
        <v>7</v>
      </c>
      <c r="BR30" s="31">
        <v>6</v>
      </c>
      <c r="BS30" s="107">
        <f t="shared" si="16"/>
        <v>7.6471818152347052E-6</v>
      </c>
    </row>
    <row r="31" spans="1:71" x14ac:dyDescent="0.25">
      <c r="A31" s="184" t="s">
        <v>120</v>
      </c>
      <c r="B31" s="60">
        <f>(B25*D25)+(B26*D26)+(B27*D27)+(B28*D28)+(B29*D29)+(B30*D30)/(B25+B26+B27+B28+B29+B30)</f>
        <v>0.41568773994110131</v>
      </c>
      <c r="C31" s="61">
        <f>(C25*E25)+(C26*E26)+(C27*E27)+(C28*E28)+(C29*E29)+(C30*E30)/(C25+C26+C27+C28+C29+C30)</f>
        <v>0.15497023752426456</v>
      </c>
      <c r="G31" s="87">
        <v>6</v>
      </c>
      <c r="H31" s="126">
        <f>J31*L25+J30*L26+J29*L27+J28*L28</f>
        <v>9.3282411055744911E-3</v>
      </c>
      <c r="I31" s="138">
        <v>6</v>
      </c>
      <c r="J31" s="86">
        <f t="shared" si="17"/>
        <v>2.7305384877711115E-3</v>
      </c>
      <c r="K31" s="138">
        <v>6</v>
      </c>
      <c r="L31" s="86"/>
      <c r="M31" s="85"/>
      <c r="N31" s="211"/>
      <c r="O31" s="211"/>
      <c r="P31" s="211"/>
      <c r="Q31" s="28">
        <v>6</v>
      </c>
      <c r="R31" s="211">
        <f>P26*N30+P27*N29+P28*N28+P29*N27+P30*N26</f>
        <v>8.5760826394038844E-5</v>
      </c>
      <c r="S31" s="72">
        <v>6</v>
      </c>
      <c r="T31" s="212">
        <f t="shared" si="19"/>
        <v>3.1969497656250012E-2</v>
      </c>
      <c r="U31" s="138">
        <v>6</v>
      </c>
      <c r="V31" s="86">
        <f>T31*R25+T30*R26+T29*R27+T28*R28+T27*R29+T26*R30+T25*R31</f>
        <v>0.11508644003181055</v>
      </c>
      <c r="W31" s="214"/>
      <c r="X31" s="28">
        <v>6</v>
      </c>
      <c r="Y31" s="211"/>
      <c r="Z31" s="28">
        <v>6</v>
      </c>
      <c r="AA31" s="213"/>
      <c r="AB31" s="28">
        <v>6</v>
      </c>
      <c r="AC31" s="213"/>
      <c r="AD31" s="28">
        <v>6</v>
      </c>
      <c r="AE31" s="213"/>
      <c r="AF31" s="28">
        <v>6</v>
      </c>
      <c r="AG31" s="213"/>
      <c r="AH31" s="28">
        <v>6</v>
      </c>
      <c r="AI31" s="213"/>
      <c r="AJ31" s="28">
        <v>6</v>
      </c>
      <c r="AK31" s="213">
        <f>((($W$25)^Q31)*((1-($W$25))^($U$31-Q31))*HLOOKUP($U$31,$AV$24:$BF$34,Q31+1))*V31</f>
        <v>5.9378257862770234E-4</v>
      </c>
      <c r="AL31" s="28">
        <v>6</v>
      </c>
      <c r="AM31" s="213">
        <f>((($W$25)^Q31)*((1-($W$25))^($U$32-Q31))*HLOOKUP($U$32,$AV$24:$BF$34,Q31+1))*V32</f>
        <v>1.0200365626417444E-3</v>
      </c>
      <c r="AN31" s="28">
        <v>6</v>
      </c>
      <c r="AO31" s="213">
        <f>((($W$25)^Q31)*((1-($W$25))^($U$33-Q31))*HLOOKUP($U$33,$AV$24:$BF$34,Q31+1))*V33</f>
        <v>7.3628663183552927E-4</v>
      </c>
      <c r="AP31" s="28">
        <v>6</v>
      </c>
      <c r="AQ31" s="213">
        <f>((($W$25)^Q31)*((1-($W$25))^($U$34-Q31))*HLOOKUP($U$34,$AV$24:$BF$34,Q31+1))*V34</f>
        <v>2.9592030226506955E-4</v>
      </c>
      <c r="AR31" s="28">
        <v>6</v>
      </c>
      <c r="AS31" s="213">
        <f>((($W$25)^Q31)*((1-($W$25))^($U$35-Q31))*HLOOKUP($U$35,$AV$24:$BF$34,Q31+1))*V35</f>
        <v>8.451241240106613E-5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0"/>
        <v>120</v>
      </c>
      <c r="BI31" s="31">
        <f t="shared" ref="BI31:BI37" si="21">BI24+1</f>
        <v>3</v>
      </c>
      <c r="BJ31" s="31">
        <v>4</v>
      </c>
      <c r="BK31" s="107">
        <f t="shared" ref="BK31:BK37" si="22">$H$28*H43</f>
        <v>1.2984074418298889E-2</v>
      </c>
      <c r="BQ31" s="31">
        <f t="shared" ref="BQ31:BQ37" si="23">BQ24+1</f>
        <v>8</v>
      </c>
      <c r="BR31" s="31">
        <v>0</v>
      </c>
      <c r="BS31" s="107">
        <f t="shared" ref="BS31:BS38" si="24">$H$33*H39</f>
        <v>4.9843072770220666E-5</v>
      </c>
    </row>
    <row r="32" spans="1:71" x14ac:dyDescent="0.25">
      <c r="A32" s="26" t="s">
        <v>121</v>
      </c>
      <c r="B32" s="215">
        <f>IF(B17&lt;&gt;"TL",0.001,IF(B18&lt;5,0.1,IF(B18&lt;10,0.2,IF(B18&lt;14,0.3,0.35))))</f>
        <v>1E-3</v>
      </c>
      <c r="C32" s="216">
        <f>IF(C17&lt;&gt;"TL",0.001,IF(C18&lt;5,0.1,IF(C18&lt;10,0.2,IF(C18&lt;14,0.3,0.35))))</f>
        <v>1E-3</v>
      </c>
      <c r="G32" s="87">
        <v>7</v>
      </c>
      <c r="H32" s="126">
        <f>J32*L25+J31*L26+J30*L27+J29*L28</f>
        <v>1.9571990492791456E-3</v>
      </c>
      <c r="I32" s="138">
        <v>7</v>
      </c>
      <c r="J32" s="86">
        <f t="shared" si="17"/>
        <v>3.7790502263410227E-4</v>
      </c>
      <c r="K32" s="138">
        <v>7</v>
      </c>
      <c r="L32" s="86"/>
      <c r="M32" s="85"/>
      <c r="N32" s="211"/>
      <c r="O32" s="211"/>
      <c r="P32" s="211"/>
      <c r="Q32" s="28">
        <v>7</v>
      </c>
      <c r="R32" s="211">
        <f>P27*N30+P28*N29+P29*N28+P30*N27</f>
        <v>4.9563899328971587E-6</v>
      </c>
      <c r="S32" s="72">
        <v>7</v>
      </c>
      <c r="T32" s="212">
        <f t="shared" si="19"/>
        <v>3.7366945312500011E-3</v>
      </c>
      <c r="U32" s="138">
        <v>7</v>
      </c>
      <c r="V32" s="86">
        <f>T32*R25+T31*R26+T30*R27+T29*R28+T28*R29+T27*R30+T26*R31+T25*R32</f>
        <v>4.8335855001193556E-2</v>
      </c>
      <c r="W32" s="214"/>
      <c r="X32" s="28">
        <v>7</v>
      </c>
      <c r="Y32" s="211"/>
      <c r="Z32" s="28">
        <v>7</v>
      </c>
      <c r="AA32" s="213"/>
      <c r="AB32" s="28">
        <v>7</v>
      </c>
      <c r="AC32" s="213"/>
      <c r="AD32" s="28">
        <v>7</v>
      </c>
      <c r="AE32" s="213"/>
      <c r="AF32" s="28">
        <v>7</v>
      </c>
      <c r="AG32" s="213"/>
      <c r="AH32" s="28">
        <v>7</v>
      </c>
      <c r="AI32" s="213"/>
      <c r="AJ32" s="28">
        <v>7</v>
      </c>
      <c r="AK32" s="213"/>
      <c r="AL32" s="28">
        <v>7</v>
      </c>
      <c r="AM32" s="213">
        <f>((($W$25)^Q32)*((1-($W$25))^($U$32-Q32))*HLOOKUP($U$32,$AV$24:$BF$34,Q32+1))*V32</f>
        <v>1.0366685329203341E-4</v>
      </c>
      <c r="AN32" s="28">
        <v>7</v>
      </c>
      <c r="AO32" s="213">
        <f>((($W$25)^Q32)*((1-($W$25))^($U$33-Q32))*HLOOKUP($U$33,$AV$24:$BF$34,Q32+1))*V33</f>
        <v>1.4965839664746845E-4</v>
      </c>
      <c r="AP32" s="28">
        <v>7</v>
      </c>
      <c r="AQ32" s="213">
        <f>((($W$25)^Q32)*((1-($W$25))^($U$34-Q32))*HLOOKUP($U$34,$AV$24:$BF$34,Q32+1))*V34</f>
        <v>9.0223608695744911E-5</v>
      </c>
      <c r="AR32" s="28">
        <v>7</v>
      </c>
      <c r="AS32" s="213">
        <f>((($W$25)^Q32)*((1-($W$25))^($U$35-Q32))*HLOOKUP($U$35,$AV$24:$BF$34,Q32+1))*V35</f>
        <v>3.4356163998855479E-5</v>
      </c>
      <c r="AV32" s="14">
        <v>8</v>
      </c>
      <c r="BD32" s="31">
        <v>1</v>
      </c>
      <c r="BE32" s="31">
        <v>9</v>
      </c>
      <c r="BF32" s="31">
        <f t="shared" si="20"/>
        <v>45</v>
      </c>
      <c r="BI32" s="31">
        <f t="shared" si="21"/>
        <v>3</v>
      </c>
      <c r="BJ32" s="31">
        <v>5</v>
      </c>
      <c r="BK32" s="107">
        <f t="shared" si="22"/>
        <v>3.7026565956862875E-3</v>
      </c>
      <c r="BQ32" s="31">
        <f t="shared" si="23"/>
        <v>8</v>
      </c>
      <c r="BR32" s="31">
        <v>1</v>
      </c>
      <c r="BS32" s="107">
        <f t="shared" si="24"/>
        <v>9.9784557682081726E-5</v>
      </c>
    </row>
    <row r="33" spans="1:71" x14ac:dyDescent="0.25">
      <c r="A33" s="26" t="s">
        <v>122</v>
      </c>
      <c r="B33" s="300">
        <v>0.45</v>
      </c>
      <c r="C33" s="301">
        <v>0.02</v>
      </c>
      <c r="G33" s="87">
        <v>8</v>
      </c>
      <c r="H33" s="126">
        <f>J33*L25+J32*L26+J31*L27+J30*L28</f>
        <v>3.2311644797082724E-4</v>
      </c>
      <c r="I33" s="138">
        <v>8</v>
      </c>
      <c r="J33" s="86">
        <f t="shared" si="17"/>
        <v>3.8520748546497136E-5</v>
      </c>
      <c r="K33" s="138">
        <v>8</v>
      </c>
      <c r="L33" s="86"/>
      <c r="M33" s="85"/>
      <c r="N33" s="211"/>
      <c r="O33" s="211"/>
      <c r="P33" s="211"/>
      <c r="Q33" s="28">
        <v>8</v>
      </c>
      <c r="R33" s="211">
        <f>P28*N30+P29*N29+P30*N28</f>
        <v>1.8797984690262551E-7</v>
      </c>
      <c r="S33" s="72">
        <v>8</v>
      </c>
      <c r="T33" s="212">
        <f t="shared" si="19"/>
        <v>0</v>
      </c>
      <c r="U33" s="138">
        <v>8</v>
      </c>
      <c r="V33" s="86">
        <f>T33*R25+T32*R26+T31*R27+T30*R28+T29*R29+T28*R30+T27*R31+T26*R32+T25*R33</f>
        <v>1.4927792558287984E-2</v>
      </c>
      <c r="W33" s="214"/>
      <c r="X33" s="28">
        <v>8</v>
      </c>
      <c r="Y33" s="211"/>
      <c r="Z33" s="28">
        <v>8</v>
      </c>
      <c r="AA33" s="213"/>
      <c r="AB33" s="28">
        <v>8</v>
      </c>
      <c r="AC33" s="213"/>
      <c r="AD33" s="28">
        <v>8</v>
      </c>
      <c r="AE33" s="213"/>
      <c r="AF33" s="28">
        <v>8</v>
      </c>
      <c r="AG33" s="213"/>
      <c r="AH33" s="28">
        <v>8</v>
      </c>
      <c r="AI33" s="213"/>
      <c r="AJ33" s="28">
        <v>8</v>
      </c>
      <c r="AK33" s="213"/>
      <c r="AL33" s="28">
        <v>8</v>
      </c>
      <c r="AM33" s="213"/>
      <c r="AN33" s="28">
        <v>8</v>
      </c>
      <c r="AO33" s="213">
        <f>((($W$25)^Q33)*((1-($W$25))^($U$33-Q33))*HLOOKUP($U$33,$AV$24:$BF$34,Q33+1))*V33</f>
        <v>1.3308628989601416E-5</v>
      </c>
      <c r="AP33" s="28">
        <v>8</v>
      </c>
      <c r="AQ33" s="213">
        <f>((($W$25)^Q33)*((1-($W$25))^($U$34-Q33))*HLOOKUP($U$34,$AV$24:$BF$34,Q33+1))*V34</f>
        <v>1.6046577554390186E-5</v>
      </c>
      <c r="AR33" s="28">
        <v>8</v>
      </c>
      <c r="AS33" s="213">
        <f>((($W$25)^Q33)*((1-($W$25))^($U$35-Q33))*HLOOKUP($U$35,$AV$24:$BF$34,Q33+1))*V35</f>
        <v>9.1655420025055358E-6</v>
      </c>
      <c r="AV33" s="29">
        <v>9</v>
      </c>
      <c r="BE33" s="31">
        <v>1</v>
      </c>
      <c r="BF33" s="31">
        <f t="shared" si="20"/>
        <v>10</v>
      </c>
      <c r="BI33" s="31">
        <f t="shared" si="21"/>
        <v>3</v>
      </c>
      <c r="BJ33" s="31">
        <v>6</v>
      </c>
      <c r="BK33" s="107">
        <f t="shared" si="22"/>
        <v>7.9178907842909437E-4</v>
      </c>
      <c r="BQ33" s="31">
        <f t="shared" si="23"/>
        <v>8</v>
      </c>
      <c r="BR33" s="31">
        <v>2</v>
      </c>
      <c r="BS33" s="107">
        <f t="shared" si="24"/>
        <v>9.2579870655062446E-5</v>
      </c>
    </row>
    <row r="34" spans="1:71" x14ac:dyDescent="0.25">
      <c r="A34" s="40" t="s">
        <v>123</v>
      </c>
      <c r="B34" s="56">
        <f>B23*2</f>
        <v>0.9184865252053358</v>
      </c>
      <c r="C34" s="57">
        <f>C23*2</f>
        <v>9.0815134747946651</v>
      </c>
      <c r="G34" s="87">
        <v>9</v>
      </c>
      <c r="H34" s="126">
        <f>J34*L25+J33*L26+J32*L27+J31*L28</f>
        <v>4.1991979286271674E-5</v>
      </c>
      <c r="I34" s="138">
        <v>9</v>
      </c>
      <c r="J34" s="86">
        <f t="shared" si="17"/>
        <v>2.7174154443164635E-6</v>
      </c>
      <c r="K34" s="138">
        <v>9</v>
      </c>
      <c r="L34" s="86"/>
      <c r="M34" s="85"/>
      <c r="N34" s="211"/>
      <c r="O34" s="211"/>
      <c r="P34" s="211"/>
      <c r="Q34" s="28">
        <v>9</v>
      </c>
      <c r="R34" s="211">
        <f>P29*N30+P30*N29</f>
        <v>4.2248698565112561E-9</v>
      </c>
      <c r="S34" s="72">
        <v>9</v>
      </c>
      <c r="T34" s="212">
        <f t="shared" si="19"/>
        <v>0</v>
      </c>
      <c r="U34" s="138">
        <v>9</v>
      </c>
      <c r="V34" s="86">
        <f>T34*R25+T33*R26+T32*R27+T31*R28+T30*R29+T29*R30+T28*R31+T27*R32+T26*R33+T25*R34</f>
        <v>3.4226081828346031E-3</v>
      </c>
      <c r="W34" s="214"/>
      <c r="X34" s="28">
        <v>9</v>
      </c>
      <c r="Y34" s="211"/>
      <c r="Z34" s="28">
        <v>9</v>
      </c>
      <c r="AA34" s="213"/>
      <c r="AB34" s="28">
        <v>9</v>
      </c>
      <c r="AC34" s="213"/>
      <c r="AD34" s="28">
        <v>9</v>
      </c>
      <c r="AE34" s="213"/>
      <c r="AF34" s="28">
        <v>9</v>
      </c>
      <c r="AG34" s="213"/>
      <c r="AH34" s="28">
        <v>9</v>
      </c>
      <c r="AI34" s="213"/>
      <c r="AJ34" s="28">
        <v>9</v>
      </c>
      <c r="AK34" s="213"/>
      <c r="AL34" s="28">
        <v>9</v>
      </c>
      <c r="AM34" s="213"/>
      <c r="AN34" s="28">
        <v>9</v>
      </c>
      <c r="AO34" s="213"/>
      <c r="AP34" s="28">
        <v>9</v>
      </c>
      <c r="AQ34" s="213">
        <f>((($W$25)^Q34)*((1-($W$25))^($U$34-Q34))*HLOOKUP($U$34,$AV$24:$BF$34,Q34+1))*V34</f>
        <v>1.2684172132934703E-6</v>
      </c>
      <c r="AR34" s="28">
        <v>9</v>
      </c>
      <c r="AS34" s="213">
        <f>((($W$25)^Q34)*((1-($W$25))^($U$35-Q34))*HLOOKUP($U$35,$AV$24:$BF$34,Q34+1))*V35</f>
        <v>1.4489982310229934E-6</v>
      </c>
      <c r="AV34" s="14">
        <v>10</v>
      </c>
      <c r="BF34" s="31">
        <f t="shared" si="20"/>
        <v>1</v>
      </c>
      <c r="BI34" s="31">
        <f t="shared" si="21"/>
        <v>3</v>
      </c>
      <c r="BJ34" s="31">
        <v>7</v>
      </c>
      <c r="BK34" s="107">
        <f t="shared" si="22"/>
        <v>1.2878233291057571E-4</v>
      </c>
      <c r="BQ34" s="31">
        <f t="shared" si="23"/>
        <v>8</v>
      </c>
      <c r="BR34" s="31">
        <v>3</v>
      </c>
      <c r="BS34" s="107">
        <f t="shared" si="24"/>
        <v>5.2806682398847806E-5</v>
      </c>
    </row>
    <row r="35" spans="1:71" ht="15.75" thickBot="1" x14ac:dyDescent="0.3">
      <c r="G35" s="88">
        <v>10</v>
      </c>
      <c r="H35" s="127">
        <f>J35*L25+J34*L26+J33*L27+J32*L28</f>
        <v>4.2329076938447498E-6</v>
      </c>
      <c r="I35" s="94">
        <v>10</v>
      </c>
      <c r="J35" s="89">
        <f t="shared" si="17"/>
        <v>1.0308371756086156E-7</v>
      </c>
      <c r="K35" s="94">
        <v>10</v>
      </c>
      <c r="L35" s="89"/>
      <c r="M35" s="85"/>
      <c r="N35" s="211"/>
      <c r="O35" s="211"/>
      <c r="P35" s="211"/>
      <c r="Q35" s="28">
        <v>10</v>
      </c>
      <c r="R35" s="211">
        <f>P30*N30</f>
        <v>4.2729508079483718E-11</v>
      </c>
      <c r="S35" s="72">
        <v>10</v>
      </c>
      <c r="T35" s="212">
        <f t="shared" si="19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6.6914142017848732E-4</v>
      </c>
      <c r="W35" s="214"/>
      <c r="X35" s="28">
        <v>10</v>
      </c>
      <c r="Y35" s="211"/>
      <c r="Z35" s="28">
        <v>10</v>
      </c>
      <c r="AA35" s="213"/>
      <c r="AB35" s="28">
        <v>10</v>
      </c>
      <c r="AC35" s="213"/>
      <c r="AD35" s="28">
        <v>10</v>
      </c>
      <c r="AE35" s="213"/>
      <c r="AF35" s="28">
        <v>10</v>
      </c>
      <c r="AG35" s="213"/>
      <c r="AH35" s="28">
        <v>10</v>
      </c>
      <c r="AI35" s="213"/>
      <c r="AJ35" s="28">
        <v>10</v>
      </c>
      <c r="AK35" s="213"/>
      <c r="AL35" s="28">
        <v>10</v>
      </c>
      <c r="AM35" s="213"/>
      <c r="AN35" s="28">
        <v>10</v>
      </c>
      <c r="AO35" s="213"/>
      <c r="AP35" s="28">
        <v>10</v>
      </c>
      <c r="AQ35" s="213"/>
      <c r="AR35" s="28">
        <v>10</v>
      </c>
      <c r="AS35" s="213">
        <f>((($W$25)^Q35)*((1-($W$25))^($U$35-Q35))*HLOOKUP($U$35,$AV$24:$BF$34,Q35+1))*V35</f>
        <v>1.0308371756086156E-7</v>
      </c>
      <c r="BI35" s="31">
        <f t="shared" si="21"/>
        <v>3</v>
      </c>
      <c r="BJ35" s="31">
        <v>8</v>
      </c>
      <c r="BK35" s="107">
        <f t="shared" si="22"/>
        <v>1.5950900806375034E-5</v>
      </c>
      <c r="BQ35" s="31">
        <f t="shared" si="23"/>
        <v>8</v>
      </c>
      <c r="BR35" s="31">
        <v>4</v>
      </c>
      <c r="BS35" s="107">
        <f t="shared" si="24"/>
        <v>2.070269932432829E-5</v>
      </c>
    </row>
    <row r="36" spans="1:71" ht="15.75" x14ac:dyDescent="0.25">
      <c r="A36" s="109" t="s">
        <v>124</v>
      </c>
      <c r="B36" s="219">
        <f>SUM(BO4:BO14)</f>
        <v>0.21903499346742622</v>
      </c>
      <c r="C36" s="1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208">
        <f>SUM(V39:V49)</f>
        <v>1</v>
      </c>
      <c r="W36" s="158"/>
      <c r="X36" s="158"/>
      <c r="AS36" s="82">
        <f>Y37+AA37+AC37+AE37+AG37+AI37+AK37+AM37+AO37+AQ37+AS37</f>
        <v>1</v>
      </c>
      <c r="BI36" s="31">
        <f t="shared" si="21"/>
        <v>3</v>
      </c>
      <c r="BJ36" s="31">
        <v>9</v>
      </c>
      <c r="BK36" s="107">
        <f t="shared" si="22"/>
        <v>1.4867065326418586E-6</v>
      </c>
      <c r="BQ36" s="31">
        <f t="shared" si="23"/>
        <v>8</v>
      </c>
      <c r="BR36" s="31">
        <v>5</v>
      </c>
      <c r="BS36" s="107">
        <f t="shared" si="24"/>
        <v>5.9037697822881979E-6</v>
      </c>
    </row>
    <row r="37" spans="1:71" ht="16.5" thickBot="1" x14ac:dyDescent="0.3">
      <c r="A37" s="110" t="s">
        <v>125</v>
      </c>
      <c r="B37" s="219">
        <f>SUM(BK4:BK59)</f>
        <v>0.32161880419528727</v>
      </c>
      <c r="G37" s="158"/>
      <c r="H37" s="266">
        <f>SUM(H39:H49)</f>
        <v>0.99999997572866561</v>
      </c>
      <c r="I37" s="267"/>
      <c r="J37" s="266">
        <f>SUM(J39:J49)</f>
        <v>1.0000000000000002</v>
      </c>
      <c r="K37" s="266"/>
      <c r="L37" s="266">
        <f>SUM(L39:L49)</f>
        <v>1</v>
      </c>
      <c r="M37" s="267"/>
      <c r="N37" s="268">
        <f>SUM(N39:N49)</f>
        <v>1</v>
      </c>
      <c r="O37" s="267"/>
      <c r="P37" s="268">
        <f>SUM(P39:P49)</f>
        <v>1</v>
      </c>
      <c r="Q37" s="267"/>
      <c r="R37" s="266">
        <f>SUM(R39:R49)</f>
        <v>1.0000000000000002</v>
      </c>
      <c r="S37" s="267"/>
      <c r="T37" s="266">
        <f>SUM(T39:T49)</f>
        <v>1.0212673611111112</v>
      </c>
      <c r="U37" s="267"/>
      <c r="V37" s="208">
        <f>SUM(V39:V48)</f>
        <v>0.62321546133103056</v>
      </c>
      <c r="W37" s="158"/>
      <c r="X37" s="158"/>
      <c r="Y37" s="205">
        <f>SUM(Y39:Y49)</f>
        <v>4.2729508079483531E-11</v>
      </c>
      <c r="Z37" s="81"/>
      <c r="AA37" s="205">
        <f>SUM(AA39:AA49)</f>
        <v>4.225741887288372E-9</v>
      </c>
      <c r="AB37" s="81"/>
      <c r="AC37" s="205">
        <f>SUM(AC39:AC49)</f>
        <v>1.880661043295241E-7</v>
      </c>
      <c r="AD37" s="81"/>
      <c r="AE37" s="205">
        <f>SUM(AE39:AE49)</f>
        <v>4.9602297766514268E-6</v>
      </c>
      <c r="AF37" s="81"/>
      <c r="AG37" s="205">
        <f>SUM(AG39:AG49)</f>
        <v>8.5862133901386573E-5</v>
      </c>
      <c r="AH37" s="81"/>
      <c r="AI37" s="205">
        <f>SUM(AI39:AI49)</f>
        <v>1.0193040896577339E-3</v>
      </c>
      <c r="AJ37" s="81"/>
      <c r="AK37" s="205">
        <f>SUM(AK39:AK49)</f>
        <v>8.4050033746020259E-3</v>
      </c>
      <c r="AL37" s="81"/>
      <c r="AM37" s="205">
        <f>SUM(AM39:AM49)</f>
        <v>4.7542375248111994E-2</v>
      </c>
      <c r="AN37" s="81"/>
      <c r="AO37" s="205">
        <f>SUM(AO39:AO49)</f>
        <v>0.17661396237822422</v>
      </c>
      <c r="AP37" s="81"/>
      <c r="AQ37" s="205">
        <f>SUM(AQ39:AQ49)</f>
        <v>0.38954380154218088</v>
      </c>
      <c r="AR37" s="81"/>
      <c r="AS37" s="205">
        <f>SUM(AS39:AS49)</f>
        <v>0.37678453866896949</v>
      </c>
      <c r="BI37" s="31">
        <f t="shared" si="21"/>
        <v>3</v>
      </c>
      <c r="BJ37" s="31">
        <v>10</v>
      </c>
      <c r="BK37" s="107">
        <f t="shared" si="22"/>
        <v>1.0132680612558471E-7</v>
      </c>
      <c r="BQ37" s="31">
        <f t="shared" si="23"/>
        <v>8</v>
      </c>
      <c r="BR37" s="31">
        <v>6</v>
      </c>
      <c r="BS37" s="107">
        <f t="shared" si="24"/>
        <v>1.2624828455929441E-6</v>
      </c>
    </row>
    <row r="38" spans="1:71" ht="16.5" thickBot="1" x14ac:dyDescent="0.3">
      <c r="A38" s="111" t="s">
        <v>126</v>
      </c>
      <c r="B38" s="219">
        <f>SUM(BS4:BS47)</f>
        <v>0.45934161095976794</v>
      </c>
      <c r="G38" s="103" t="str">
        <f t="shared" ref="G38:AS38" si="25">G24</f>
        <v>G</v>
      </c>
      <c r="H38" s="104" t="str">
        <f t="shared" si="25"/>
        <v>p</v>
      </c>
      <c r="I38" s="103" t="str">
        <f t="shared" si="25"/>
        <v>GT</v>
      </c>
      <c r="J38" s="105" t="str">
        <f t="shared" si="25"/>
        <v>p(x)</v>
      </c>
      <c r="K38" s="106" t="str">
        <f t="shared" si="25"/>
        <v>EE(x)</v>
      </c>
      <c r="L38" s="105" t="str">
        <f t="shared" si="25"/>
        <v>p</v>
      </c>
      <c r="M38" s="90" t="str">
        <f t="shared" si="25"/>
        <v>OcaS</v>
      </c>
      <c r="N38" s="30" t="str">
        <f t="shared" si="25"/>
        <v>P</v>
      </c>
      <c r="O38" s="30" t="str">
        <f t="shared" si="25"/>
        <v>O_CA</v>
      </c>
      <c r="P38" s="30" t="str">
        <f t="shared" si="25"/>
        <v>p</v>
      </c>
      <c r="Q38" s="30" t="str">
        <f t="shared" si="25"/>
        <v>TotalN</v>
      </c>
      <c r="R38" s="30" t="str">
        <f t="shared" si="25"/>
        <v>p</v>
      </c>
      <c r="S38" s="30" t="str">
        <f t="shared" si="25"/>
        <v>OcaCA</v>
      </c>
      <c r="T38" s="139" t="str">
        <f t="shared" si="25"/>
        <v>p</v>
      </c>
      <c r="U38" s="140" t="str">
        <f t="shared" si="25"/>
        <v>Total</v>
      </c>
      <c r="V38" s="141" t="str">
        <f t="shared" si="25"/>
        <v>P</v>
      </c>
      <c r="W38" s="90" t="str">
        <f t="shared" si="25"/>
        <v>E(x)</v>
      </c>
      <c r="X38" s="30" t="str">
        <f t="shared" si="25"/>
        <v>G0</v>
      </c>
      <c r="Y38" s="30" t="str">
        <f t="shared" si="25"/>
        <v>p</v>
      </c>
      <c r="Z38" s="30" t="str">
        <f t="shared" si="25"/>
        <v>G1</v>
      </c>
      <c r="AA38" s="30" t="str">
        <f t="shared" si="25"/>
        <v>p</v>
      </c>
      <c r="AB38" s="30" t="str">
        <f t="shared" si="25"/>
        <v>G2</v>
      </c>
      <c r="AC38" s="30" t="str">
        <f t="shared" si="25"/>
        <v>p</v>
      </c>
      <c r="AD38" s="30" t="str">
        <f t="shared" si="25"/>
        <v>G3</v>
      </c>
      <c r="AE38" s="30" t="str">
        <f t="shared" si="25"/>
        <v>p</v>
      </c>
      <c r="AF38" s="30" t="str">
        <f t="shared" si="25"/>
        <v>G4</v>
      </c>
      <c r="AG38" s="30" t="str">
        <f t="shared" si="25"/>
        <v>p</v>
      </c>
      <c r="AH38" s="30" t="str">
        <f t="shared" si="25"/>
        <v>G5</v>
      </c>
      <c r="AI38" s="30" t="str">
        <f t="shared" si="25"/>
        <v>p</v>
      </c>
      <c r="AJ38" s="30" t="str">
        <f t="shared" si="25"/>
        <v>G6</v>
      </c>
      <c r="AK38" s="30" t="str">
        <f t="shared" si="25"/>
        <v>p</v>
      </c>
      <c r="AL38" s="30" t="str">
        <f t="shared" si="25"/>
        <v>G7</v>
      </c>
      <c r="AM38" s="30" t="str">
        <f t="shared" si="25"/>
        <v>p</v>
      </c>
      <c r="AN38" s="30" t="str">
        <f t="shared" si="25"/>
        <v>G8</v>
      </c>
      <c r="AO38" s="30" t="str">
        <f t="shared" si="25"/>
        <v>p</v>
      </c>
      <c r="AP38" s="30" t="str">
        <f t="shared" si="25"/>
        <v>G9</v>
      </c>
      <c r="AQ38" s="30" t="str">
        <f t="shared" si="25"/>
        <v>p</v>
      </c>
      <c r="AR38" s="30" t="str">
        <f t="shared" si="25"/>
        <v>G10</v>
      </c>
      <c r="AS38" s="30" t="str">
        <f t="shared" si="25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6">BI32+1</f>
        <v>4</v>
      </c>
      <c r="BJ38" s="31">
        <v>5</v>
      </c>
      <c r="BK38" s="107">
        <f t="shared" ref="BK38:BK43" si="27">$H$29*H44</f>
        <v>1.7849110175703468E-3</v>
      </c>
      <c r="BQ38" s="31">
        <f>BM11+1</f>
        <v>8</v>
      </c>
      <c r="BR38" s="31">
        <v>7</v>
      </c>
      <c r="BS38" s="107">
        <f t="shared" si="24"/>
        <v>2.0533938967383874E-7</v>
      </c>
    </row>
    <row r="39" spans="1:71" x14ac:dyDescent="0.25">
      <c r="G39" s="128">
        <v>0</v>
      </c>
      <c r="H39" s="129">
        <f>L39*J39</f>
        <v>0.15425730594414302</v>
      </c>
      <c r="I39" s="97">
        <v>0</v>
      </c>
      <c r="J39" s="98">
        <f t="shared" ref="J39:J49" si="28">Y39+AA39+AC39+AE39+AG39+AI39+AK39+AM39+AO39+AQ39+AS39</f>
        <v>0.21963478053157509</v>
      </c>
      <c r="K39" s="102">
        <v>0</v>
      </c>
      <c r="L39" s="98">
        <f>AH18</f>
        <v>0.70233551157425511</v>
      </c>
      <c r="M39" s="85">
        <v>0</v>
      </c>
      <c r="N39" s="210">
        <f>(1-$C$24)^$B$21</f>
        <v>6.5367811711486511E-6</v>
      </c>
      <c r="O39" s="72">
        <v>0</v>
      </c>
      <c r="P39" s="210">
        <f t="shared" ref="P39:P44" si="29">N39</f>
        <v>6.5367811711486511E-6</v>
      </c>
      <c r="Q39" s="28">
        <v>0</v>
      </c>
      <c r="R39" s="211">
        <f>P39*N39</f>
        <v>4.2729508079483531E-11</v>
      </c>
      <c r="S39" s="72">
        <v>0</v>
      </c>
      <c r="T39" s="212">
        <f>(1-$C$33)^(INT(B23*2*(1-B31)))</f>
        <v>1</v>
      </c>
      <c r="U39" s="138">
        <v>0</v>
      </c>
      <c r="V39" s="86">
        <f>R39*T39</f>
        <v>4.2729508079483531E-11</v>
      </c>
      <c r="W39" s="134">
        <f>C31</f>
        <v>0.15497023752426456</v>
      </c>
      <c r="X39" s="28">
        <v>0</v>
      </c>
      <c r="Y39" s="213">
        <f>V39</f>
        <v>4.2729508079483531E-11</v>
      </c>
      <c r="Z39" s="28">
        <v>0</v>
      </c>
      <c r="AA39" s="213">
        <f>((1-W39)^Z40)*V40</f>
        <v>3.5708776632990592E-9</v>
      </c>
      <c r="AB39" s="28">
        <v>0</v>
      </c>
      <c r="AC39" s="213">
        <f>(((1-$W$39)^AB41))*V41</f>
        <v>1.3429335976922318E-7</v>
      </c>
      <c r="AD39" s="28">
        <v>0</v>
      </c>
      <c r="AE39" s="213">
        <f>(((1-$W$39)^AB42))*V42</f>
        <v>2.9930764589264428E-6</v>
      </c>
      <c r="AF39" s="28">
        <v>0</v>
      </c>
      <c r="AG39" s="213">
        <f>(((1-$W$39)^AB43))*V43</f>
        <v>4.3781405454100768E-5</v>
      </c>
      <c r="AH39" s="28">
        <v>0</v>
      </c>
      <c r="AI39" s="213">
        <f>(((1-$W$39)^AB44))*V44</f>
        <v>4.3920147847729155E-4</v>
      </c>
      <c r="AJ39" s="28">
        <v>0</v>
      </c>
      <c r="AK39" s="213">
        <f>(((1-$W$39)^AB45))*V45</f>
        <v>3.0603417296252472E-3</v>
      </c>
      <c r="AL39" s="28">
        <v>0</v>
      </c>
      <c r="AM39" s="213">
        <f>(((1-$W$39)^AB46))*V46</f>
        <v>1.4627998696392724E-2</v>
      </c>
      <c r="AN39" s="28">
        <v>0</v>
      </c>
      <c r="AO39" s="213">
        <f>(((1-$W$39)^AB47))*V47</f>
        <v>4.5919915146987685E-2</v>
      </c>
      <c r="AP39" s="28">
        <v>0</v>
      </c>
      <c r="AQ39" s="213">
        <f>(((1-$W$39)^AB48))*V48</f>
        <v>8.5586318638543296E-2</v>
      </c>
      <c r="AR39" s="28">
        <v>0</v>
      </c>
      <c r="AS39" s="213">
        <f>(((1-$W$39)^AB49))*V49</f>
        <v>6.9954092452668856E-2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6"/>
        <v>4</v>
      </c>
      <c r="BJ39" s="31">
        <v>6</v>
      </c>
      <c r="BK39" s="107">
        <f t="shared" si="27"/>
        <v>3.8169163495379774E-4</v>
      </c>
      <c r="BQ39" s="31">
        <f t="shared" ref="BQ39:BQ46" si="30">BQ31+1</f>
        <v>9</v>
      </c>
      <c r="BR39" s="31">
        <v>0</v>
      </c>
      <c r="BS39" s="107">
        <f t="shared" ref="BS39:BS47" si="31">$H$34*H39</f>
        <v>6.4775695959625263E-6</v>
      </c>
    </row>
    <row r="40" spans="1:71" x14ac:dyDescent="0.25">
      <c r="G40" s="91">
        <v>1</v>
      </c>
      <c r="H40" s="130">
        <f>L39*J40+L40*J39</f>
        <v>0.30881918363713518</v>
      </c>
      <c r="I40" s="138">
        <v>1</v>
      </c>
      <c r="J40" s="86">
        <f t="shared" si="28"/>
        <v>0.35950279884496517</v>
      </c>
      <c r="K40" s="95">
        <v>1</v>
      </c>
      <c r="L40" s="86">
        <f>AI18</f>
        <v>0.25646029905487716</v>
      </c>
      <c r="M40" s="85">
        <v>1</v>
      </c>
      <c r="N40" s="210">
        <f>(($C$24)^M26)*((1-($C$24))^($B$21-M26))*HLOOKUP($B$21,$AV$24:$BF$34,M26+1)</f>
        <v>3.2316133475283833E-4</v>
      </c>
      <c r="O40" s="72">
        <v>1</v>
      </c>
      <c r="P40" s="210">
        <f t="shared" si="29"/>
        <v>3.2316133475283833E-4</v>
      </c>
      <c r="Q40" s="28">
        <v>1</v>
      </c>
      <c r="R40" s="211">
        <f>P40*N39+P39*N40</f>
        <v>4.2248698565112395E-9</v>
      </c>
      <c r="S40" s="72">
        <v>1</v>
      </c>
      <c r="T40" s="212">
        <f t="shared" ref="T40:T49" si="32">(($C$33)^S40)*((1-($C$33))^(INT($B$23*2*(1-$B$31))-S40))*HLOOKUP(INT($B$23*2*(1-$B$31)),$AV$24:$BF$34,S40+1)</f>
        <v>2.0408163265306124E-2</v>
      </c>
      <c r="U40" s="138">
        <v>1</v>
      </c>
      <c r="V40" s="86">
        <f>R40*T39+T40*R39</f>
        <v>4.225741887288372E-9</v>
      </c>
      <c r="W40" s="214"/>
      <c r="X40" s="28">
        <v>1</v>
      </c>
      <c r="Y40" s="211"/>
      <c r="Z40" s="28">
        <v>1</v>
      </c>
      <c r="AA40" s="213">
        <f>(1-((1-W39)^Z40))*V40</f>
        <v>6.5486422398931284E-10</v>
      </c>
      <c r="AB40" s="28">
        <v>1</v>
      </c>
      <c r="AC40" s="213">
        <f>((($W$39)^M40)*((1-($W$39))^($U$27-M40))*HLOOKUP($U$27,$AV$24:$BF$34,M40+1))*V41</f>
        <v>4.9256191404182926E-8</v>
      </c>
      <c r="AD40" s="28">
        <v>1</v>
      </c>
      <c r="AE40" s="213">
        <f>((($W$39)^M40)*((1-($W$39))^($U$28-M40))*HLOOKUP($U$28,$AV$24:$BF$34,M40+1))*V42</f>
        <v>1.6467033128247987E-6</v>
      </c>
      <c r="AF40" s="28">
        <v>1</v>
      </c>
      <c r="AG40" s="213">
        <f>((($W$39)^M40)*((1-($W$39))^($U$29-M40))*HLOOKUP($U$29,$AV$24:$BF$34,M40+1))*V43</f>
        <v>3.211633532286598E-5</v>
      </c>
      <c r="AH40" s="28">
        <v>1</v>
      </c>
      <c r="AI40" s="213">
        <f>((($W$39)^M40)*((1-($W$39))^($U$30-M40))*HLOOKUP($U$30,$AV$24:$BF$34,M40+1))*V44</f>
        <v>4.0272639179728559E-4</v>
      </c>
      <c r="AJ40" s="28">
        <v>1</v>
      </c>
      <c r="AK40" s="213">
        <f>((($W$39)^M40)*((1-($W$39))^($U$31-M40))*HLOOKUP($U$31,$AV$24:$BF$34,M40+1))*V45</f>
        <v>3.3674214031655103E-3</v>
      </c>
      <c r="AL40" s="28">
        <v>1</v>
      </c>
      <c r="AM40" s="213">
        <f>((($W$39)^Q40)*((1-($W$39))^($U$32-Q40))*HLOOKUP($U$32,$AV$24:$BF$34,Q40+1))*V46</f>
        <v>1.8778428561973804E-2</v>
      </c>
      <c r="AN40" s="28">
        <v>1</v>
      </c>
      <c r="AO40" s="213">
        <f>((($W$39)^Q40)*((1-($W$39))^($U$33-Q40))*HLOOKUP($U$33,$AV$24:$BF$34,Q40+1))*V47</f>
        <v>6.7370125630358199E-2</v>
      </c>
      <c r="AP40" s="28">
        <v>1</v>
      </c>
      <c r="AQ40" s="213">
        <f>((($W$39)^Q40)*((1-($W$39))^($U$34-Q40))*HLOOKUP($U$34,$AV$24:$BF$34,Q40+1))*V48</f>
        <v>0.14126128386822309</v>
      </c>
      <c r="AR40" s="28">
        <v>1</v>
      </c>
      <c r="AS40" s="213">
        <f>((($W$39)^Q40)*((1-($W$39))^($U$35-Q40))*HLOOKUP($U$35,$AV$24:$BF$34,Q40+1))*V49</f>
        <v>0.12828900003975593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6"/>
        <v>4</v>
      </c>
      <c r="BJ40" s="31">
        <v>7</v>
      </c>
      <c r="BK40" s="107">
        <f t="shared" si="27"/>
        <v>6.2081102835272081E-5</v>
      </c>
      <c r="BQ40" s="31">
        <f t="shared" si="30"/>
        <v>9</v>
      </c>
      <c r="BR40" s="31">
        <v>1</v>
      </c>
      <c r="BS40" s="107">
        <f t="shared" si="31"/>
        <v>1.2967928762493909E-5</v>
      </c>
    </row>
    <row r="41" spans="1:71" x14ac:dyDescent="0.25">
      <c r="G41" s="91">
        <v>2</v>
      </c>
      <c r="H41" s="130">
        <f>L39*J41+J40*L40+J39*L41</f>
        <v>0.28652168973899178</v>
      </c>
      <c r="I41" s="138">
        <v>2</v>
      </c>
      <c r="J41" s="86">
        <f t="shared" si="28"/>
        <v>0.26476974350008992</v>
      </c>
      <c r="K41" s="95">
        <v>2</v>
      </c>
      <c r="L41" s="86">
        <f>AJ18</f>
        <v>3.8091877640590528E-2</v>
      </c>
      <c r="M41" s="85">
        <v>2</v>
      </c>
      <c r="N41" s="210">
        <f>(($C$24)^M27)*((1-($C$24))^($B$21-M27))*HLOOKUP($B$21,$AV$24:$BF$34,M27+1)</f>
        <v>6.3904998833476251E-3</v>
      </c>
      <c r="O41" s="72">
        <v>2</v>
      </c>
      <c r="P41" s="210">
        <f t="shared" si="29"/>
        <v>6.3904998833476251E-3</v>
      </c>
      <c r="Q41" s="28">
        <v>2</v>
      </c>
      <c r="R41" s="211">
        <f>P41*N39+P40*N40+P39*N41</f>
        <v>1.8797984690262485E-7</v>
      </c>
      <c r="S41" s="72">
        <v>2</v>
      </c>
      <c r="T41" s="212">
        <f t="shared" si="32"/>
        <v>8.3298625572678065E-4</v>
      </c>
      <c r="U41" s="138">
        <v>2</v>
      </c>
      <c r="V41" s="86">
        <f>R41*T39+T40*R40+R39*T41</f>
        <v>1.8806610432952413E-7</v>
      </c>
      <c r="W41" s="214"/>
      <c r="X41" s="28">
        <v>2</v>
      </c>
      <c r="Y41" s="211"/>
      <c r="Z41" s="28">
        <v>2</v>
      </c>
      <c r="AA41" s="213"/>
      <c r="AB41" s="28">
        <v>2</v>
      </c>
      <c r="AC41" s="213">
        <f>((($W$39)^M41)*((1-($W$39))^($U$27-M41))*HLOOKUP($U$27,$AV$24:$BF$34,M41+1))*V41</f>
        <v>4.516553156118008E-9</v>
      </c>
      <c r="AD41" s="28">
        <v>2</v>
      </c>
      <c r="AE41" s="213">
        <f>((($W$39)^M41)*((1-($W$39))^($U$28-M41))*HLOOKUP($U$28,$AV$24:$BF$34,M41+1))*V42</f>
        <v>3.0198936753754876E-7</v>
      </c>
      <c r="AF41" s="28">
        <v>2</v>
      </c>
      <c r="AG41" s="213">
        <f>((($W$39)^M41)*((1-($W$39))^($U$29-M41))*HLOOKUP($U$29,$AV$24:$BF$34,M41+1))*V43</f>
        <v>8.8347351792885224E-6</v>
      </c>
      <c r="AH41" s="28">
        <v>2</v>
      </c>
      <c r="AI41" s="213">
        <f>((($W$39)^M41)*((1-($W$39))^($U$30-M41))*HLOOKUP($U$30,$AV$24:$BF$34,M41+1))*V44</f>
        <v>1.4771220462405304E-4</v>
      </c>
      <c r="AJ41" s="28">
        <v>2</v>
      </c>
      <c r="AK41" s="213">
        <f>((($W$39)^M41)*((1-($W$39))^($U$31-M41))*HLOOKUP($U$31,$AV$24:$BF$34,M41+1))*V45</f>
        <v>1.5438808130377422E-3</v>
      </c>
      <c r="AL41" s="28">
        <v>2</v>
      </c>
      <c r="AM41" s="213">
        <f>((($W$39)^Q41)*((1-($W$39))^($U$32-Q41))*HLOOKUP($U$32,$AV$24:$BF$34,Q41+1))*V46</f>
        <v>1.0331343334188453E-2</v>
      </c>
      <c r="AN41" s="28">
        <v>2</v>
      </c>
      <c r="AO41" s="213">
        <f>((($W$39)^Q41)*((1-($W$39))^($U$33-Q41))*HLOOKUP($U$33,$AV$24:$BF$34,Q41+1))*V47</f>
        <v>4.3242589694544399E-2</v>
      </c>
      <c r="AP41" s="28">
        <v>2</v>
      </c>
      <c r="AQ41" s="213">
        <f>((($W$39)^Q41)*((1-($W$39))^($U$34-Q41))*HLOOKUP($U$34,$AV$24:$BF$34,Q41+1))*V48</f>
        <v>0.10362378077621708</v>
      </c>
      <c r="AR41" s="28">
        <v>2</v>
      </c>
      <c r="AS41" s="213">
        <f>((($W$39)^Q41)*((1-($W$39))^($U$35-Q41))*HLOOKUP($U$35,$AV$24:$BF$34,Q41+1))*V49</f>
        <v>0.10587129543637823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6"/>
        <v>4</v>
      </c>
      <c r="BJ41" s="31">
        <v>8</v>
      </c>
      <c r="BK41" s="107">
        <f t="shared" si="27"/>
        <v>7.6893273393595489E-6</v>
      </c>
      <c r="BQ41" s="31">
        <f t="shared" si="30"/>
        <v>9</v>
      </c>
      <c r="BR41" s="31">
        <v>2</v>
      </c>
      <c r="BS41" s="107">
        <f t="shared" si="31"/>
        <v>1.2031612860587302E-5</v>
      </c>
    </row>
    <row r="42" spans="1:71" ht="15" customHeight="1" x14ac:dyDescent="0.25">
      <c r="G42" s="91">
        <v>3</v>
      </c>
      <c r="H42" s="130">
        <f>J42*L39+J41*L40+L42*J39+L41*J40</f>
        <v>0.16342926127863194</v>
      </c>
      <c r="I42" s="138">
        <v>3</v>
      </c>
      <c r="J42" s="86">
        <f t="shared" si="28"/>
        <v>0.11554111078499654</v>
      </c>
      <c r="K42" s="95">
        <v>3</v>
      </c>
      <c r="L42" s="86">
        <f>AK18</f>
        <v>3.1123117302771994E-3</v>
      </c>
      <c r="M42" s="85">
        <v>3</v>
      </c>
      <c r="N42" s="210">
        <f>(($C$24)^M28)*((1-($C$24))^($B$21-M28))*HLOOKUP($B$21,$AV$24:$BF$34,M28+1)</f>
        <v>6.3185914228105738E-2</v>
      </c>
      <c r="O42" s="72">
        <v>3</v>
      </c>
      <c r="P42" s="210">
        <f t="shared" si="29"/>
        <v>6.3185914228105738E-2</v>
      </c>
      <c r="Q42" s="28">
        <v>3</v>
      </c>
      <c r="R42" s="211">
        <f>P42*N39+P41*N40+P40*N41+P39*N42</f>
        <v>4.9563899328971434E-6</v>
      </c>
      <c r="S42" s="72">
        <v>3</v>
      </c>
      <c r="T42" s="212">
        <f t="shared" si="32"/>
        <v>2.5499579256942266E-5</v>
      </c>
      <c r="U42" s="138">
        <v>3</v>
      </c>
      <c r="V42" s="86">
        <f>R42*T39+R41*T40+R40*T41+R39*T42</f>
        <v>4.9602297766514259E-6</v>
      </c>
      <c r="W42" s="214"/>
      <c r="X42" s="28">
        <v>3</v>
      </c>
      <c r="Y42" s="211"/>
      <c r="Z42" s="28">
        <v>3</v>
      </c>
      <c r="AA42" s="213"/>
      <c r="AB42" s="28">
        <v>3</v>
      </c>
      <c r="AC42" s="213"/>
      <c r="AD42" s="28">
        <v>3</v>
      </c>
      <c r="AE42" s="213">
        <f>((($W$39)^M42)*((1-($W$39))^($U$28-M42))*HLOOKUP($U$28,$AV$24:$BF$34,M42+1))*V42</f>
        <v>1.8460637362635765E-8</v>
      </c>
      <c r="AF42" s="28">
        <v>3</v>
      </c>
      <c r="AG42" s="213">
        <f>((($W$39)^M42)*((1-($W$39))^($U$29-M42))*HLOOKUP($U$29,$AV$24:$BF$34,M42+1))*V43</f>
        <v>1.0801363218159485E-6</v>
      </c>
      <c r="AH42" s="28">
        <v>3</v>
      </c>
      <c r="AI42" s="213">
        <f>((($W$39)^M42)*((1-($W$39))^($U$30-M42))*HLOOKUP($U$30,$AV$24:$BF$34,M42+1))*V44</f>
        <v>2.708898130257225E-5</v>
      </c>
      <c r="AJ42" s="28">
        <v>3</v>
      </c>
      <c r="AK42" s="213">
        <f>((($W$39)^M42)*((1-($W$39))^($U$31-M42))*HLOOKUP($U$31,$AV$24:$BF$34,M42+1))*V45</f>
        <v>3.7751029518716097E-4</v>
      </c>
      <c r="AL42" s="28">
        <v>3</v>
      </c>
      <c r="AM42" s="213">
        <f>((($W$39)^Q42)*((1-($W$39))^($U$32-Q42))*HLOOKUP($U$32,$AV$24:$BF$34,Q42+1))*V46</f>
        <v>3.157779764177015E-3</v>
      </c>
      <c r="AN42" s="28">
        <v>3</v>
      </c>
      <c r="AO42" s="213">
        <f>((($W$39)^Q42)*((1-($W$39))^($U$33-Q42))*HLOOKUP($U$33,$AV$24:$BF$34,Q42+1))*V47</f>
        <v>1.5860540524619177E-2</v>
      </c>
      <c r="AP42" s="28">
        <v>3</v>
      </c>
      <c r="AQ42" s="213">
        <f>((($W$39)^Q42)*((1-($W$39))^($U$34-Q42))*HLOOKUP($U$34,$AV$24:$BF$34,Q42+1))*V48</f>
        <v>4.434171766567277E-2</v>
      </c>
      <c r="AR42" s="28">
        <v>3</v>
      </c>
      <c r="AS42" s="213">
        <f>((($W$39)^Q42)*((1-($W$39))^($U$35-Q42))*HLOOKUP($U$35,$AV$24:$BF$34,Q42+1))*V49</f>
        <v>5.1775374957078665E-2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3">BE41+BE42</f>
        <v>210</v>
      </c>
      <c r="BI42" s="31">
        <f t="shared" si="26"/>
        <v>4</v>
      </c>
      <c r="BJ42" s="31">
        <v>9</v>
      </c>
      <c r="BK42" s="107">
        <f t="shared" si="27"/>
        <v>7.1668511551890483E-7</v>
      </c>
      <c r="BQ42" s="31">
        <f t="shared" si="30"/>
        <v>9</v>
      </c>
      <c r="BR42" s="31">
        <v>3</v>
      </c>
      <c r="BS42" s="107">
        <f t="shared" si="31"/>
        <v>6.8627181543829935E-6</v>
      </c>
    </row>
    <row r="43" spans="1:71" ht="15" customHeight="1" x14ac:dyDescent="0.25">
      <c r="G43" s="91">
        <v>4</v>
      </c>
      <c r="H43" s="130">
        <f>J43*L39+J42*L40+J41*L41+J40*L42</f>
        <v>6.4071945127960328E-2</v>
      </c>
      <c r="I43" s="138">
        <v>4</v>
      </c>
      <c r="J43" s="86">
        <f t="shared" si="28"/>
        <v>3.3083583942063226E-2</v>
      </c>
      <c r="K43" s="95">
        <v>4</v>
      </c>
      <c r="L43" s="86"/>
      <c r="M43" s="85">
        <v>4</v>
      </c>
      <c r="N43" s="210">
        <f>(($C$24)^M29)*((1-($C$24))^($B$21-M29))*HLOOKUP($B$21,$AV$24:$BF$34,M29+1)</f>
        <v>0.31237460525154631</v>
      </c>
      <c r="O43" s="72">
        <v>4</v>
      </c>
      <c r="P43" s="210">
        <f t="shared" si="29"/>
        <v>0.31237460525154631</v>
      </c>
      <c r="Q43" s="28">
        <v>4</v>
      </c>
      <c r="R43" s="211">
        <f>P43*N39+P42*N40+P41*N41+P40*N42+P39*N43</f>
        <v>8.5760826394038628E-5</v>
      </c>
      <c r="S43" s="72">
        <v>4</v>
      </c>
      <c r="T43" s="212">
        <f t="shared" si="32"/>
        <v>6.9386610222972158E-7</v>
      </c>
      <c r="U43" s="138">
        <v>4</v>
      </c>
      <c r="V43" s="86">
        <f>T43*R39+T42*R40+T41*R41+T40*R42+T39*R43</f>
        <v>8.5862133901386587E-5</v>
      </c>
      <c r="W43" s="214"/>
      <c r="X43" s="28">
        <v>4</v>
      </c>
      <c r="Y43" s="211"/>
      <c r="Z43" s="28">
        <v>4</v>
      </c>
      <c r="AA43" s="213"/>
      <c r="AB43" s="28">
        <v>4</v>
      </c>
      <c r="AC43" s="213"/>
      <c r="AD43" s="28">
        <v>4</v>
      </c>
      <c r="AE43" s="213"/>
      <c r="AF43" s="28">
        <v>4</v>
      </c>
      <c r="AG43" s="213">
        <f>((($W$39)^M43)*((1-($W$39))^($U$29-M43))*HLOOKUP($U$29,$AV$24:$BF$34,M43+1))*V43</f>
        <v>4.9521623315370934E-8</v>
      </c>
      <c r="AH43" s="28">
        <v>4</v>
      </c>
      <c r="AI43" s="213">
        <f>((($W$39)^M43)*((1-($W$39))^($U$30-M43))*HLOOKUP($U$30,$AV$24:$BF$34,M43+1))*V44</f>
        <v>2.4839278171995301E-6</v>
      </c>
      <c r="AJ43" s="28">
        <v>4</v>
      </c>
      <c r="AK43" s="213">
        <f>((($W$39)^M43)*((1-($W$39))^($U$31-M43))*HLOOKUP($U$31,$AV$24:$BF$34,M43+1))*V45</f>
        <v>5.1923786632328324E-5</v>
      </c>
      <c r="AL43" s="28">
        <v>4</v>
      </c>
      <c r="AM43" s="213">
        <f>((($W$39)^Q43)*((1-($W$39))^($U$32-Q43))*HLOOKUP($U$32,$AV$24:$BF$34,Q43+1))*V46</f>
        <v>5.79106088133647E-4</v>
      </c>
      <c r="AN43" s="28">
        <v>4</v>
      </c>
      <c r="AO43" s="213">
        <f>((($W$39)^Q43)*((1-($W$39))^($U$33-Q43))*HLOOKUP($U$33,$AV$24:$BF$34,Q43+1))*V47</f>
        <v>3.6358360402040202E-3</v>
      </c>
      <c r="AP43" s="28">
        <v>4</v>
      </c>
      <c r="AQ43" s="213">
        <f>((($W$39)^Q43)*((1-($W$39))^($U$34-Q43))*HLOOKUP($U$34,$AV$24:$BF$34,Q43+1))*V48</f>
        <v>1.2197759458940655E-2</v>
      </c>
      <c r="AR43" s="28">
        <v>4</v>
      </c>
      <c r="AS43" s="213">
        <f>((($W$39)^Q43)*((1-($W$39))^($U$35-Q43))*HLOOKUP($U$35,$AV$24:$BF$34,Q43+1))*V49</f>
        <v>1.6616425118712058E-2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3"/>
        <v>252</v>
      </c>
      <c r="BI43" s="31">
        <f t="shared" si="26"/>
        <v>4</v>
      </c>
      <c r="BJ43" s="31">
        <v>10</v>
      </c>
      <c r="BK43" s="107">
        <f t="shared" si="27"/>
        <v>4.8845829461872727E-8</v>
      </c>
      <c r="BQ43" s="31">
        <f t="shared" si="30"/>
        <v>9</v>
      </c>
      <c r="BR43" s="31">
        <v>4</v>
      </c>
      <c r="BS43" s="107">
        <f t="shared" si="31"/>
        <v>2.6905077926444453E-6</v>
      </c>
    </row>
    <row r="44" spans="1:71" ht="15" customHeight="1" thickBot="1" x14ac:dyDescent="0.3">
      <c r="G44" s="91">
        <v>5</v>
      </c>
      <c r="H44" s="130">
        <f>J44*L39+J43*L40+J42*L41+J41*L42</f>
        <v>1.827133783923381E-2</v>
      </c>
      <c r="I44" s="138">
        <v>5</v>
      </c>
      <c r="J44" s="86">
        <f t="shared" si="28"/>
        <v>6.4947423268160573E-3</v>
      </c>
      <c r="K44" s="95">
        <v>5</v>
      </c>
      <c r="L44" s="86"/>
      <c r="M44" s="85">
        <v>5</v>
      </c>
      <c r="N44" s="210">
        <f>(($C$24)^M30)*((1-($C$24))^($B$21-M30))*HLOOKUP($B$21,$AV$24:$BF$34,M30+1)</f>
        <v>0.61771928252107644</v>
      </c>
      <c r="O44" s="72">
        <v>5</v>
      </c>
      <c r="P44" s="210">
        <f t="shared" si="29"/>
        <v>0.61771928252107644</v>
      </c>
      <c r="Q44" s="28">
        <v>5</v>
      </c>
      <c r="R44" s="211">
        <f>P44*N39+P43*N40+P42*N41+P41*N42+P40*N43+P39*N44</f>
        <v>1.0175497353098854E-3</v>
      </c>
      <c r="S44" s="72">
        <v>5</v>
      </c>
      <c r="T44" s="212">
        <f t="shared" si="32"/>
        <v>1.7700665873207182E-8</v>
      </c>
      <c r="U44" s="138">
        <v>5</v>
      </c>
      <c r="V44" s="86">
        <f>T44*R39+T43*R40+T42*R41+T41*R42+T40*R43+T39*R44</f>
        <v>1.0193040896577339E-3</v>
      </c>
      <c r="W44" s="214"/>
      <c r="X44" s="28">
        <v>5</v>
      </c>
      <c r="Y44" s="211"/>
      <c r="Z44" s="28">
        <v>5</v>
      </c>
      <c r="AA44" s="213"/>
      <c r="AB44" s="28">
        <v>5</v>
      </c>
      <c r="AC44" s="213"/>
      <c r="AD44" s="28">
        <v>5</v>
      </c>
      <c r="AE44" s="213"/>
      <c r="AF44" s="28">
        <v>5</v>
      </c>
      <c r="AG44" s="213"/>
      <c r="AH44" s="28">
        <v>5</v>
      </c>
      <c r="AI44" s="213">
        <f>((($W$39)^M44)*((1-($W$39))^($U$30-M44))*HLOOKUP($U$30,$AV$24:$BF$34,M44+1))*V44</f>
        <v>9.1105639331985653E-8</v>
      </c>
      <c r="AJ44" s="28">
        <v>5</v>
      </c>
      <c r="AK44" s="213">
        <f>((($W$39)^M44)*((1-($W$39))^($U$31-M44))*HLOOKUP($U$31,$AV$24:$BF$34,M44+1))*V45</f>
        <v>3.8089269300983741E-6</v>
      </c>
      <c r="AL44" s="28">
        <v>5</v>
      </c>
      <c r="AM44" s="213">
        <f>((($W$39)^Q44)*((1-($W$39))^($U$32-Q44))*HLOOKUP($U$32,$AV$24:$BF$34,Q44+1))*V46</f>
        <v>6.3721453620916175E-5</v>
      </c>
      <c r="AN44" s="28">
        <v>5</v>
      </c>
      <c r="AO44" s="213">
        <f>((($W$39)^Q44)*((1-($W$39))^($U$33-Q44))*HLOOKUP($U$33,$AV$24:$BF$34,Q44+1))*V47</f>
        <v>5.3342156669032364E-4</v>
      </c>
      <c r="AP44" s="28">
        <v>5</v>
      </c>
      <c r="AQ44" s="213">
        <f>((($W$39)^Q44)*((1-($W$39))^($U$34-Q44))*HLOOKUP($U$34,$AV$24:$BF$34,Q44+1))*V48</f>
        <v>2.2369504182643001E-3</v>
      </c>
      <c r="AR44" s="28">
        <v>5</v>
      </c>
      <c r="AS44" s="213">
        <f>((($W$39)^Q44)*((1-($W$39))^($U$35-Q44))*HLOOKUP($U$35,$AV$24:$BF$34,Q44+1))*V49</f>
        <v>3.656748855671087E-3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3"/>
        <v>210</v>
      </c>
      <c r="BI44" s="31">
        <f>BI39+1</f>
        <v>5</v>
      </c>
      <c r="BJ44" s="31">
        <v>6</v>
      </c>
      <c r="BK44" s="107">
        <f>$H$30*H45</f>
        <v>1.3516691650443461E-4</v>
      </c>
      <c r="BQ44" s="31">
        <f t="shared" si="30"/>
        <v>9</v>
      </c>
      <c r="BR44" s="31">
        <v>5</v>
      </c>
      <c r="BS44" s="107">
        <f t="shared" si="31"/>
        <v>7.6724964007757796E-7</v>
      </c>
    </row>
    <row r="45" spans="1:71" ht="15" customHeight="1" thickBot="1" x14ac:dyDescent="0.3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>
        <f>J45*L39+J44*L40+J43*L41+J42*L42</f>
        <v>3.9072069946341085E-3</v>
      </c>
      <c r="I45" s="138">
        <v>6</v>
      </c>
      <c r="J45" s="86">
        <f t="shared" si="28"/>
        <v>8.8525731521419575E-4</v>
      </c>
      <c r="K45" s="95">
        <v>6</v>
      </c>
      <c r="L45" s="86"/>
      <c r="M45" s="85"/>
      <c r="N45" s="211"/>
      <c r="O45" s="211"/>
      <c r="P45" s="211"/>
      <c r="Q45" s="28">
        <v>6</v>
      </c>
      <c r="R45" s="211">
        <f>P44*N40+P43*N41+P42*N42+P41*N43+P40*N44</f>
        <v>8.3841654893672228E-3</v>
      </c>
      <c r="S45" s="72">
        <v>6</v>
      </c>
      <c r="T45" s="212">
        <f t="shared" si="32"/>
        <v>4.3348569485405346E-10</v>
      </c>
      <c r="U45" s="138">
        <v>6</v>
      </c>
      <c r="V45" s="86">
        <f>T45*R39+T44*R40+T43*R41+T42*R42+T41*R43+T40*R44+T39*R45</f>
        <v>8.4050033746020276E-3</v>
      </c>
      <c r="W45" s="214"/>
      <c r="X45" s="28">
        <v>6</v>
      </c>
      <c r="Y45" s="211"/>
      <c r="Z45" s="28">
        <v>6</v>
      </c>
      <c r="AA45" s="213"/>
      <c r="AB45" s="28">
        <v>6</v>
      </c>
      <c r="AC45" s="213"/>
      <c r="AD45" s="28">
        <v>6</v>
      </c>
      <c r="AE45" s="213"/>
      <c r="AF45" s="28">
        <v>6</v>
      </c>
      <c r="AG45" s="213"/>
      <c r="AH45" s="28">
        <v>6</v>
      </c>
      <c r="AI45" s="213"/>
      <c r="AJ45" s="28">
        <v>6</v>
      </c>
      <c r="AK45" s="213">
        <f>((($W$39)^Q45)*((1-($W$39))^($U$31-Q45))*HLOOKUP($U$31,$AV$24:$BF$34,Q45+1))*V45</f>
        <v>1.1642002394104278E-7</v>
      </c>
      <c r="AL45" s="28">
        <v>6</v>
      </c>
      <c r="AM45" s="213">
        <f>((($W$39)^Q45)*((1-($W$39))^($U$32-Q45))*HLOOKUP($U$32,$AV$24:$BF$34,Q45+1))*V46</f>
        <v>3.8952982255889628E-6</v>
      </c>
      <c r="AN45" s="28">
        <v>6</v>
      </c>
      <c r="AO45" s="213">
        <f>((($W$39)^Q45)*((1-($W$39))^($U$33-Q45))*HLOOKUP($U$33,$AV$24:$BF$34,Q45+1))*V47</f>
        <v>4.8912162956472455E-5</v>
      </c>
      <c r="AP45" s="28">
        <v>6</v>
      </c>
      <c r="AQ45" s="213">
        <f>((($W$39)^Q45)*((1-($W$39))^($U$34-Q45))*HLOOKUP($U$34,$AV$24:$BF$34,Q45+1))*V48</f>
        <v>2.7348996295135475E-4</v>
      </c>
      <c r="AR45" s="28">
        <v>6</v>
      </c>
      <c r="AS45" s="213">
        <f>((($W$39)^Q45)*((1-($W$39))^($U$35-Q45))*HLOOKUP($U$35,$AV$24:$BF$34,Q45+1))*V49</f>
        <v>5.5884347105683856E-4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3"/>
        <v>120</v>
      </c>
      <c r="BI45" s="31">
        <f>BI40+1</f>
        <v>5</v>
      </c>
      <c r="BJ45" s="31">
        <v>7</v>
      </c>
      <c r="BK45" s="107">
        <f>$H$30*H46</f>
        <v>2.1984530115401071E-5</v>
      </c>
      <c r="BQ45" s="31">
        <f t="shared" si="30"/>
        <v>9</v>
      </c>
      <c r="BR45" s="31">
        <v>6</v>
      </c>
      <c r="BS45" s="107">
        <f t="shared" si="31"/>
        <v>1.6407135518585129E-7</v>
      </c>
    </row>
    <row r="46" spans="1:71" ht="15" customHeight="1" thickBot="1" x14ac:dyDescent="0.3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>
        <f>J46*L39+J45*L40+J44*L41+J43*L42</f>
        <v>6.3549655538543777E-4</v>
      </c>
      <c r="I46" s="138">
        <v>7</v>
      </c>
      <c r="J46" s="86">
        <f t="shared" si="28"/>
        <v>8.2723772648379793E-5</v>
      </c>
      <c r="K46" s="95">
        <v>7</v>
      </c>
      <c r="L46" s="86"/>
      <c r="M46" s="85"/>
      <c r="N46" s="211"/>
      <c r="O46" s="211"/>
      <c r="P46" s="211"/>
      <c r="Q46" s="28">
        <v>7</v>
      </c>
      <c r="R46" s="211">
        <f>P44*N41+P43*N42+P42*N43+P41*N44</f>
        <v>4.7370420034710224E-2</v>
      </c>
      <c r="S46" s="72">
        <v>7</v>
      </c>
      <c r="T46" s="212">
        <f t="shared" si="32"/>
        <v>1.032108797271556E-11</v>
      </c>
      <c r="U46" s="138">
        <v>7</v>
      </c>
      <c r="V46" s="86">
        <f>T46*R39+T45*R40+T44*R41+T43*R42+T42*R43+T41*R44+T40*R45+T39*R46</f>
        <v>4.7542375248111994E-2</v>
      </c>
      <c r="W46" s="214"/>
      <c r="X46" s="28">
        <v>7</v>
      </c>
      <c r="Y46" s="211"/>
      <c r="Z46" s="28">
        <v>7</v>
      </c>
      <c r="AA46" s="213"/>
      <c r="AB46" s="28">
        <v>7</v>
      </c>
      <c r="AC46" s="213"/>
      <c r="AD46" s="28">
        <v>7</v>
      </c>
      <c r="AE46" s="213"/>
      <c r="AF46" s="28">
        <v>7</v>
      </c>
      <c r="AG46" s="213"/>
      <c r="AH46" s="28">
        <v>7</v>
      </c>
      <c r="AI46" s="213"/>
      <c r="AJ46" s="28">
        <v>7</v>
      </c>
      <c r="AK46" s="213"/>
      <c r="AL46" s="28">
        <v>7</v>
      </c>
      <c r="AM46" s="213">
        <f>((($W$39)^Q46)*((1-($W$39))^($U$32-Q46))*HLOOKUP($U$32,$AV$24:$BF$34,Q46+1))*V46</f>
        <v>1.0205139985311659E-7</v>
      </c>
      <c r="AN46" s="28">
        <v>7</v>
      </c>
      <c r="AO46" s="213">
        <f>((($W$39)^Q46)*((1-($W$39))^($U$33-Q46))*HLOOKUP($U$33,$AV$24:$BF$34,Q46+1))*V47</f>
        <v>2.5628613833781895E-6</v>
      </c>
      <c r="AP46" s="28">
        <v>7</v>
      </c>
      <c r="AQ46" s="213">
        <f>((($W$39)^Q46)*((1-($W$39))^($U$34-Q46))*HLOOKUP($U$34,$AV$24:$BF$34,Q46+1))*V48</f>
        <v>2.1495170804856255E-5</v>
      </c>
      <c r="AR46" s="28">
        <v>7</v>
      </c>
      <c r="AS46" s="213">
        <f>((($W$39)^Q46)*((1-($W$39))^($U$35-Q46))*HLOOKUP($U$35,$AV$24:$BF$34,Q46+1))*V49</f>
        <v>5.8563689060292232E-5</v>
      </c>
      <c r="AV46" s="14">
        <v>8</v>
      </c>
      <c r="BD46" s="31">
        <v>1</v>
      </c>
      <c r="BE46" s="31">
        <v>9</v>
      </c>
      <c r="BF46" s="31">
        <f t="shared" si="33"/>
        <v>45</v>
      </c>
      <c r="BI46" s="31">
        <f>BI41+1</f>
        <v>5</v>
      </c>
      <c r="BJ46" s="31">
        <v>8</v>
      </c>
      <c r="BK46" s="107">
        <f>$H$30*H47</f>
        <v>2.7229904228325222E-6</v>
      </c>
      <c r="BQ46" s="31">
        <f t="shared" si="30"/>
        <v>9</v>
      </c>
      <c r="BR46" s="31">
        <v>7</v>
      </c>
      <c r="BS46" s="107">
        <f t="shared" si="31"/>
        <v>2.6685758190242303E-8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>
        <f>J47*L39+J46*L40+J45*L41+J44*L42</f>
        <v>7.8712213769142702E-5</v>
      </c>
      <c r="I47" s="138">
        <v>8</v>
      </c>
      <c r="J47" s="86">
        <f t="shared" si="28"/>
        <v>5.0717558455118299E-6</v>
      </c>
      <c r="K47" s="95">
        <v>8</v>
      </c>
      <c r="L47" s="86"/>
      <c r="M47" s="85"/>
      <c r="N47" s="211"/>
      <c r="O47" s="211"/>
      <c r="P47" s="211"/>
      <c r="Q47" s="28">
        <v>8</v>
      </c>
      <c r="R47" s="211">
        <f>P44*N42+P43*N43+P42*N44</f>
        <v>0.17564020921090689</v>
      </c>
      <c r="S47" s="72">
        <v>8</v>
      </c>
      <c r="T47" s="212">
        <f t="shared" si="32"/>
        <v>2.4072508391173318E-13</v>
      </c>
      <c r="U47" s="138">
        <v>8</v>
      </c>
      <c r="V47" s="86">
        <f>T47*R39+T46*R40+T45*R41+T44*R42+T43*R43+T42*R44+T41*R45+T40*R46+T39*R47</f>
        <v>0.17661396237822424</v>
      </c>
      <c r="W47" s="214"/>
      <c r="X47" s="28">
        <v>8</v>
      </c>
      <c r="Y47" s="211"/>
      <c r="Z47" s="28">
        <v>8</v>
      </c>
      <c r="AA47" s="213"/>
      <c r="AB47" s="28">
        <v>8</v>
      </c>
      <c r="AC47" s="213"/>
      <c r="AD47" s="28">
        <v>8</v>
      </c>
      <c r="AE47" s="213"/>
      <c r="AF47" s="28">
        <v>8</v>
      </c>
      <c r="AG47" s="213"/>
      <c r="AH47" s="28">
        <v>8</v>
      </c>
      <c r="AI47" s="213"/>
      <c r="AJ47" s="28">
        <v>8</v>
      </c>
      <c r="AK47" s="213"/>
      <c r="AL47" s="28">
        <v>8</v>
      </c>
      <c r="AM47" s="213"/>
      <c r="AN47" s="28">
        <v>8</v>
      </c>
      <c r="AO47" s="213">
        <f>((($W$39)^Q47)*((1-($W$39))^($U$33-Q47))*HLOOKUP($U$33,$AV$24:$BF$34,Q47+1))*V47</f>
        <v>5.8750480598499571E-8</v>
      </c>
      <c r="AP47" s="28">
        <v>8</v>
      </c>
      <c r="AQ47" s="213">
        <f>((($W$39)^Q47)*((1-($W$39))^($U$34-Q47))*HLOOKUP($U$34,$AV$24:$BF$34,Q47+1))*V48</f>
        <v>9.8550130219492154E-7</v>
      </c>
      <c r="AR47" s="28">
        <v>8</v>
      </c>
      <c r="AS47" s="213">
        <f>((($W$39)^Q47)*((1-($W$39))^($U$35-Q47))*HLOOKUP($U$35,$AV$24:$BF$34,Q47+1))*V49</f>
        <v>4.027504062718409E-6</v>
      </c>
      <c r="AV47" s="29">
        <v>9</v>
      </c>
      <c r="BE47" s="31">
        <v>1</v>
      </c>
      <c r="BF47" s="31">
        <f t="shared" si="33"/>
        <v>10</v>
      </c>
      <c r="BI47" s="31">
        <f>BI42+1</f>
        <v>5</v>
      </c>
      <c r="BJ47" s="31">
        <v>9</v>
      </c>
      <c r="BK47" s="107">
        <f>$H$30*H48</f>
        <v>2.5379680427379775E-7</v>
      </c>
      <c r="BQ47" s="31">
        <f>BM12+1</f>
        <v>9</v>
      </c>
      <c r="BR47" s="31">
        <v>8</v>
      </c>
      <c r="BS47" s="107">
        <f t="shared" si="31"/>
        <v>3.3052816501704283E-9</v>
      </c>
    </row>
    <row r="48" spans="1:71" ht="15" customHeight="1" thickBot="1" x14ac:dyDescent="0.3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>
        <f>J48*L39+J47*L40+J46*L41+J45*L42</f>
        <v>7.3363858148072234E-6</v>
      </c>
      <c r="I48" s="138">
        <v>9</v>
      </c>
      <c r="J48" s="86">
        <f t="shared" si="28"/>
        <v>1.8421571977612549E-7</v>
      </c>
      <c r="K48" s="95">
        <v>9</v>
      </c>
      <c r="L48" s="86"/>
      <c r="M48" s="85"/>
      <c r="N48" s="211"/>
      <c r="O48" s="211"/>
      <c r="P48" s="211"/>
      <c r="Q48" s="28">
        <v>9</v>
      </c>
      <c r="R48" s="211">
        <f>P44*N43+P43*N44</f>
        <v>0.38591963406757934</v>
      </c>
      <c r="S48" s="72">
        <v>9</v>
      </c>
      <c r="T48" s="212">
        <f t="shared" si="32"/>
        <v>5.5268514163408127E-15</v>
      </c>
      <c r="U48" s="138">
        <v>9</v>
      </c>
      <c r="V48" s="86">
        <f>T48*R39+T47*R40+T46*R41+T45*R42+T44*R43+T43*R44+T42*R45+T41*R46+T40*R47+T39*R48</f>
        <v>0.38954380154218082</v>
      </c>
      <c r="W48" s="214"/>
      <c r="X48" s="28">
        <v>9</v>
      </c>
      <c r="Y48" s="211"/>
      <c r="Z48" s="28">
        <v>9</v>
      </c>
      <c r="AA48" s="213"/>
      <c r="AB48" s="28">
        <v>9</v>
      </c>
      <c r="AC48" s="213"/>
      <c r="AD48" s="28">
        <v>9</v>
      </c>
      <c r="AE48" s="213"/>
      <c r="AF48" s="28">
        <v>9</v>
      </c>
      <c r="AG48" s="213"/>
      <c r="AH48" s="28">
        <v>9</v>
      </c>
      <c r="AI48" s="213"/>
      <c r="AJ48" s="28">
        <v>9</v>
      </c>
      <c r="AK48" s="213"/>
      <c r="AL48" s="28">
        <v>9</v>
      </c>
      <c r="AM48" s="213"/>
      <c r="AN48" s="28">
        <v>9</v>
      </c>
      <c r="AO48" s="213"/>
      <c r="AP48" s="28">
        <v>9</v>
      </c>
      <c r="AQ48" s="213">
        <f>((($W$39)^Q48)*((1-($W$39))^($U$34-Q48))*HLOOKUP($U$34,$AV$24:$BF$34,Q48+1))*V48</f>
        <v>2.0081261258272264E-8</v>
      </c>
      <c r="AR48" s="28">
        <v>9</v>
      </c>
      <c r="AS48" s="213">
        <f>((($W$39)^Q48)*((1-($W$39))^($U$35-Q48))*HLOOKUP($U$35,$AV$24:$BF$34,Q48+1))*V49</f>
        <v>1.6413445851785323E-7</v>
      </c>
      <c r="AV48" s="14">
        <v>10</v>
      </c>
      <c r="BF48" s="31">
        <f t="shared" si="33"/>
        <v>1</v>
      </c>
      <c r="BI48" s="31">
        <f>BI43+1</f>
        <v>5</v>
      </c>
      <c r="BJ48" s="31">
        <v>10</v>
      </c>
      <c r="BK48" s="107">
        <f>$H$30*H49</f>
        <v>1.729757623129988E-8</v>
      </c>
    </row>
    <row r="49" spans="1:63" ht="15" customHeight="1" thickBot="1" x14ac:dyDescent="0.3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>
        <f>J49*L39+J48*L40+J47*L41+J46*L42</f>
        <v>5.0001296610871668E-7</v>
      </c>
      <c r="I49" s="94">
        <v>10</v>
      </c>
      <c r="J49" s="89">
        <f t="shared" si="28"/>
        <v>3.0100662901987007E-9</v>
      </c>
      <c r="K49" s="96">
        <v>10</v>
      </c>
      <c r="L49" s="89"/>
      <c r="M49" s="85"/>
      <c r="N49" s="211"/>
      <c r="O49" s="211"/>
      <c r="P49" s="211"/>
      <c r="Q49" s="28">
        <v>10</v>
      </c>
      <c r="R49" s="211">
        <f>P44*N44</f>
        <v>0.38157711199835348</v>
      </c>
      <c r="S49" s="72">
        <v>10</v>
      </c>
      <c r="T49" s="212">
        <f t="shared" si="32"/>
        <v>1.2532542894196855E-16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0.37678453866896944</v>
      </c>
      <c r="W49" s="214"/>
      <c r="X49" s="28">
        <v>10</v>
      </c>
      <c r="Y49" s="211"/>
      <c r="Z49" s="28">
        <v>10</v>
      </c>
      <c r="AA49" s="213"/>
      <c r="AB49" s="28">
        <v>10</v>
      </c>
      <c r="AC49" s="213"/>
      <c r="AD49" s="28">
        <v>10</v>
      </c>
      <c r="AE49" s="213"/>
      <c r="AF49" s="28">
        <v>10</v>
      </c>
      <c r="AG49" s="213"/>
      <c r="AH49" s="28">
        <v>10</v>
      </c>
      <c r="AI49" s="213"/>
      <c r="AJ49" s="28">
        <v>10</v>
      </c>
      <c r="AK49" s="213"/>
      <c r="AL49" s="28">
        <v>10</v>
      </c>
      <c r="AM49" s="213"/>
      <c r="AN49" s="28">
        <v>10</v>
      </c>
      <c r="AO49" s="213"/>
      <c r="AP49" s="28">
        <v>10</v>
      </c>
      <c r="AQ49" s="213"/>
      <c r="AR49" s="28">
        <v>10</v>
      </c>
      <c r="AS49" s="213">
        <f>((($W$39)^Q49)*((1-($W$39))^($U$35-Q49))*HLOOKUP($U$35,$AV$24:$BF$34,Q49+1))*V49</f>
        <v>3.0100662901987007E-9</v>
      </c>
      <c r="BI49" s="31">
        <f>BQ14+1</f>
        <v>6</v>
      </c>
      <c r="BJ49" s="31">
        <v>0</v>
      </c>
      <c r="BK49" s="107">
        <f>$H$31*H39</f>
        <v>1.4389493421433353E-3</v>
      </c>
    </row>
    <row r="50" spans="1:63" ht="15.75" thickBot="1" x14ac:dyDescent="0.3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217"/>
      <c r="H50" s="77"/>
      <c r="I50" s="299"/>
      <c r="J50" s="299"/>
      <c r="K50" s="77"/>
      <c r="L50" s="77"/>
      <c r="O50" s="204"/>
      <c r="P50" s="204"/>
      <c r="Q50" s="204"/>
      <c r="R50" s="204"/>
      <c r="S50" s="217"/>
      <c r="T50" s="217"/>
      <c r="U50" s="217"/>
      <c r="V50" s="77"/>
      <c r="W50" s="299"/>
      <c r="X50" s="158"/>
      <c r="Y50" s="158"/>
      <c r="BI50" s="31">
        <f>BI45+1</f>
        <v>6</v>
      </c>
      <c r="BJ50" s="31">
        <v>7</v>
      </c>
      <c r="BK50" s="107">
        <f>$H$31*H46</f>
        <v>5.9280650903974366E-6</v>
      </c>
    </row>
    <row r="51" spans="1:63" ht="15.75" thickBot="1" x14ac:dyDescent="0.3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I51" s="31">
        <f>BI46+1</f>
        <v>6</v>
      </c>
      <c r="BJ51" s="31">
        <v>8</v>
      </c>
      <c r="BK51" s="107">
        <f>$H$31*H47</f>
        <v>7.3424650799208335E-7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6.8435575724038349E-8</v>
      </c>
    </row>
    <row r="53" spans="1:63" x14ac:dyDescent="0.25">
      <c r="BI53" s="31">
        <f>BI48+1</f>
        <v>6</v>
      </c>
      <c r="BJ53" s="31">
        <v>10</v>
      </c>
      <c r="BK53" s="107">
        <f>$H$31*H49</f>
        <v>4.6642415037755556E-9</v>
      </c>
    </row>
    <row r="54" spans="1:63" x14ac:dyDescent="0.25">
      <c r="BI54" s="31">
        <f>BI51+1</f>
        <v>7</v>
      </c>
      <c r="BJ54" s="31">
        <v>8</v>
      </c>
      <c r="BK54" s="107">
        <f>$H$32*H47</f>
        <v>1.5405546995562296E-7</v>
      </c>
    </row>
    <row r="55" spans="1:63" x14ac:dyDescent="0.25">
      <c r="BI55" s="31">
        <f>BI52+1</f>
        <v>7</v>
      </c>
      <c r="BJ55" s="31">
        <v>9</v>
      </c>
      <c r="BK55" s="107">
        <f>$H$32*H48</f>
        <v>1.4358767341885708E-8</v>
      </c>
    </row>
    <row r="56" spans="1:63" x14ac:dyDescent="0.25">
      <c r="BI56" s="31">
        <f>BI53+1</f>
        <v>7</v>
      </c>
      <c r="BJ56" s="31">
        <v>10</v>
      </c>
      <c r="BK56" s="107">
        <f>$H$32*H49</f>
        <v>9.7862490189522587E-10</v>
      </c>
    </row>
    <row r="57" spans="1:63" x14ac:dyDescent="0.25">
      <c r="BI57" s="31">
        <f>BI55+1</f>
        <v>8</v>
      </c>
      <c r="BJ57" s="31">
        <v>9</v>
      </c>
      <c r="BK57" s="107">
        <f>$H$33*H48</f>
        <v>2.3705069254240733E-9</v>
      </c>
    </row>
    <row r="58" spans="1:63" x14ac:dyDescent="0.25">
      <c r="BI58" s="31">
        <f>BI56+1</f>
        <v>8</v>
      </c>
      <c r="BJ58" s="31">
        <v>10</v>
      </c>
      <c r="BK58" s="107">
        <f>$H$33*H49</f>
        <v>1.6156241354840617E-10</v>
      </c>
    </row>
    <row r="59" spans="1:63" x14ac:dyDescent="0.25">
      <c r="BI59" s="31">
        <f>BI58+1</f>
        <v>9</v>
      </c>
      <c r="BJ59" s="31">
        <v>10</v>
      </c>
      <c r="BK59" s="107">
        <f>$H$34*H49</f>
        <v>2.099653411570449E-11</v>
      </c>
    </row>
  </sheetData>
  <mergeCells count="2">
    <mergeCell ref="Q1:R1"/>
    <mergeCell ref="B3:C3"/>
  </mergeCells>
  <conditionalFormatting sqref="H49">
    <cfRule type="cellIs" dxfId="125" priority="1" operator="greaterThan">
      <formula>0.15</formula>
    </cfRule>
  </conditionalFormatting>
  <conditionalFormatting sqref="H39:H49">
    <cfRule type="cellIs" dxfId="124" priority="2" operator="greaterThan">
      <formula>0.15</formula>
    </cfRule>
  </conditionalFormatting>
  <conditionalFormatting sqref="H49">
    <cfRule type="cellIs" dxfId="123" priority="3" operator="greaterThan">
      <formula>0.15</formula>
    </cfRule>
  </conditionalFormatting>
  <conditionalFormatting sqref="H39:H49">
    <cfRule type="cellIs" dxfId="122" priority="4" operator="greaterThan">
      <formula>0.15</formula>
    </cfRule>
  </conditionalFormatting>
  <conditionalFormatting sqref="H35">
    <cfRule type="cellIs" dxfId="121" priority="5" operator="greaterThan">
      <formula>0.15</formula>
    </cfRule>
  </conditionalFormatting>
  <conditionalFormatting sqref="H25:H35">
    <cfRule type="cellIs" dxfId="120" priority="6" operator="greaterThan">
      <formula>0.15</formula>
    </cfRule>
  </conditionalFormatting>
  <conditionalFormatting sqref="H35">
    <cfRule type="cellIs" dxfId="119" priority="7" operator="greaterThan">
      <formula>0.15</formula>
    </cfRule>
  </conditionalFormatting>
  <conditionalFormatting sqref="H25:H35">
    <cfRule type="cellIs" dxfId="118" priority="8" operator="greaterThan">
      <formula>0.15</formula>
    </cfRule>
  </conditionalFormatting>
  <conditionalFormatting sqref="V49">
    <cfRule type="cellIs" dxfId="117" priority="9" operator="greaterThan">
      <formula>0.15</formula>
    </cfRule>
  </conditionalFormatting>
  <conditionalFormatting sqref="V35">
    <cfRule type="cellIs" dxfId="116" priority="10" operator="greaterThan">
      <formula>0.15</formula>
    </cfRule>
  </conditionalFormatting>
  <conditionalFormatting sqref="V25:V35 V39:V49">
    <cfRule type="cellIs" dxfId="115" priority="11" operator="greaterThan">
      <formula>0.15</formula>
    </cfRule>
  </conditionalFormatting>
  <conditionalFormatting sqref="V49">
    <cfRule type="cellIs" dxfId="114" priority="12" operator="greaterThan">
      <formula>0.15</formula>
    </cfRule>
  </conditionalFormatting>
  <conditionalFormatting sqref="V35">
    <cfRule type="cellIs" dxfId="113" priority="13" operator="greaterThan">
      <formula>0.15</formula>
    </cfRule>
  </conditionalFormatting>
  <conditionalFormatting sqref="V25:V35 V39:V49">
    <cfRule type="cellIs" dxfId="112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BR59"/>
  <sheetViews>
    <sheetView topLeftCell="A4" zoomScale="80" workbookViewId="0">
      <selection activeCell="C5" sqref="C5"/>
    </sheetView>
  </sheetViews>
  <sheetFormatPr baseColWidth="10" defaultColWidth="9.140625" defaultRowHeight="15" x14ac:dyDescent="0.25"/>
  <cols>
    <col min="1" max="1" width="22.7109375" customWidth="1"/>
    <col min="4" max="4" width="11.28515625" customWidth="1"/>
    <col min="5" max="5" width="10.140625" customWidth="1"/>
    <col min="6" max="6" width="4.85546875" customWidth="1"/>
    <col min="7" max="7" width="6" customWidth="1"/>
    <col min="9" max="9" width="4.42578125" customWidth="1"/>
    <col min="11" max="11" width="6" customWidth="1"/>
    <col min="13" max="13" width="5.7109375" customWidth="1"/>
    <col min="15" max="15" width="7.140625" customWidth="1"/>
    <col min="17" max="17" width="8.85546875" customWidth="1"/>
    <col min="19" max="19" width="7.7109375" customWidth="1"/>
    <col min="21" max="21" width="7.140625" customWidth="1"/>
    <col min="23" max="23" width="17.42578125" customWidth="1"/>
    <col min="24" max="24" width="7.140625" customWidth="1"/>
    <col min="26" max="26" width="8.7109375" customWidth="1"/>
    <col min="27" max="27" width="8" customWidth="1"/>
    <col min="28" max="28" width="10" customWidth="1"/>
    <col min="29" max="29" width="8.42578125" customWidth="1"/>
    <col min="30" max="30" width="7.140625" customWidth="1"/>
    <col min="31" max="31" width="8.42578125" customWidth="1"/>
    <col min="32" max="32" width="8.7109375" customWidth="1"/>
    <col min="33" max="33" width="8.42578125" customWidth="1"/>
    <col min="34" max="34" width="3.7109375" customWidth="1"/>
    <col min="35" max="35" width="8.42578125" customWidth="1"/>
    <col min="36" max="36" width="3.7109375" customWidth="1"/>
    <col min="37" max="37" width="8.42578125" customWidth="1"/>
    <col min="38" max="38" width="4.85546875" customWidth="1"/>
    <col min="42" max="42" width="4.5703125" customWidth="1"/>
    <col min="43" max="43" width="8.42578125" customWidth="1"/>
    <col min="44" max="44" width="5.42578125" customWidth="1"/>
    <col min="45" max="45" width="8.42578125" customWidth="1"/>
    <col min="46" max="46" width="2.28515625" customWidth="1"/>
    <col min="47" max="47" width="3.42578125" customWidth="1"/>
    <col min="48" max="48" width="4.28515625" customWidth="1"/>
    <col min="49" max="52" width="3" customWidth="1"/>
    <col min="53" max="56" width="3.42578125" customWidth="1"/>
    <col min="57" max="58" width="4.42578125" customWidth="1"/>
    <col min="60" max="60" width="2.42578125" customWidth="1"/>
    <col min="61" max="61" width="3.42578125" customWidth="1"/>
    <col min="62" max="62" width="6.140625" customWidth="1"/>
    <col min="63" max="63" width="4.7109375" customWidth="1"/>
    <col min="64" max="65" width="3.42578125" customWidth="1"/>
    <col min="66" max="66" width="6.140625" customWidth="1"/>
    <col min="67" max="67" width="4.42578125" customWidth="1"/>
    <col min="68" max="69" width="2.42578125" customWidth="1"/>
    <col min="70" max="70" width="5.28515625" customWidth="1"/>
  </cols>
  <sheetData>
    <row r="1" spans="1:70" x14ac:dyDescent="0.25">
      <c r="A1" s="153" t="s">
        <v>143</v>
      </c>
      <c r="F1" s="10" t="s">
        <v>1</v>
      </c>
      <c r="G1" s="70">
        <f>IF(D3="SI",COUNTIF($F$6:$F$18,"RAP"),0)</f>
        <v>0</v>
      </c>
      <c r="H1" s="70">
        <f>G1+G2+G3</f>
        <v>0</v>
      </c>
      <c r="J1" s="11" t="s">
        <v>1</v>
      </c>
      <c r="K1" s="70">
        <f>IF(D3="SI",COUNTIF($J$6:$J$18,"RAP"),0)</f>
        <v>0</v>
      </c>
      <c r="L1" s="70">
        <f>K1+K2+K3</f>
        <v>0</v>
      </c>
      <c r="M1" s="148">
        <f>L1+H1</f>
        <v>0</v>
      </c>
      <c r="P1" s="306" t="s">
        <v>157</v>
      </c>
      <c r="Q1" s="306"/>
      <c r="R1" s="150">
        <v>-0.12364059050405626</v>
      </c>
      <c r="S1" s="151">
        <f>1+R1</f>
        <v>0.87635940949594371</v>
      </c>
      <c r="AF1">
        <f>COUNTA(J16:J18)</f>
        <v>0</v>
      </c>
    </row>
    <row r="2" spans="1:70" x14ac:dyDescent="0.25">
      <c r="A2" s="153" t="s">
        <v>146</v>
      </c>
      <c r="F2" s="10" t="s">
        <v>2</v>
      </c>
      <c r="G2" s="70">
        <f>IF(D3="SI",COUNTIF($F$6:$F$18,"TEC"),0)</f>
        <v>0</v>
      </c>
      <c r="H2" s="13"/>
      <c r="J2" s="11" t="s">
        <v>2</v>
      </c>
      <c r="K2" s="70">
        <f>IF(D3="SI",COUNTIF($J$6:$J$18,"TEC"),0)</f>
        <v>0</v>
      </c>
      <c r="L2" s="13" t="s">
        <v>155</v>
      </c>
      <c r="M2" s="147" t="str">
        <f>IF(M1&lt;&gt;0,"SI","NO")</f>
        <v>NO</v>
      </c>
      <c r="R2" s="150">
        <v>7.3959748117051499E-2</v>
      </c>
      <c r="S2" s="151">
        <f>1+R2</f>
        <v>1.0739597481170515</v>
      </c>
    </row>
    <row r="3" spans="1:70" x14ac:dyDescent="0.25">
      <c r="A3" s="146" t="s">
        <v>4</v>
      </c>
      <c r="B3" s="308" t="s">
        <v>162</v>
      </c>
      <c r="C3" s="308"/>
      <c r="D3" t="str">
        <f>IF(B3="Sol","SI",IF(B3="Lluvia","SI","NO"))</f>
        <v>NO</v>
      </c>
      <c r="F3" s="10" t="s">
        <v>6</v>
      </c>
      <c r="G3" s="70">
        <f>IF(D3="SI",COUNTIF($F$6:$F$18,"POT"),0)</f>
        <v>0</v>
      </c>
      <c r="H3" s="13"/>
      <c r="J3" s="11" t="s">
        <v>6</v>
      </c>
      <c r="K3" s="70">
        <f>IF(D3="SI",COUNTIF($J$6:$J$18,"POT"),0)</f>
        <v>0</v>
      </c>
      <c r="L3" s="13"/>
      <c r="O3" t="s">
        <v>7</v>
      </c>
      <c r="P3" s="16" t="s">
        <v>149</v>
      </c>
      <c r="Q3" t="s">
        <v>8</v>
      </c>
      <c r="R3" s="16" t="s">
        <v>150</v>
      </c>
      <c r="Y3" t="s">
        <v>7</v>
      </c>
      <c r="Z3" s="19" t="s">
        <v>149</v>
      </c>
      <c r="AA3" t="s">
        <v>8</v>
      </c>
      <c r="AB3" s="19" t="s">
        <v>150</v>
      </c>
    </row>
    <row r="4" spans="1:70" ht="15.75" x14ac:dyDescent="0.25">
      <c r="A4" s="122"/>
      <c r="B4" s="8" t="s">
        <v>9</v>
      </c>
      <c r="C4" s="9" t="s">
        <v>10</v>
      </c>
      <c r="D4" s="13"/>
      <c r="E4" s="13"/>
      <c r="F4" s="8" t="s">
        <v>11</v>
      </c>
      <c r="G4" s="8" t="s">
        <v>12</v>
      </c>
      <c r="H4" s="8" t="s">
        <v>13</v>
      </c>
      <c r="I4" s="8" t="s">
        <v>14</v>
      </c>
      <c r="J4" s="9" t="s">
        <v>15</v>
      </c>
      <c r="K4" s="9" t="s">
        <v>12</v>
      </c>
      <c r="L4" s="9" t="s">
        <v>13</v>
      </c>
      <c r="M4" s="9" t="s">
        <v>14</v>
      </c>
      <c r="N4" s="13"/>
      <c r="O4" s="8" t="s">
        <v>16</v>
      </c>
      <c r="P4" s="8" t="s">
        <v>17</v>
      </c>
      <c r="Q4" s="8" t="s">
        <v>158</v>
      </c>
      <c r="R4" s="8" t="s">
        <v>19</v>
      </c>
      <c r="S4" s="8" t="s">
        <v>20</v>
      </c>
      <c r="T4" s="8" t="s">
        <v>21</v>
      </c>
      <c r="U4" s="8" t="s">
        <v>22</v>
      </c>
      <c r="V4" s="153"/>
      <c r="W4" s="123"/>
      <c r="X4" s="12" t="s">
        <v>23</v>
      </c>
      <c r="Y4" s="9" t="s">
        <v>16</v>
      </c>
      <c r="Z4" s="9" t="s">
        <v>17</v>
      </c>
      <c r="AA4" s="9" t="s">
        <v>159</v>
      </c>
      <c r="AB4" s="9" t="s">
        <v>24</v>
      </c>
      <c r="AC4" s="9" t="s">
        <v>20</v>
      </c>
      <c r="AD4" s="9" t="s">
        <v>21</v>
      </c>
      <c r="AE4" s="9" t="s">
        <v>22</v>
      </c>
      <c r="AF4" s="14"/>
      <c r="BH4">
        <v>0</v>
      </c>
      <c r="BI4">
        <v>1</v>
      </c>
      <c r="BJ4" s="107" t="e">
        <f t="shared" ref="BJ4:BJ13" si="0">$H$24*H39</f>
        <v>#DIV/0!</v>
      </c>
      <c r="BL4">
        <v>0</v>
      </c>
      <c r="BM4">
        <v>0</v>
      </c>
      <c r="BN4" s="107" t="e">
        <f>H24*H38</f>
        <v>#DIV/0!</v>
      </c>
      <c r="BP4">
        <v>1</v>
      </c>
      <c r="BQ4">
        <v>0</v>
      </c>
      <c r="BR4" s="107" t="e">
        <f>$H$25*H38</f>
        <v>#DIV/0!</v>
      </c>
    </row>
    <row r="5" spans="1:70" x14ac:dyDescent="0.25">
      <c r="A5" s="25" t="s">
        <v>160</v>
      </c>
      <c r="B5" s="154">
        <v>352</v>
      </c>
      <c r="C5" s="154">
        <v>352</v>
      </c>
      <c r="E5" s="50" t="s">
        <v>31</v>
      </c>
      <c r="F5" s="10" t="s">
        <v>32</v>
      </c>
      <c r="G5" s="10">
        <v>12</v>
      </c>
      <c r="H5" s="10"/>
      <c r="I5" s="10"/>
      <c r="J5" s="11" t="s">
        <v>32</v>
      </c>
      <c r="K5" s="11">
        <v>12</v>
      </c>
      <c r="L5" s="10"/>
      <c r="M5" s="10"/>
      <c r="O5" s="66">
        <f>COUNTIF(F5:F18,"IMP")*0.017</f>
        <v>0</v>
      </c>
      <c r="P5" s="16" t="str">
        <f>P3</f>
        <v>0,6</v>
      </c>
      <c r="Q5" s="17">
        <f t="shared" ref="Q5:Q19" si="1">P5*O5</f>
        <v>0</v>
      </c>
      <c r="R5" s="155" t="e">
        <f t="shared" ref="R5:R19" si="2">IF($M$2="SI",Q5*$B$22/0.5*$S$1,Q5*$B$22/0.5*$S$2)</f>
        <v>#DIV/0!</v>
      </c>
      <c r="S5" s="41" t="e">
        <f t="shared" ref="S5:S19" si="3">(1-R5)</f>
        <v>#DIV/0!</v>
      </c>
      <c r="T5" s="42" t="e">
        <f>R5*PRODUCT(S6:S19)</f>
        <v>#DIV/0!</v>
      </c>
      <c r="U5" s="4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48" t="s">
        <v>33</v>
      </c>
      <c r="X5" s="15" t="s">
        <v>34</v>
      </c>
      <c r="Y5" s="68">
        <f>COUNTIF(J5:J18,"IMP")*0.017</f>
        <v>0</v>
      </c>
      <c r="Z5" s="144" t="str">
        <f>Z3</f>
        <v>0,6</v>
      </c>
      <c r="AA5" s="20">
        <f t="shared" ref="AA5:AA19" si="4">Z5*Y5</f>
        <v>0</v>
      </c>
      <c r="AB5" s="155" t="e">
        <f t="shared" ref="AB5:AB19" si="5">IF($M$2="SI",AA5*$C$22/0.5*$S$1,AA5*$C$22/0.5*$S$2)</f>
        <v>#DIV/0!</v>
      </c>
      <c r="AC5" s="41" t="e">
        <f t="shared" ref="AC5:AC19" si="6">(1-AB5)</f>
        <v>#DIV/0!</v>
      </c>
      <c r="AD5" s="42" t="e">
        <f>AB5*PRODUCT(AC6:AC19)</f>
        <v>#DIV/0!</v>
      </c>
      <c r="AE5" s="4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$H$25*H39</f>
        <v>#DIV/0!</v>
      </c>
      <c r="BP5">
        <f>BP4+1</f>
        <v>2</v>
      </c>
      <c r="BQ5">
        <v>0</v>
      </c>
      <c r="BR5" s="107" t="e">
        <f>$H$26*H38</f>
        <v>#DIV/0!</v>
      </c>
    </row>
    <row r="6" spans="1:70" x14ac:dyDescent="0.25">
      <c r="A6" s="2" t="s">
        <v>35</v>
      </c>
      <c r="B6" s="3"/>
      <c r="C6" s="4"/>
      <c r="E6" s="50" t="s">
        <v>36</v>
      </c>
      <c r="F6" s="10"/>
      <c r="G6" s="10"/>
      <c r="H6" s="152"/>
      <c r="I6" s="10"/>
      <c r="J6" s="11"/>
      <c r="K6" s="11"/>
      <c r="L6" s="152"/>
      <c r="M6" s="10"/>
      <c r="O6" s="66">
        <f>COUNTIF(F14:F18,"IMP")*0.017</f>
        <v>0</v>
      </c>
      <c r="P6" s="16" t="str">
        <f>P3</f>
        <v>0,6</v>
      </c>
      <c r="Q6" s="17">
        <f t="shared" si="1"/>
        <v>0</v>
      </c>
      <c r="R6" s="155" t="e">
        <f t="shared" si="2"/>
        <v>#DIV/0!</v>
      </c>
      <c r="S6" s="41" t="e">
        <f t="shared" si="3"/>
        <v>#DIV/0!</v>
      </c>
      <c r="T6" s="42" t="e">
        <f>R6*S5*PRODUCT(S7:S19)</f>
        <v>#DIV/0!</v>
      </c>
      <c r="U6" s="4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48" t="s">
        <v>38</v>
      </c>
      <c r="X6" s="15" t="s">
        <v>39</v>
      </c>
      <c r="Y6" s="68">
        <f>COUNTIF(J14:J18,"IMP")*0.017</f>
        <v>0</v>
      </c>
      <c r="Z6" s="144" t="str">
        <f>Z3</f>
        <v>0,6</v>
      </c>
      <c r="AA6" s="20">
        <f t="shared" si="4"/>
        <v>0</v>
      </c>
      <c r="AB6" s="155" t="e">
        <f t="shared" si="5"/>
        <v>#DIV/0!</v>
      </c>
      <c r="AC6" s="41" t="e">
        <f t="shared" si="6"/>
        <v>#DIV/0!</v>
      </c>
      <c r="AD6" s="42" t="e">
        <f>AB6*AC5*PRODUCT(AC7:AC19)</f>
        <v>#DIV/0!</v>
      </c>
      <c r="AE6" s="4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$H$26*H40</f>
        <v>#DIV/0!</v>
      </c>
      <c r="BP6">
        <f>BL5+1</f>
        <v>2</v>
      </c>
      <c r="BQ6">
        <v>1</v>
      </c>
      <c r="BR6" s="107" t="e">
        <f>$H$26*H39</f>
        <v>#DIV/0!</v>
      </c>
    </row>
    <row r="7" spans="1:70" x14ac:dyDescent="0.25">
      <c r="A7" s="5" t="s">
        <v>40</v>
      </c>
      <c r="B7" s="3"/>
      <c r="C7" s="4"/>
      <c r="E7" s="50" t="s">
        <v>41</v>
      </c>
      <c r="F7" s="10"/>
      <c r="G7" s="10"/>
      <c r="H7" s="152"/>
      <c r="I7" s="10"/>
      <c r="J7" s="11"/>
      <c r="K7" s="11"/>
      <c r="L7" s="152"/>
      <c r="M7" s="10"/>
      <c r="O7" s="66">
        <v>0</v>
      </c>
      <c r="P7" s="142">
        <v>0.5</v>
      </c>
      <c r="Q7" s="17">
        <f t="shared" si="1"/>
        <v>0</v>
      </c>
      <c r="R7" s="155" t="e">
        <f t="shared" si="2"/>
        <v>#DIV/0!</v>
      </c>
      <c r="S7" s="41" t="e">
        <f t="shared" si="3"/>
        <v>#DIV/0!</v>
      </c>
      <c r="T7" s="42" t="e">
        <f>R7*PRODUCT(S5:S6)*PRODUCT(S8:S19)</f>
        <v>#DIV/0!</v>
      </c>
      <c r="U7" s="4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48" t="s">
        <v>152</v>
      </c>
      <c r="X7" s="15" t="s">
        <v>153</v>
      </c>
      <c r="Y7" s="68">
        <v>0</v>
      </c>
      <c r="Z7" s="144">
        <v>0.5</v>
      </c>
      <c r="AA7" s="20">
        <f t="shared" si="4"/>
        <v>0</v>
      </c>
      <c r="AB7" s="155" t="e">
        <f t="shared" si="5"/>
        <v>#DIV/0!</v>
      </c>
      <c r="AC7" s="41" t="e">
        <f t="shared" si="6"/>
        <v>#DIV/0!</v>
      </c>
      <c r="AD7" s="42" t="e">
        <f>AB7*PRODUCT(AC5:AC6)*PRODUCT(AC8:AC19)</f>
        <v>#DIV/0!</v>
      </c>
      <c r="AE7" s="4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$H$27*H41</f>
        <v>#DIV/0!</v>
      </c>
      <c r="BP7">
        <f>BP5+1</f>
        <v>3</v>
      </c>
      <c r="BQ7">
        <v>0</v>
      </c>
      <c r="BR7" s="107" t="e">
        <f>$H$27*H38</f>
        <v>#DIV/0!</v>
      </c>
    </row>
    <row r="8" spans="1:70" x14ac:dyDescent="0.25">
      <c r="A8" s="5" t="s">
        <v>44</v>
      </c>
      <c r="B8" s="3"/>
      <c r="C8" s="4"/>
      <c r="E8" s="50" t="s">
        <v>41</v>
      </c>
      <c r="F8" s="10"/>
      <c r="G8" s="10"/>
      <c r="H8" s="152"/>
      <c r="I8" s="10"/>
      <c r="J8" s="11"/>
      <c r="K8" s="11"/>
      <c r="L8" s="152"/>
      <c r="M8" s="10"/>
      <c r="O8" s="66">
        <f>COUNTIF(F6:F18,"IMP")*0.01</f>
        <v>0</v>
      </c>
      <c r="P8" s="16" t="str">
        <f>P3</f>
        <v>0,6</v>
      </c>
      <c r="Q8" s="17">
        <f t="shared" si="1"/>
        <v>0</v>
      </c>
      <c r="R8" s="155" t="e">
        <f t="shared" si="2"/>
        <v>#DIV/0!</v>
      </c>
      <c r="S8" s="41" t="e">
        <f t="shared" si="3"/>
        <v>#DIV/0!</v>
      </c>
      <c r="T8" s="42" t="e">
        <f>R8*PRODUCT(S5:S7)*PRODUCT(S9:S19)</f>
        <v>#DIV/0!</v>
      </c>
      <c r="U8" s="4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48" t="s">
        <v>45</v>
      </c>
      <c r="X8" s="15" t="s">
        <v>46</v>
      </c>
      <c r="Y8" s="68">
        <f>COUNTIF(J6:J18,"IMP")*0.01</f>
        <v>0</v>
      </c>
      <c r="Z8" s="144" t="str">
        <f>Z3</f>
        <v>0,6</v>
      </c>
      <c r="AA8" s="20">
        <f t="shared" si="4"/>
        <v>0</v>
      </c>
      <c r="AB8" s="155" t="e">
        <f t="shared" si="5"/>
        <v>#DIV/0!</v>
      </c>
      <c r="AC8" s="41" t="e">
        <f t="shared" si="6"/>
        <v>#DIV/0!</v>
      </c>
      <c r="AD8" s="42" t="e">
        <f>AB8*PRODUCT(AC5:AC7)*PRODUCT(AC9:AC19)</f>
        <v>#DIV/0!</v>
      </c>
      <c r="AE8" s="4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$H$28*H42</f>
        <v>#DIV/0!</v>
      </c>
      <c r="BP8">
        <f>BP6+1</f>
        <v>3</v>
      </c>
      <c r="BQ8">
        <v>1</v>
      </c>
      <c r="BR8" s="107" t="e">
        <f>$H$27*H39</f>
        <v>#DIV/0!</v>
      </c>
    </row>
    <row r="9" spans="1:70" x14ac:dyDescent="0.25">
      <c r="A9" s="5" t="s">
        <v>47</v>
      </c>
      <c r="B9" s="3"/>
      <c r="C9" s="4"/>
      <c r="E9" s="50" t="s">
        <v>41</v>
      </c>
      <c r="F9" s="10"/>
      <c r="G9" s="10"/>
      <c r="H9" s="152"/>
      <c r="I9" s="10"/>
      <c r="J9" s="11"/>
      <c r="K9" s="11"/>
      <c r="L9" s="152"/>
      <c r="M9" s="10"/>
      <c r="O9" s="66">
        <f>COUNTIF(J6:J13,"IMP")*0.025</f>
        <v>0</v>
      </c>
      <c r="P9" s="142">
        <v>0.5</v>
      </c>
      <c r="Q9" s="17">
        <f t="shared" si="1"/>
        <v>0</v>
      </c>
      <c r="R9" s="155" t="e">
        <f t="shared" si="2"/>
        <v>#DIV/0!</v>
      </c>
      <c r="S9" s="41" t="e">
        <f t="shared" si="3"/>
        <v>#DIV/0!</v>
      </c>
      <c r="T9" s="42" t="e">
        <f>R9*PRODUCT(S5:S8)*PRODUCT(S10:S19)</f>
        <v>#DIV/0!</v>
      </c>
      <c r="U9" s="4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49" t="s">
        <v>48</v>
      </c>
      <c r="X9" s="15" t="s">
        <v>49</v>
      </c>
      <c r="Y9" s="68">
        <f>COUNTIF(F6:F13,"IMP")*0.025</f>
        <v>0</v>
      </c>
      <c r="Z9" s="144">
        <v>0.5</v>
      </c>
      <c r="AA9" s="20">
        <f t="shared" si="4"/>
        <v>0</v>
      </c>
      <c r="AB9" s="155" t="e">
        <f t="shared" si="5"/>
        <v>#DIV/0!</v>
      </c>
      <c r="AC9" s="41" t="e">
        <f t="shared" si="6"/>
        <v>#DIV/0!</v>
      </c>
      <c r="AD9" s="42" t="e">
        <f>AB9*PRODUCT(AC5:AC8)*PRODUCT(AC10:AC19)</f>
        <v>#DIV/0!</v>
      </c>
      <c r="AE9" s="4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$H$29*H43</f>
        <v>#DIV/0!</v>
      </c>
      <c r="BP9">
        <f>BL6+1</f>
        <v>3</v>
      </c>
      <c r="BQ9">
        <v>2</v>
      </c>
      <c r="BR9" s="107" t="e">
        <f>$H$27*H40</f>
        <v>#DIV/0!</v>
      </c>
    </row>
    <row r="10" spans="1:70" x14ac:dyDescent="0.25">
      <c r="A10" s="6" t="s">
        <v>50</v>
      </c>
      <c r="B10" s="3"/>
      <c r="C10" s="4"/>
      <c r="E10" s="50" t="s">
        <v>36</v>
      </c>
      <c r="F10" s="10"/>
      <c r="G10" s="10"/>
      <c r="H10" s="152"/>
      <c r="I10" s="10"/>
      <c r="J10" s="11"/>
      <c r="K10" s="11"/>
      <c r="L10" s="152"/>
      <c r="M10" s="10"/>
      <c r="O10" s="66">
        <f>COUNTIF(F14:F18,"RAP")*0.0785</f>
        <v>0</v>
      </c>
      <c r="P10" s="16" t="str">
        <f>R3</f>
        <v>0,72</v>
      </c>
      <c r="Q10" s="17">
        <f t="shared" si="1"/>
        <v>0</v>
      </c>
      <c r="R10" s="155" t="e">
        <f t="shared" si="2"/>
        <v>#DIV/0!</v>
      </c>
      <c r="S10" s="41" t="e">
        <f t="shared" si="3"/>
        <v>#DIV/0!</v>
      </c>
      <c r="T10" s="42" t="e">
        <f>R10*PRODUCT(S5:S9)*PRODUCT(S11:S19)</f>
        <v>#DIV/0!</v>
      </c>
      <c r="U10" s="4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48" t="s">
        <v>51</v>
      </c>
      <c r="X10" s="15" t="s">
        <v>52</v>
      </c>
      <c r="Y10" s="68">
        <f>COUNTIF(J14:J18,"RAP")*0.0785</f>
        <v>0</v>
      </c>
      <c r="Z10" s="144" t="str">
        <f>AB3</f>
        <v>0,72</v>
      </c>
      <c r="AA10" s="20">
        <f t="shared" si="4"/>
        <v>0</v>
      </c>
      <c r="AB10" s="155" t="e">
        <f t="shared" si="5"/>
        <v>#DIV/0!</v>
      </c>
      <c r="AC10" s="41" t="e">
        <f t="shared" si="6"/>
        <v>#DIV/0!</v>
      </c>
      <c r="AD10" s="42" t="e">
        <f>AB10*PRODUCT(AC5:AC9)*PRODUCT(AC11:AC19)</f>
        <v>#DIV/0!</v>
      </c>
      <c r="AE10" s="4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$H$30*H44</f>
        <v>#DIV/0!</v>
      </c>
      <c r="BP10">
        <f>BP7+1</f>
        <v>4</v>
      </c>
      <c r="BQ10">
        <v>0</v>
      </c>
      <c r="BR10" s="107" t="e">
        <f>$H$28*H38</f>
        <v>#DIV/0!</v>
      </c>
    </row>
    <row r="11" spans="1:70" x14ac:dyDescent="0.25">
      <c r="A11" s="6" t="s">
        <v>53</v>
      </c>
      <c r="B11" s="3"/>
      <c r="C11" s="4"/>
      <c r="E11" s="50" t="s">
        <v>54</v>
      </c>
      <c r="F11" s="10"/>
      <c r="G11" s="10"/>
      <c r="H11" s="152"/>
      <c r="I11" s="10"/>
      <c r="J11" s="11"/>
      <c r="K11" s="11"/>
      <c r="L11" s="152"/>
      <c r="M11" s="10"/>
      <c r="O11" s="66">
        <f>IF(COUNTA(F16:F18)=0,0,COUNTIF(F14:F15,"RAP")*0.035)+IF(COUNTA(F17:F18)=0,0,COUNTIF(F16,"RAP")*0.035)+IF(COUNTA(F16:F17)=0,0,COUNTIF(F18,"RAP")*0.035)+IF(COUNTA(F16,F18)=0,0,COUNTIF(F17,"RAP")*0.035)</f>
        <v>0</v>
      </c>
      <c r="P11" s="16" t="str">
        <f>R3</f>
        <v>0,72</v>
      </c>
      <c r="Q11" s="17">
        <f t="shared" si="1"/>
        <v>0</v>
      </c>
      <c r="R11" s="155" t="e">
        <f t="shared" si="2"/>
        <v>#DIV/0!</v>
      </c>
      <c r="S11" s="41" t="e">
        <f t="shared" si="3"/>
        <v>#DIV/0!</v>
      </c>
      <c r="T11" s="42" t="e">
        <f>R11*PRODUCT(S5:S10)*PRODUCT(S12:S19)</f>
        <v>#DIV/0!</v>
      </c>
      <c r="U11" s="4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48" t="s">
        <v>55</v>
      </c>
      <c r="X11" s="15" t="s">
        <v>56</v>
      </c>
      <c r="Y11" s="68">
        <f>IF(COUNTA(J16:J18)=0,0,COUNTIF(J14:J15,"RAP")*0.035)+IF(COUNTA(J17:J18)=0,0,COUNTIF(J16,"RAP")*0.035)+IF(COUNTA(J16:J17)=0,0,COUNTIF(J18,"RAP")*0.035)+IF(COUNTA(J16,J18)=0,0,COUNTIF(J17,"RAP")*0.035)</f>
        <v>0</v>
      </c>
      <c r="Z11" s="144" t="str">
        <f>AB3</f>
        <v>0,72</v>
      </c>
      <c r="AA11" s="20">
        <f t="shared" si="4"/>
        <v>0</v>
      </c>
      <c r="AB11" s="155" t="e">
        <f t="shared" si="5"/>
        <v>#DIV/0!</v>
      </c>
      <c r="AC11" s="41" t="e">
        <f t="shared" si="6"/>
        <v>#DIV/0!</v>
      </c>
      <c r="AD11" s="42" t="e">
        <f>AB11*PRODUCT(AC5:AC10)*PRODUCT(AC12:AC19)</f>
        <v>#DIV/0!</v>
      </c>
      <c r="AE11" s="4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$H$31*H45</f>
        <v>#DIV/0!</v>
      </c>
      <c r="BP11">
        <f>BP8+1</f>
        <v>4</v>
      </c>
      <c r="BQ11">
        <v>1</v>
      </c>
      <c r="BR11" s="107" t="e">
        <f>$H$28*H39</f>
        <v>#DIV/0!</v>
      </c>
    </row>
    <row r="12" spans="1:70" x14ac:dyDescent="0.25">
      <c r="A12" s="6" t="s">
        <v>57</v>
      </c>
      <c r="B12" s="3"/>
      <c r="C12" s="4"/>
      <c r="E12" s="50" t="s">
        <v>54</v>
      </c>
      <c r="F12" s="10"/>
      <c r="G12" s="10"/>
      <c r="H12" s="152"/>
      <c r="I12" s="10"/>
      <c r="J12" s="11"/>
      <c r="K12" s="11"/>
      <c r="L12" s="152"/>
      <c r="M12" s="10"/>
      <c r="O12" s="67"/>
      <c r="P12" s="142">
        <v>0.5</v>
      </c>
      <c r="Q12" s="17">
        <f t="shared" si="1"/>
        <v>0</v>
      </c>
      <c r="R12" s="155" t="e">
        <f t="shared" si="2"/>
        <v>#DIV/0!</v>
      </c>
      <c r="S12" s="41" t="e">
        <f t="shared" si="3"/>
        <v>#DIV/0!</v>
      </c>
      <c r="T12" s="42" t="e">
        <f>R12*PRODUCT(S5:S11)*PRODUCT(S13:S19)</f>
        <v>#DIV/0!</v>
      </c>
      <c r="U12" s="4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49" t="s">
        <v>58</v>
      </c>
      <c r="X12" s="15" t="s">
        <v>59</v>
      </c>
      <c r="Y12" s="69"/>
      <c r="Z12" s="144">
        <v>0.5</v>
      </c>
      <c r="AA12" s="20">
        <f t="shared" si="4"/>
        <v>0</v>
      </c>
      <c r="AB12" s="155" t="e">
        <f t="shared" si="5"/>
        <v>#DIV/0!</v>
      </c>
      <c r="AC12" s="41" t="e">
        <f t="shared" si="6"/>
        <v>#DIV/0!</v>
      </c>
      <c r="AD12" s="42" t="e">
        <f>AB12*PRODUCT(AC5:AC11)*PRODUCT(AC13:AC19)</f>
        <v>#DIV/0!</v>
      </c>
      <c r="AE12" s="4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$H$32*H46</f>
        <v>#DIV/0!</v>
      </c>
      <c r="BP12">
        <f>BP9+1</f>
        <v>4</v>
      </c>
      <c r="BQ12">
        <v>2</v>
      </c>
      <c r="BR12" s="107" t="e">
        <f>$H$28*H40</f>
        <v>#DIV/0!</v>
      </c>
    </row>
    <row r="13" spans="1:70" x14ac:dyDescent="0.25">
      <c r="A13" s="7" t="s">
        <v>60</v>
      </c>
      <c r="B13" s="3">
        <v>8.25</v>
      </c>
      <c r="C13" s="4">
        <v>11</v>
      </c>
      <c r="E13" s="50" t="s">
        <v>54</v>
      </c>
      <c r="F13" s="10"/>
      <c r="G13" s="10"/>
      <c r="H13" s="152"/>
      <c r="I13" s="10"/>
      <c r="J13" s="11"/>
      <c r="K13" s="11"/>
      <c r="L13" s="152"/>
      <c r="M13" s="10"/>
      <c r="O13" s="66">
        <v>9.7500000000000003E-2</v>
      </c>
      <c r="P13" s="16" t="str">
        <f>P3</f>
        <v>0,6</v>
      </c>
      <c r="Q13" s="17">
        <f t="shared" si="1"/>
        <v>5.8499999999999996E-2</v>
      </c>
      <c r="R13" s="155" t="e">
        <f t="shared" si="2"/>
        <v>#DIV/0!</v>
      </c>
      <c r="S13" s="41" t="e">
        <f t="shared" si="3"/>
        <v>#DIV/0!</v>
      </c>
      <c r="T13" s="42" t="e">
        <f>R13*PRODUCT(S5:S12)*PRODUCT(S14:S19)</f>
        <v>#DIV/0!</v>
      </c>
      <c r="U13" s="4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48" t="s">
        <v>61</v>
      </c>
      <c r="X13" s="15" t="s">
        <v>62</v>
      </c>
      <c r="Y13" s="68">
        <v>9.7500000000000003E-2</v>
      </c>
      <c r="Z13" s="144" t="str">
        <f>Z3</f>
        <v>0,6</v>
      </c>
      <c r="AA13" s="20">
        <f t="shared" si="4"/>
        <v>5.8499999999999996E-2</v>
      </c>
      <c r="AB13" s="155" t="e">
        <f t="shared" si="5"/>
        <v>#DIV/0!</v>
      </c>
      <c r="AC13" s="41" t="e">
        <f t="shared" si="6"/>
        <v>#DIV/0!</v>
      </c>
      <c r="AD13" s="42" t="e">
        <f>AB13*PRODUCT(AC5:AC12)*PRODUCT(AC14:AC19)</f>
        <v>#DIV/0!</v>
      </c>
      <c r="AE13" s="4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$H$33*H47</f>
        <v>#DIV/0!</v>
      </c>
      <c r="BP13">
        <f>BL7+1</f>
        <v>4</v>
      </c>
      <c r="BQ13">
        <v>3</v>
      </c>
      <c r="BR13" s="107" t="e">
        <f>$H$28*H41</f>
        <v>#DIV/0!</v>
      </c>
    </row>
    <row r="14" spans="1:70" x14ac:dyDescent="0.25">
      <c r="A14" s="7" t="s">
        <v>63</v>
      </c>
      <c r="B14" s="3">
        <v>7.75</v>
      </c>
      <c r="C14" s="4">
        <v>10</v>
      </c>
      <c r="E14" s="50" t="s">
        <v>64</v>
      </c>
      <c r="F14" s="10"/>
      <c r="G14" s="10"/>
      <c r="H14" s="10"/>
      <c r="I14" s="10"/>
      <c r="J14" s="11"/>
      <c r="K14" s="11"/>
      <c r="L14" s="10"/>
      <c r="M14" s="10"/>
      <c r="O14" s="66">
        <f>COUNTIF(F6:F18,"CAB")*0.071</f>
        <v>0</v>
      </c>
      <c r="P14" s="143">
        <v>0.95</v>
      </c>
      <c r="Q14" s="17">
        <f t="shared" si="1"/>
        <v>0</v>
      </c>
      <c r="R14" s="155" t="e">
        <f t="shared" si="2"/>
        <v>#DIV/0!</v>
      </c>
      <c r="S14" s="41" t="e">
        <f t="shared" si="3"/>
        <v>#DIV/0!</v>
      </c>
      <c r="T14" s="42" t="e">
        <f>R14*PRODUCT(S5:S13)*PRODUCT(S15:S19)</f>
        <v>#DIV/0!</v>
      </c>
      <c r="U14" s="4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48" t="s">
        <v>65</v>
      </c>
      <c r="X14" s="15" t="s">
        <v>66</v>
      </c>
      <c r="Y14" s="68">
        <f>COUNTIF(J6:J18,"CAB")*0.071</f>
        <v>0</v>
      </c>
      <c r="Z14" s="145">
        <v>0.95</v>
      </c>
      <c r="AA14" s="20">
        <f t="shared" si="4"/>
        <v>0</v>
      </c>
      <c r="AB14" s="155" t="e">
        <f t="shared" si="5"/>
        <v>#DIV/0!</v>
      </c>
      <c r="AC14" s="41" t="e">
        <f t="shared" si="6"/>
        <v>#DIV/0!</v>
      </c>
      <c r="AD14" s="42" t="e">
        <f>AB14*PRODUCT(AC5:AC13)*PRODUCT(AC15:AC19)</f>
        <v>#DIV/0!</v>
      </c>
      <c r="AE14" s="4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$H$25*H40</f>
        <v>#DIV/0!</v>
      </c>
      <c r="BL14">
        <f>BP39+1</f>
        <v>10</v>
      </c>
      <c r="BM14">
        <v>10</v>
      </c>
      <c r="BN14" s="107" t="e">
        <f>$H$34*H48</f>
        <v>#DIV/0!</v>
      </c>
      <c r="BP14">
        <f>BP10+1</f>
        <v>5</v>
      </c>
      <c r="BQ14">
        <v>0</v>
      </c>
      <c r="BR14" s="107" t="e">
        <f>$H$29*H38</f>
        <v>#DIV/0!</v>
      </c>
    </row>
    <row r="15" spans="1:70" x14ac:dyDescent="0.25">
      <c r="A15" s="51" t="s">
        <v>67</v>
      </c>
      <c r="B15" s="52"/>
      <c r="C15" s="54"/>
      <c r="E15" s="50" t="s">
        <v>64</v>
      </c>
      <c r="F15" s="10"/>
      <c r="G15" s="10"/>
      <c r="H15" s="10"/>
      <c r="I15" s="10"/>
      <c r="J15" s="11"/>
      <c r="K15" s="11"/>
      <c r="L15" s="10"/>
      <c r="M15" s="10"/>
      <c r="O15" s="67"/>
      <c r="P15" s="142">
        <v>0.5</v>
      </c>
      <c r="Q15" s="17">
        <f t="shared" si="1"/>
        <v>0</v>
      </c>
      <c r="R15" s="155" t="e">
        <f t="shared" si="2"/>
        <v>#DIV/0!</v>
      </c>
      <c r="S15" s="41" t="e">
        <f t="shared" si="3"/>
        <v>#DIV/0!</v>
      </c>
      <c r="T15" s="42" t="e">
        <f>R15*PRODUCT(S5:S14)*PRODUCT(S16:S19)</f>
        <v>#DIV/0!</v>
      </c>
      <c r="U15" s="42" t="e">
        <f>R15*R16*PRODUCT(S5:S14)*PRODUCT(S17:S19)+R15*R17*PRODUCT(S5:S14)*S16*PRODUCT(S18:S19)+R15*R18*PRODUCT(S5:S14)*S16*S17*S19+R15*R19*PRODUCT(S5:S14)*S16*S17*S18</f>
        <v>#DIV/0!</v>
      </c>
      <c r="W15" s="48" t="s">
        <v>68</v>
      </c>
      <c r="X15" s="15" t="s">
        <v>69</v>
      </c>
      <c r="Y15" s="69"/>
      <c r="Z15" s="144">
        <v>0.5</v>
      </c>
      <c r="AA15" s="20">
        <f t="shared" si="4"/>
        <v>0</v>
      </c>
      <c r="AB15" s="155" t="e">
        <f t="shared" si="5"/>
        <v>#DIV/0!</v>
      </c>
      <c r="AC15" s="41" t="e">
        <f t="shared" si="6"/>
        <v>#DIV/0!</v>
      </c>
      <c r="AD15" s="42" t="e">
        <f>AB15*PRODUCT(AC5:AC14)*PRODUCT(AC16:AC19)</f>
        <v>#DIV/0!</v>
      </c>
      <c r="AE15" s="4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$H$29*H39</f>
        <v>#DIV/0!</v>
      </c>
    </row>
    <row r="16" spans="1:70" x14ac:dyDescent="0.25">
      <c r="A16" s="51" t="s">
        <v>70</v>
      </c>
      <c r="B16" s="52">
        <f>AVERAGE(G5:G18)</f>
        <v>12</v>
      </c>
      <c r="C16" s="54">
        <f>AVERAGE(K5:K18)</f>
        <v>12</v>
      </c>
      <c r="E16" s="50" t="s">
        <v>71</v>
      </c>
      <c r="F16" s="10"/>
      <c r="G16" s="10"/>
      <c r="H16" s="10"/>
      <c r="I16" s="10"/>
      <c r="J16" s="11"/>
      <c r="K16" s="11"/>
      <c r="L16" s="10"/>
      <c r="M16" s="10"/>
      <c r="O16" s="66">
        <f>COUNTA(L6:L13)*0.03</f>
        <v>0</v>
      </c>
      <c r="P16" s="142">
        <v>0.25</v>
      </c>
      <c r="Q16" s="17">
        <f t="shared" si="1"/>
        <v>0</v>
      </c>
      <c r="R16" s="155" t="e">
        <f t="shared" si="2"/>
        <v>#DIV/0!</v>
      </c>
      <c r="S16" s="41" t="e">
        <f t="shared" si="3"/>
        <v>#DIV/0!</v>
      </c>
      <c r="T16" s="42" t="e">
        <f>R16*PRODUCT(S5:S15)*PRODUCT(S17:S19)</f>
        <v>#DIV/0!</v>
      </c>
      <c r="U16" s="42" t="e">
        <f>R16*R17*PRODUCT(S5:S15)*PRODUCT(S18:S19)+R16*R18*PRODUCT(S5:S15)*S17*S19+R16*R19*PRODUCT(S5:S15)*S17*S18</f>
        <v>#DIV/0!</v>
      </c>
      <c r="W16" s="49" t="s">
        <v>72</v>
      </c>
      <c r="X16" s="15" t="s">
        <v>73</v>
      </c>
      <c r="Y16" s="68">
        <f>COUNTA(H6:H13)*0.03</f>
        <v>0</v>
      </c>
      <c r="Z16" s="144">
        <v>0.25</v>
      </c>
      <c r="AA16" s="20">
        <f t="shared" si="4"/>
        <v>0</v>
      </c>
      <c r="AB16" s="155" t="e">
        <f t="shared" si="5"/>
        <v>#DIV/0!</v>
      </c>
      <c r="AC16" s="41" t="e">
        <f t="shared" si="6"/>
        <v>#DIV/0!</v>
      </c>
      <c r="AD16" s="42" t="e">
        <f>AB16*PRODUCT(AC5:AC15)*PRODUCT(AC17:AC19)</f>
        <v>#DIV/0!</v>
      </c>
      <c r="AE16" s="4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$H$29*H40</f>
        <v>#DIV/0!</v>
      </c>
    </row>
    <row r="17" spans="1:70" x14ac:dyDescent="0.25">
      <c r="A17" s="25" t="s">
        <v>74</v>
      </c>
      <c r="B17" s="53" t="s">
        <v>75</v>
      </c>
      <c r="C17" s="55" t="s">
        <v>75</v>
      </c>
      <c r="E17" s="50" t="s">
        <v>71</v>
      </c>
      <c r="F17" s="10"/>
      <c r="G17" s="10"/>
      <c r="H17" s="10"/>
      <c r="I17" s="10"/>
      <c r="J17" s="11"/>
      <c r="K17" s="11"/>
      <c r="L17" s="10"/>
      <c r="M17" s="10"/>
      <c r="O17" s="66">
        <f>(0.02*2)*IF(COUNTBLANK(F14:F15)&lt;&gt;0,(2-COUNTBLANK(F14:F15))/2,1)</f>
        <v>0</v>
      </c>
      <c r="P17" s="16" t="str">
        <f>P3</f>
        <v>0,6</v>
      </c>
      <c r="Q17" s="17">
        <f t="shared" si="1"/>
        <v>0</v>
      </c>
      <c r="R17" s="155" t="e">
        <f t="shared" si="2"/>
        <v>#DIV/0!</v>
      </c>
      <c r="S17" s="41" t="e">
        <f t="shared" si="3"/>
        <v>#DIV/0!</v>
      </c>
      <c r="T17" s="42" t="e">
        <f>R17*PRODUCT(S5:S16)*PRODUCT(S18:S19)</f>
        <v>#DIV/0!</v>
      </c>
      <c r="U17" s="42" t="e">
        <f>R17*R18*PRODUCT(S5:S16)*S19+R17*R19*PRODUCT(S5:S16)*S18</f>
        <v>#DIV/0!</v>
      </c>
      <c r="W17" s="48" t="s">
        <v>76</v>
      </c>
      <c r="X17" s="15" t="s">
        <v>77</v>
      </c>
      <c r="Y17" s="68">
        <f>(0.02*2)*IF(COUNTBLANK(J14:J15)&lt;&gt;0,(2-COUNTBLANK(J14:J15))/2,1)</f>
        <v>0</v>
      </c>
      <c r="Z17" s="144" t="str">
        <f>Z3</f>
        <v>0,6</v>
      </c>
      <c r="AA17" s="20">
        <f t="shared" si="4"/>
        <v>0</v>
      </c>
      <c r="AB17" s="155" t="e">
        <f t="shared" si="5"/>
        <v>#DIV/0!</v>
      </c>
      <c r="AC17" s="41" t="e">
        <f t="shared" si="6"/>
        <v>#DIV/0!</v>
      </c>
      <c r="AD17" s="42" t="e">
        <f>AB17*PRODUCT(AC5:AC16)*PRODUCT(AC18:AC19)</f>
        <v>#DIV/0!</v>
      </c>
      <c r="AE17" s="4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$H$29*H41</f>
        <v>#DIV/0!</v>
      </c>
    </row>
    <row r="18" spans="1:70" x14ac:dyDescent="0.25">
      <c r="A18" s="25" t="s">
        <v>78</v>
      </c>
      <c r="B18" s="53">
        <v>20</v>
      </c>
      <c r="C18" s="55">
        <v>20</v>
      </c>
      <c r="E18" s="50" t="s">
        <v>71</v>
      </c>
      <c r="F18" s="10"/>
      <c r="G18" s="10"/>
      <c r="H18" s="10"/>
      <c r="I18" s="10"/>
      <c r="J18" s="11"/>
      <c r="K18" s="11"/>
      <c r="L18" s="10"/>
      <c r="M18" s="10"/>
      <c r="O18" s="66">
        <v>0</v>
      </c>
      <c r="P18" s="142">
        <v>0.5</v>
      </c>
      <c r="Q18" s="17">
        <f t="shared" si="1"/>
        <v>0</v>
      </c>
      <c r="R18" s="155" t="e">
        <f t="shared" si="2"/>
        <v>#DIV/0!</v>
      </c>
      <c r="S18" s="41" t="e">
        <f t="shared" si="3"/>
        <v>#DIV/0!</v>
      </c>
      <c r="T18" s="42" t="e">
        <f>R18*PRODUCT(S5:S17)*PRODUCT(S19)</f>
        <v>#DIV/0!</v>
      </c>
      <c r="U18" s="42" t="e">
        <f>R18*R19*PRODUCT(S5:S17)</f>
        <v>#DIV/0!</v>
      </c>
      <c r="W18" s="48" t="s">
        <v>79</v>
      </c>
      <c r="X18" s="15" t="s">
        <v>80</v>
      </c>
      <c r="Y18" s="68">
        <v>0</v>
      </c>
      <c r="Z18" s="144">
        <v>0.5</v>
      </c>
      <c r="AA18" s="20">
        <f t="shared" si="4"/>
        <v>0</v>
      </c>
      <c r="AB18" s="155" t="e">
        <f t="shared" si="5"/>
        <v>#DIV/0!</v>
      </c>
      <c r="AC18" s="41" t="e">
        <f t="shared" si="6"/>
        <v>#DIV/0!</v>
      </c>
      <c r="AD18" s="42" t="e">
        <f>AB18*PRODUCT(AC5:AC17)*PRODUCT(AC19)</f>
        <v>#DIV/0!</v>
      </c>
      <c r="AE18" s="4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$H$29*H42</f>
        <v>#DIV/0!</v>
      </c>
    </row>
    <row r="19" spans="1:70" x14ac:dyDescent="0.25">
      <c r="H19" s="13" t="s">
        <v>156</v>
      </c>
      <c r="L19" s="13" t="s">
        <v>156</v>
      </c>
      <c r="O19" s="66">
        <f>COUNTIF(F14:F18,"TEC")*0.06*IF(COUNTIF(J6:J13,"CAB")&lt;&gt;0,1,0)</f>
        <v>0</v>
      </c>
      <c r="P19" s="16" t="str">
        <f>P3</f>
        <v>0,6</v>
      </c>
      <c r="Q19" s="17">
        <f t="shared" si="1"/>
        <v>0</v>
      </c>
      <c r="R19" s="155" t="e">
        <f t="shared" si="2"/>
        <v>#DIV/0!</v>
      </c>
      <c r="S19" s="43" t="e">
        <f t="shared" si="3"/>
        <v>#DIV/0!</v>
      </c>
      <c r="T19" s="44" t="e">
        <f>R19*PRODUCT(S5:S18)</f>
        <v>#DIV/0!</v>
      </c>
      <c r="U19" s="44">
        <v>0</v>
      </c>
      <c r="V19" s="1" t="s">
        <v>82</v>
      </c>
      <c r="W19" s="48" t="s">
        <v>83</v>
      </c>
      <c r="X19" s="15" t="s">
        <v>84</v>
      </c>
      <c r="Y19" s="68">
        <f>COUNTIF(J14:J18,"TEC")*0.06*IF(COUNTIF(F6:F13,"CAB")&lt;&gt;0,1,0)</f>
        <v>0</v>
      </c>
      <c r="Z19" s="144" t="str">
        <f>Z3</f>
        <v>0,6</v>
      </c>
      <c r="AA19" s="20">
        <f t="shared" si="4"/>
        <v>0</v>
      </c>
      <c r="AB19" s="155" t="e">
        <f t="shared" si="5"/>
        <v>#DIV/0!</v>
      </c>
      <c r="AC19" s="43" t="e">
        <f t="shared" si="6"/>
        <v>#DIV/0!</v>
      </c>
      <c r="AD19" s="44" t="e">
        <f>AB19*PRODUCT(AC5:AC18)</f>
        <v>#DIV/0!</v>
      </c>
      <c r="AE19" s="44">
        <v>0</v>
      </c>
      <c r="AF19" s="1" t="s">
        <v>82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$H$30*H39</f>
        <v>#DIV/0!</v>
      </c>
    </row>
    <row r="20" spans="1:70" x14ac:dyDescent="0.25">
      <c r="A20" s="38" t="s">
        <v>85</v>
      </c>
      <c r="B20">
        <f>IF(B17="Pres",IF(C17="Pres",2,1),IF(C17="Pres",1,0))</f>
        <v>0</v>
      </c>
      <c r="D20" s="36"/>
      <c r="O20" s="22"/>
      <c r="P20" s="22"/>
      <c r="Q20" s="22"/>
      <c r="S20" s="45" t="e">
        <f>PRODUCT(S5:S19)</f>
        <v>#DIV/0!</v>
      </c>
      <c r="T20" s="46" t="e">
        <f>SUM(T5:T19)</f>
        <v>#DIV/0!</v>
      </c>
      <c r="U20" s="46" t="e">
        <f>SUM(U5:U19)</f>
        <v>#DIV/0!</v>
      </c>
      <c r="V20" s="46" t="e">
        <f>1-S20-T20-U20</f>
        <v>#DIV/0!</v>
      </c>
      <c r="W20" s="21"/>
      <c r="X20" s="22"/>
      <c r="Y20" s="22"/>
      <c r="Z20" s="22"/>
      <c r="AA20" s="22"/>
      <c r="AB20" s="23"/>
      <c r="AC20" s="47" t="e">
        <f>PRODUCT(AC5:AC19)</f>
        <v>#DIV/0!</v>
      </c>
      <c r="AD20" s="46" t="e">
        <f>SUM(AD5:AD19)</f>
        <v>#DIV/0!</v>
      </c>
      <c r="AE20" s="46" t="e">
        <f>SUM(AE5:AE19)</f>
        <v>#DIV/0!</v>
      </c>
      <c r="AF20" s="4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$H$30*H40</f>
        <v>#DIV/0!</v>
      </c>
    </row>
    <row r="21" spans="1:70" x14ac:dyDescent="0.25">
      <c r="A21" s="38" t="s">
        <v>86</v>
      </c>
      <c r="B21" s="39">
        <f>5-B20</f>
        <v>5</v>
      </c>
      <c r="C21" s="35"/>
      <c r="D21" s="24"/>
      <c r="E21" s="24"/>
      <c r="V21" s="59" t="e">
        <f>SUM(V24:V34)</f>
        <v>#DIV/0!</v>
      </c>
      <c r="AS21" s="82" t="e">
        <f>Y22+AA22+AC22+AE22+AG22+AI22+AK22+AM22+AO22+AQ22+AS22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$H$30*H41</f>
        <v>#DIV/0!</v>
      </c>
    </row>
    <row r="22" spans="1:70" x14ac:dyDescent="0.25">
      <c r="A22" s="26" t="s">
        <v>87</v>
      </c>
      <c r="B22" s="62" t="e">
        <f>(B6)/((B6)+(C6))</f>
        <v>#DIV/0!</v>
      </c>
      <c r="C22" s="63" t="e">
        <f>1-B22</f>
        <v>#DIV/0!</v>
      </c>
      <c r="D22" s="24"/>
      <c r="E22" s="24"/>
      <c r="H22" s="59" t="e">
        <f>SUM(H24:H34)</f>
        <v>#DIV/0!</v>
      </c>
      <c r="J22" s="59" t="e">
        <f>SUM(J24:J34)</f>
        <v>#DIV/0!</v>
      </c>
      <c r="K22" s="59"/>
      <c r="L22" s="59" t="e">
        <f>SUM(L24:L34)</f>
        <v>#DIV/0!</v>
      </c>
      <c r="N22" s="59" t="e">
        <f>SUM(N24:N34)</f>
        <v>#DIV/0!</v>
      </c>
      <c r="O22" s="34"/>
      <c r="P22" s="59" t="e">
        <f>SUM(P24:P34)</f>
        <v>#DIV/0!</v>
      </c>
      <c r="R22" s="59" t="e">
        <f>SUM(R24:R34)</f>
        <v>#DIV/0!</v>
      </c>
      <c r="T22" s="59" t="e">
        <f>SUM(T24:T34)</f>
        <v>#DIV/0!</v>
      </c>
      <c r="V22" s="59" t="e">
        <f>SUM(V24:V33)</f>
        <v>#DIV/0!</v>
      </c>
      <c r="Y22" s="80" t="e">
        <f>SUM(Y24:Y34)</f>
        <v>#DIV/0!</v>
      </c>
      <c r="Z22" s="81"/>
      <c r="AA22" s="80" t="e">
        <f>SUM(AA24:AA34)</f>
        <v>#DIV/0!</v>
      </c>
      <c r="AB22" s="81"/>
      <c r="AC22" s="80" t="e">
        <f>SUM(AC24:AC34)</f>
        <v>#DIV/0!</v>
      </c>
      <c r="AD22" s="81"/>
      <c r="AE22" s="80" t="e">
        <f>SUM(AE24:AE34)</f>
        <v>#DIV/0!</v>
      </c>
      <c r="AF22" s="81"/>
      <c r="AG22" s="80" t="e">
        <f>SUM(AG24:AG34)</f>
        <v>#DIV/0!</v>
      </c>
      <c r="AH22" s="81"/>
      <c r="AI22" s="80" t="e">
        <f>SUM(AI24:AI34)</f>
        <v>#DIV/0!</v>
      </c>
      <c r="AJ22" s="81"/>
      <c r="AK22" s="80" t="e">
        <f>SUM(AK24:AK34)</f>
        <v>#DIV/0!</v>
      </c>
      <c r="AL22" s="81"/>
      <c r="AM22" s="80" t="e">
        <f>SUM(AM24:AM34)</f>
        <v>#DIV/0!</v>
      </c>
      <c r="AN22" s="81"/>
      <c r="AO22" s="80" t="e">
        <f>SUM(AO24:AO34)</f>
        <v>#DIV/0!</v>
      </c>
      <c r="AP22" s="81"/>
      <c r="AQ22" s="80" t="e">
        <f>SUM(AQ24:AQ34)</f>
        <v>#DIV/0!</v>
      </c>
      <c r="AR22" s="81"/>
      <c r="AS22" s="80" t="e">
        <f>SUM(AS24:AS34)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$H$30*H42</f>
        <v>#DIV/0!</v>
      </c>
    </row>
    <row r="23" spans="1:70" x14ac:dyDescent="0.25">
      <c r="A23" s="40" t="s">
        <v>88</v>
      </c>
      <c r="B23" s="56" t="e">
        <f>((B22^2.8)/((B22^2.8)+(C22^2.8)))*B21</f>
        <v>#DIV/0!</v>
      </c>
      <c r="C23" s="57" t="e">
        <f>B21-B23</f>
        <v>#DIV/0!</v>
      </c>
      <c r="D23" s="149">
        <f>SUM(D25:D30)</f>
        <v>1</v>
      </c>
      <c r="E23" s="149">
        <f>SUM(E25:E30)</f>
        <v>1</v>
      </c>
      <c r="G23" s="99" t="s">
        <v>92</v>
      </c>
      <c r="H23" s="100" t="s">
        <v>18</v>
      </c>
      <c r="I23" s="99" t="s">
        <v>93</v>
      </c>
      <c r="J23" s="101" t="s">
        <v>94</v>
      </c>
      <c r="K23" s="99" t="s">
        <v>95</v>
      </c>
      <c r="L23" s="101" t="s">
        <v>18</v>
      </c>
      <c r="M23" s="83" t="s">
        <v>96</v>
      </c>
      <c r="N23" s="27" t="s">
        <v>97</v>
      </c>
      <c r="O23" s="27" t="s">
        <v>98</v>
      </c>
      <c r="P23" s="27" t="s">
        <v>18</v>
      </c>
      <c r="Q23" s="27" t="s">
        <v>99</v>
      </c>
      <c r="R23" s="27" t="s">
        <v>18</v>
      </c>
      <c r="S23" s="27" t="s">
        <v>100</v>
      </c>
      <c r="T23" s="132" t="s">
        <v>18</v>
      </c>
      <c r="U23" s="136" t="s">
        <v>101</v>
      </c>
      <c r="V23" s="137" t="s">
        <v>97</v>
      </c>
      <c r="W23" s="83" t="s">
        <v>102</v>
      </c>
      <c r="X23" s="27" t="s">
        <v>103</v>
      </c>
      <c r="Y23" s="27" t="s">
        <v>18</v>
      </c>
      <c r="Z23" s="27" t="s">
        <v>104</v>
      </c>
      <c r="AA23" s="27" t="s">
        <v>18</v>
      </c>
      <c r="AB23" s="27" t="s">
        <v>105</v>
      </c>
      <c r="AC23" s="27" t="s">
        <v>18</v>
      </c>
      <c r="AD23" s="27" t="s">
        <v>106</v>
      </c>
      <c r="AE23" s="27" t="s">
        <v>18</v>
      </c>
      <c r="AF23" s="27" t="s">
        <v>107</v>
      </c>
      <c r="AG23" s="27" t="s">
        <v>18</v>
      </c>
      <c r="AH23" s="27" t="s">
        <v>108</v>
      </c>
      <c r="AI23" s="27" t="s">
        <v>18</v>
      </c>
      <c r="AJ23" s="27" t="s">
        <v>109</v>
      </c>
      <c r="AK23" s="27" t="s">
        <v>18</v>
      </c>
      <c r="AL23" s="27" t="s">
        <v>110</v>
      </c>
      <c r="AM23" s="27" t="s">
        <v>18</v>
      </c>
      <c r="AN23" s="27" t="s">
        <v>111</v>
      </c>
      <c r="AO23" s="27" t="s">
        <v>18</v>
      </c>
      <c r="AP23" s="27" t="s">
        <v>112</v>
      </c>
      <c r="AQ23" s="27" t="s">
        <v>18</v>
      </c>
      <c r="AR23" s="27" t="s">
        <v>113</v>
      </c>
      <c r="AS23" s="27" t="s">
        <v>18</v>
      </c>
      <c r="BH23">
        <f t="shared" ref="BH23:BH30" si="8">BH15+1</f>
        <v>2</v>
      </c>
      <c r="BI23">
        <v>3</v>
      </c>
      <c r="BJ23" s="107" t="e">
        <f t="shared" ref="BJ23:BJ30" si="9">$H$26*H41</f>
        <v>#DIV/0!</v>
      </c>
      <c r="BP23">
        <f>BL9+1</f>
        <v>6</v>
      </c>
      <c r="BQ23">
        <v>5</v>
      </c>
      <c r="BR23" s="107" t="e">
        <f>$H$30*H43</f>
        <v>#DIV/0!</v>
      </c>
    </row>
    <row r="24" spans="1:70" x14ac:dyDescent="0.25">
      <c r="A24" s="26" t="s">
        <v>89</v>
      </c>
      <c r="B24" s="64" t="e">
        <f>B23/B21</f>
        <v>#DIV/0!</v>
      </c>
      <c r="C24" s="65" t="e">
        <f>C23/B21</f>
        <v>#DIV/0!</v>
      </c>
      <c r="D24" s="13" t="s">
        <v>90</v>
      </c>
      <c r="E24" s="13" t="s">
        <v>91</v>
      </c>
      <c r="G24" s="124">
        <v>0</v>
      </c>
      <c r="H24" s="125" t="e">
        <f>L24*J24</f>
        <v>#DIV/0!</v>
      </c>
      <c r="I24" s="97">
        <v>0</v>
      </c>
      <c r="J24" s="98" t="e">
        <f t="shared" ref="J24:J34" si="10">Y24+AA24+AC24+AE24+AG24+AI24+AK24+AM24+AO24+AQ24+AS24</f>
        <v>#DIV/0!</v>
      </c>
      <c r="K24" s="97">
        <v>0</v>
      </c>
      <c r="L24" s="98" t="e">
        <f>S20</f>
        <v>#DIV/0!</v>
      </c>
      <c r="M24" s="84">
        <v>0</v>
      </c>
      <c r="N24" s="71" t="e">
        <f>(1-$B$24)^$B$21</f>
        <v>#DIV/0!</v>
      </c>
      <c r="O24" s="70">
        <v>0</v>
      </c>
      <c r="P24" s="71" t="e">
        <f t="shared" ref="P24:P29" si="11">N24</f>
        <v>#DIV/0!</v>
      </c>
      <c r="Q24" s="12">
        <v>0</v>
      </c>
      <c r="R24" s="73" t="e">
        <f>P24*N24</f>
        <v>#DIV/0!</v>
      </c>
      <c r="S24" s="70">
        <v>0</v>
      </c>
      <c r="T24" s="133" t="e">
        <f>(1-$B$33)^(INT(C23*2*(1-C31)))</f>
        <v>#DIV/0!</v>
      </c>
      <c r="U24" s="138">
        <v>0</v>
      </c>
      <c r="V24" s="86" t="e">
        <f>R24*T24</f>
        <v>#DIV/0!</v>
      </c>
      <c r="W24" s="134" t="e">
        <f>B31</f>
        <v>#DIV/0!</v>
      </c>
      <c r="X24" s="12">
        <v>0</v>
      </c>
      <c r="Y24" s="79" t="e">
        <f>V24</f>
        <v>#DIV/0!</v>
      </c>
      <c r="Z24" s="12">
        <v>0</v>
      </c>
      <c r="AA24" s="78" t="e">
        <f>((1-W24)^Z25)*V25</f>
        <v>#DIV/0!</v>
      </c>
      <c r="AB24" s="12">
        <v>0</v>
      </c>
      <c r="AC24" s="79" t="e">
        <f>(((1-$W$24)^AB26))*V26</f>
        <v>#DIV/0!</v>
      </c>
      <c r="AD24" s="12">
        <v>0</v>
      </c>
      <c r="AE24" s="79" t="e">
        <f>(((1-$W$24)^AB27))*V27</f>
        <v>#DIV/0!</v>
      </c>
      <c r="AF24" s="12">
        <v>0</v>
      </c>
      <c r="AG24" s="79" t="e">
        <f>(((1-$W$24)^AB28))*V28</f>
        <v>#DIV/0!</v>
      </c>
      <c r="AH24" s="12">
        <v>0</v>
      </c>
      <c r="AI24" s="79" t="e">
        <f>(((1-$W$24)^AB29))*V29</f>
        <v>#DIV/0!</v>
      </c>
      <c r="AJ24" s="12">
        <v>0</v>
      </c>
      <c r="AK24" s="79" t="e">
        <f>(((1-$W$24)^AB30))*V30</f>
        <v>#DIV/0!</v>
      </c>
      <c r="AL24" s="12">
        <v>0</v>
      </c>
      <c r="AM24" s="79" t="e">
        <f>(((1-$W$24)^AB31))*V31</f>
        <v>#DIV/0!</v>
      </c>
      <c r="AN24" s="12">
        <v>0</v>
      </c>
      <c r="AO24" s="79" t="e">
        <f>(((1-$W$24)^AB32))*V32</f>
        <v>#DIV/0!</v>
      </c>
      <c r="AP24" s="12">
        <v>0</v>
      </c>
      <c r="AQ24" s="79" t="e">
        <f>(((1-$W$24)^AB33))*V33</f>
        <v>#DIV/0!</v>
      </c>
      <c r="AR24" s="12">
        <v>0</v>
      </c>
      <c r="AS24" s="79" t="e">
        <f>(((1-$W$24)^AB34))*V34</f>
        <v>#DIV/0!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2">$H$31*H38</f>
        <v>#DIV/0!</v>
      </c>
    </row>
    <row r="25" spans="1:70" x14ac:dyDescent="0.25">
      <c r="A25" s="26" t="s">
        <v>114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1">
        <f>IF(B17="AOW",0.36-0.08,IF(B17="AIM",0.36+0.08,IF(B17="TL",(0.361)-(0.36*B32),0.36)))</f>
        <v>0.36</v>
      </c>
      <c r="E25" s="151">
        <f>IF(C17="AOW",0.36-0.08,IF(C17="AIM",0.36+0.08,IF(C17="TL",(0.361)-(0.36*C32),0.36)))</f>
        <v>0.36</v>
      </c>
      <c r="G25" s="87">
        <v>1</v>
      </c>
      <c r="H25" s="126" t="e">
        <f>L24*J25+L25*J24</f>
        <v>#DIV/0!</v>
      </c>
      <c r="I25" s="93">
        <v>1</v>
      </c>
      <c r="J25" s="86" t="e">
        <f t="shared" si="10"/>
        <v>#DIV/0!</v>
      </c>
      <c r="K25" s="93">
        <v>1</v>
      </c>
      <c r="L25" s="86" t="e">
        <f>T20</f>
        <v>#DIV/0!</v>
      </c>
      <c r="M25" s="85">
        <v>1</v>
      </c>
      <c r="N25" s="71" t="e">
        <f>(($B$24)^M25)*((1-($B$24))^($B$21-M25))*HLOOKUP($B$21,$AV$24:$BF$34,M25+1)</f>
        <v>#DIV/0!</v>
      </c>
      <c r="O25" s="72">
        <v>1</v>
      </c>
      <c r="P25" s="71" t="e">
        <f t="shared" si="11"/>
        <v>#DIV/0!</v>
      </c>
      <c r="Q25" s="28">
        <v>1</v>
      </c>
      <c r="R25" s="37" t="e">
        <f>N25*P24+P25*N24</f>
        <v>#DIV/0!</v>
      </c>
      <c r="S25" s="72">
        <v>1</v>
      </c>
      <c r="T25" s="133" t="e">
        <f t="shared" ref="T25:T34" si="13">(($B$33)^S25)*((1-($B$33))^(INT($C$23*2*(1-$C$31))-S25))*HLOOKUP(INT($C$23*2*(1-$C$31)),$AV$24:$BF$34,S25+1)</f>
        <v>#DIV/0!</v>
      </c>
      <c r="U25" s="93">
        <v>1</v>
      </c>
      <c r="V25" s="86" t="e">
        <f>R25*T24+T25*R24</f>
        <v>#DIV/0!</v>
      </c>
      <c r="W25" s="135"/>
      <c r="X25" s="28">
        <v>1</v>
      </c>
      <c r="Y25" s="73"/>
      <c r="Z25" s="28">
        <v>1</v>
      </c>
      <c r="AA25" s="79" t="e">
        <f>(1-((1-W24)^Z25))*V25</f>
        <v>#DIV/0!</v>
      </c>
      <c r="AB25" s="28">
        <v>1</v>
      </c>
      <c r="AC25" s="79" t="e">
        <f>((($W$24)^M25)*((1-($W$24))^($U$26-M25))*HLOOKUP($U$26,$AV$24:$BF$34,M25+1))*V26</f>
        <v>#DIV/0!</v>
      </c>
      <c r="AD25" s="28">
        <v>1</v>
      </c>
      <c r="AE25" s="79" t="e">
        <f>((($W$24)^M25)*((1-($W$24))^($U$27-M25))*HLOOKUP($U$27,$AV$24:$BF$34,M25+1))*V27</f>
        <v>#DIV/0!</v>
      </c>
      <c r="AF25" s="28">
        <v>1</v>
      </c>
      <c r="AG25" s="79" t="e">
        <f>((($W$24)^M25)*((1-($W$24))^($U$28-M25))*HLOOKUP($U$28,$AV$24:$BF$34,M25+1))*V28</f>
        <v>#DIV/0!</v>
      </c>
      <c r="AH25" s="28">
        <v>1</v>
      </c>
      <c r="AI25" s="79" t="e">
        <f>((($W$24)^M25)*((1-($W$24))^($U$29-M25))*HLOOKUP($U$29,$AV$24:$BF$34,M25+1))*V29</f>
        <v>#DIV/0!</v>
      </c>
      <c r="AJ25" s="28">
        <v>1</v>
      </c>
      <c r="AK25" s="79" t="e">
        <f>((($W$24)^M25)*((1-($W$24))^($U$30-M25))*HLOOKUP($U$30,$AV$24:$BF$34,M25+1))*V30</f>
        <v>#DIV/0!</v>
      </c>
      <c r="AL25" s="28">
        <v>1</v>
      </c>
      <c r="AM25" s="79" t="e">
        <f>((($W$24)^Q25)*((1-($W$24))^($U$31-Q25))*HLOOKUP($U$31,$AV$24:$BF$34,Q25+1))*V31</f>
        <v>#DIV/0!</v>
      </c>
      <c r="AN25" s="28">
        <v>1</v>
      </c>
      <c r="AO25" s="79" t="e">
        <f>((($W$24)^Q25)*((1-($W$24))^($U$32-Q25))*HLOOKUP($U$32,$AV$24:$BF$34,Q25+1))*V32</f>
        <v>#DIV/0!</v>
      </c>
      <c r="AP25" s="28">
        <v>1</v>
      </c>
      <c r="AQ25" s="79" t="e">
        <f>((($W$24)^Q25)*((1-($W$24))^($U$33-Q25))*HLOOKUP($U$33,$AV$24:$BF$34,Q25+1))*V33</f>
        <v>#DIV/0!</v>
      </c>
      <c r="AR25" s="28">
        <v>1</v>
      </c>
      <c r="AS25" s="79" t="e">
        <f>((($W$24)^Q25)*((1-($W$24))^($U$34-Q25))*HLOOKUP($U$34,$AV$24:$BF$34,Q25+1))*V34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2"/>
        <v>#DIV/0!</v>
      </c>
    </row>
    <row r="26" spans="1:70" x14ac:dyDescent="0.25">
      <c r="A26" s="40" t="s">
        <v>115</v>
      </c>
      <c r="B26" s="119" t="e">
        <f>1/(1+EXP(-3.1416*4*((B10/(B10+C9))-(3.1416/6))))</f>
        <v>#DIV/0!</v>
      </c>
      <c r="C26" s="118" t="e">
        <f>1/(1+EXP(-3.1416*4*((C10/(C10+B9))-(3.1416/6))))</f>
        <v>#DIV/0!</v>
      </c>
      <c r="D26" s="151">
        <f>IF(B17="AOW",0.257+0.04,IF(B17="AIM",0.257-0.04,IF(B17="TL",(0.257)-(0.257*B32),0.257)))</f>
        <v>0.25700000000000001</v>
      </c>
      <c r="E26" s="151">
        <f>IF(C17="AOW",0.257+0.04,IF(C17="AIM",0.257-0.04,IF(C17="TL",(0.257)-(0.257*C32),0.257)))</f>
        <v>0.25700000000000001</v>
      </c>
      <c r="G26" s="87">
        <v>2</v>
      </c>
      <c r="H26" s="126" t="e">
        <f>L24*J26+J25*L25+J24*L26</f>
        <v>#DIV/0!</v>
      </c>
      <c r="I26" s="93">
        <v>2</v>
      </c>
      <c r="J26" s="86" t="e">
        <f t="shared" si="10"/>
        <v>#DIV/0!</v>
      </c>
      <c r="K26" s="93">
        <v>2</v>
      </c>
      <c r="L26" s="86" t="e">
        <f>U20</f>
        <v>#DIV/0!</v>
      </c>
      <c r="M26" s="85">
        <v>2</v>
      </c>
      <c r="N26" s="71" t="e">
        <f>(($B$24)^M26)*((1-($B$24))^($B$21-M26))*HLOOKUP($B$21,$AV$24:$BF$34,M26+1)</f>
        <v>#DIV/0!</v>
      </c>
      <c r="O26" s="72">
        <v>2</v>
      </c>
      <c r="P26" s="71" t="e">
        <f t="shared" si="11"/>
        <v>#DIV/0!</v>
      </c>
      <c r="Q26" s="28">
        <v>2</v>
      </c>
      <c r="R26" s="37" t="e">
        <f>P24*N26+P25*N25+P26*N24</f>
        <v>#DIV/0!</v>
      </c>
      <c r="S26" s="72">
        <v>2</v>
      </c>
      <c r="T26" s="133" t="e">
        <f t="shared" si="13"/>
        <v>#DIV/0!</v>
      </c>
      <c r="U26" s="93">
        <v>2</v>
      </c>
      <c r="V26" s="86" t="e">
        <f>R26*T24+T25*R25+R24*T26</f>
        <v>#DIV/0!</v>
      </c>
      <c r="W26" s="135"/>
      <c r="X26" s="28">
        <v>2</v>
      </c>
      <c r="Y26" s="73"/>
      <c r="Z26" s="28">
        <v>2</v>
      </c>
      <c r="AA26" s="79"/>
      <c r="AB26" s="28">
        <v>2</v>
      </c>
      <c r="AC26" s="79" t="e">
        <f>((($W$24)^M26)*((1-($W$24))^($U$26-M26))*HLOOKUP($U$26,$AV$24:$BF$34,M26+1))*V26</f>
        <v>#DIV/0!</v>
      </c>
      <c r="AD26" s="28">
        <v>2</v>
      </c>
      <c r="AE26" s="79" t="e">
        <f>((($W$24)^M26)*((1-($W$24))^($U$27-M26))*HLOOKUP($U$27,$AV$24:$BF$34,M26+1))*V27</f>
        <v>#DIV/0!</v>
      </c>
      <c r="AF26" s="28">
        <v>2</v>
      </c>
      <c r="AG26" s="79" t="e">
        <f>((($W$24)^M26)*((1-($W$24))^($U$28-M26))*HLOOKUP($U$28,$AV$24:$BF$34,M26+1))*V28</f>
        <v>#DIV/0!</v>
      </c>
      <c r="AH26" s="28">
        <v>2</v>
      </c>
      <c r="AI26" s="79" t="e">
        <f>((($W$24)^M26)*((1-($W$24))^($U$29-M26))*HLOOKUP($U$29,$AV$24:$BF$34,M26+1))*V29</f>
        <v>#DIV/0!</v>
      </c>
      <c r="AJ26" s="28">
        <v>2</v>
      </c>
      <c r="AK26" s="79" t="e">
        <f>((($W$24)^M26)*((1-($W$24))^($U$30-M26))*HLOOKUP($U$30,$AV$24:$BF$34,M26+1))*V30</f>
        <v>#DIV/0!</v>
      </c>
      <c r="AL26" s="28">
        <v>2</v>
      </c>
      <c r="AM26" s="79" t="e">
        <f>((($W$24)^Q26)*((1-($W$24))^($U$31-Q26))*HLOOKUP($U$31,$AV$24:$BF$34,Q26+1))*V31</f>
        <v>#DIV/0!</v>
      </c>
      <c r="AN26" s="28">
        <v>2</v>
      </c>
      <c r="AO26" s="79" t="e">
        <f>((($W$24)^Q26)*((1-($W$24))^($U$32-Q26))*HLOOKUP($U$32,$AV$24:$BF$34,Q26+1))*V32</f>
        <v>#DIV/0!</v>
      </c>
      <c r="AP26" s="28">
        <v>2</v>
      </c>
      <c r="AQ26" s="79" t="e">
        <f>((($W$24)^Q26)*((1-($W$24))^($U$33-Q26))*HLOOKUP($U$33,$AV$24:$BF$34,Q26+1))*V33</f>
        <v>#DIV/0!</v>
      </c>
      <c r="AR26" s="28">
        <v>2</v>
      </c>
      <c r="AS26" s="79" t="e">
        <f>((($W$24)^Q26)*((1-($W$24))^($U$34-Q26))*HLOOKUP($U$34,$AV$24:$BF$34,Q26+1))*V34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2"/>
        <v>#DIV/0!</v>
      </c>
    </row>
    <row r="27" spans="1:70" x14ac:dyDescent="0.25">
      <c r="A27" s="26" t="s">
        <v>116</v>
      </c>
      <c r="B27" s="119" t="e">
        <f>1/(1+EXP(-3.1416*4*((B12/(B12+C7))-(3.1416/6))))</f>
        <v>#DIV/0!</v>
      </c>
      <c r="C27" s="118" t="e">
        <f>1/(1+EXP(-3.1416*4*((C12/(C12+B7))-(3.1416/6))))</f>
        <v>#DIV/0!</v>
      </c>
      <c r="D27" s="151">
        <f>D26</f>
        <v>0.25700000000000001</v>
      </c>
      <c r="E27" s="151">
        <f>E26</f>
        <v>0.25700000000000001</v>
      </c>
      <c r="G27" s="87">
        <v>3</v>
      </c>
      <c r="H27" s="126" t="e">
        <f>J27*L24+J26*L25+L27*J24+L26*J25</f>
        <v>#DIV/0!</v>
      </c>
      <c r="I27" s="93">
        <v>3</v>
      </c>
      <c r="J27" s="86" t="e">
        <f t="shared" si="10"/>
        <v>#DIV/0!</v>
      </c>
      <c r="K27" s="93">
        <v>3</v>
      </c>
      <c r="L27" s="86" t="e">
        <f>V20</f>
        <v>#DIV/0!</v>
      </c>
      <c r="M27" s="85">
        <v>3</v>
      </c>
      <c r="N27" s="71" t="e">
        <f>(($B$24)^M27)*((1-($B$24))^($B$21-M27))*HLOOKUP($B$21,$AV$24:$BF$34,M27+1)</f>
        <v>#DIV/0!</v>
      </c>
      <c r="O27" s="72">
        <v>3</v>
      </c>
      <c r="P27" s="71" t="e">
        <f t="shared" si="11"/>
        <v>#DIV/0!</v>
      </c>
      <c r="Q27" s="28">
        <v>3</v>
      </c>
      <c r="R27" s="37" t="e">
        <f>P24*N27+P25*N26+P26*N25+P27*N24</f>
        <v>#DIV/0!</v>
      </c>
      <c r="S27" s="72">
        <v>3</v>
      </c>
      <c r="T27" s="133" t="e">
        <f t="shared" si="13"/>
        <v>#DIV/0!</v>
      </c>
      <c r="U27" s="93">
        <v>3</v>
      </c>
      <c r="V27" s="86" t="e">
        <f>R27*T24+R26*T25+R25*T26+R24*T27</f>
        <v>#DIV/0!</v>
      </c>
      <c r="W27" s="135"/>
      <c r="X27" s="28">
        <v>3</v>
      </c>
      <c r="Y27" s="73"/>
      <c r="Z27" s="28">
        <v>3</v>
      </c>
      <c r="AA27" s="79"/>
      <c r="AB27" s="28">
        <v>3</v>
      </c>
      <c r="AC27" s="79"/>
      <c r="AD27" s="28">
        <v>3</v>
      </c>
      <c r="AE27" s="79" t="e">
        <f>((($W$24)^M27)*((1-($W$24))^($U$27-M27))*HLOOKUP($U$27,$AV$24:$BF$34,M27+1))*V27</f>
        <v>#DIV/0!</v>
      </c>
      <c r="AF27" s="28">
        <v>3</v>
      </c>
      <c r="AG27" s="79" t="e">
        <f>((($W$24)^M27)*((1-($W$24))^($U$28-M27))*HLOOKUP($U$28,$AV$24:$BF$34,M27+1))*V28</f>
        <v>#DIV/0!</v>
      </c>
      <c r="AH27" s="28">
        <v>3</v>
      </c>
      <c r="AI27" s="79" t="e">
        <f>((($W$24)^M27)*((1-($W$24))^($U$29-M27))*HLOOKUP($U$29,$AV$24:$BF$34,M27+1))*V29</f>
        <v>#DIV/0!</v>
      </c>
      <c r="AJ27" s="28">
        <v>3</v>
      </c>
      <c r="AK27" s="79" t="e">
        <f>((($W$24)^M27)*((1-($W$24))^($U$30-M27))*HLOOKUP($U$30,$AV$24:$BF$34,M27+1))*V30</f>
        <v>#DIV/0!</v>
      </c>
      <c r="AL27" s="28">
        <v>3</v>
      </c>
      <c r="AM27" s="79" t="e">
        <f>((($W$24)^Q27)*((1-($W$24))^($U$31-Q27))*HLOOKUP($U$31,$AV$24:$BF$34,Q27+1))*V31</f>
        <v>#DIV/0!</v>
      </c>
      <c r="AN27" s="28">
        <v>3</v>
      </c>
      <c r="AO27" s="79" t="e">
        <f>((($W$24)^Q27)*((1-($W$24))^($U$32-Q27))*HLOOKUP($U$32,$AV$24:$BF$34,Q27+1))*V32</f>
        <v>#DIV/0!</v>
      </c>
      <c r="AP27" s="28">
        <v>3</v>
      </c>
      <c r="AQ27" s="79" t="e">
        <f>((($W$24)^Q27)*((1-($W$24))^($U$33-Q27))*HLOOKUP($U$33,$AV$24:$BF$34,Q27+1))*V33</f>
        <v>#DIV/0!</v>
      </c>
      <c r="AR27" s="28">
        <v>3</v>
      </c>
      <c r="AS27" s="79" t="e">
        <f>((($W$24)^Q27)*((1-($W$24))^($U$34-Q27))*HLOOKUP($U$34,$AV$24:$BF$34,Q27+1))*V34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2"/>
        <v>#DIV/0!</v>
      </c>
    </row>
    <row r="28" spans="1:70" x14ac:dyDescent="0.25">
      <c r="A28" s="26" t="s">
        <v>117</v>
      </c>
      <c r="B28" s="120">
        <v>0.9</v>
      </c>
      <c r="C28" s="121">
        <v>0.9</v>
      </c>
      <c r="D28" s="151">
        <v>8.5000000000000006E-2</v>
      </c>
      <c r="E28" s="151">
        <v>8.5000000000000006E-2</v>
      </c>
      <c r="G28" s="87">
        <v>4</v>
      </c>
      <c r="H28" s="126" t="e">
        <f>J28*L24+J27*L25+J26*L26+J25*L27</f>
        <v>#DIV/0!</v>
      </c>
      <c r="I28" s="93">
        <v>4</v>
      </c>
      <c r="J28" s="86" t="e">
        <f t="shared" si="10"/>
        <v>#DIV/0!</v>
      </c>
      <c r="K28" s="93">
        <v>4</v>
      </c>
      <c r="L28" s="86"/>
      <c r="M28" s="85">
        <v>4</v>
      </c>
      <c r="N28" s="71" t="e">
        <f>(($B$24)^M28)*((1-($B$24))^($B$21-M28))*HLOOKUP($B$21,$AV$24:$BF$34,M28+1)</f>
        <v>#DIV/0!</v>
      </c>
      <c r="O28" s="72">
        <v>4</v>
      </c>
      <c r="P28" s="71" t="e">
        <f t="shared" si="11"/>
        <v>#DIV/0!</v>
      </c>
      <c r="Q28" s="28">
        <v>4</v>
      </c>
      <c r="R28" s="37" t="e">
        <f>P24*N28+P25*N27+P26*N26+P27*N25+P28*N24</f>
        <v>#DIV/0!</v>
      </c>
      <c r="S28" s="72">
        <v>4</v>
      </c>
      <c r="T28" s="133" t="e">
        <f t="shared" si="13"/>
        <v>#DIV/0!</v>
      </c>
      <c r="U28" s="93">
        <v>4</v>
      </c>
      <c r="V28" s="86" t="e">
        <f>T28*R24+T27*R25+T26*R26+T25*R27+T24*R28</f>
        <v>#DIV/0!</v>
      </c>
      <c r="W28" s="135"/>
      <c r="X28" s="28">
        <v>4</v>
      </c>
      <c r="Y28" s="73"/>
      <c r="Z28" s="28">
        <v>4</v>
      </c>
      <c r="AA28" s="79"/>
      <c r="AB28" s="28">
        <v>4</v>
      </c>
      <c r="AC28" s="79"/>
      <c r="AD28" s="28">
        <v>4</v>
      </c>
      <c r="AE28" s="79"/>
      <c r="AF28" s="28">
        <v>4</v>
      </c>
      <c r="AG28" s="79" t="e">
        <f>((($W$24)^M28)*((1-($W$24))^($U$28-M28))*HLOOKUP($U$28,$AV$24:$BF$34,M28+1))*V28</f>
        <v>#DIV/0!</v>
      </c>
      <c r="AH28" s="28">
        <v>4</v>
      </c>
      <c r="AI28" s="79" t="e">
        <f>((($W$24)^M28)*((1-($W$24))^($U$29-M28))*HLOOKUP($U$29,$AV$24:$BF$34,M28+1))*V29</f>
        <v>#DIV/0!</v>
      </c>
      <c r="AJ28" s="28">
        <v>4</v>
      </c>
      <c r="AK28" s="79" t="e">
        <f>((($W$24)^M28)*((1-($W$24))^($U$30-M28))*HLOOKUP($U$30,$AV$24:$BF$34,M28+1))*V30</f>
        <v>#DIV/0!</v>
      </c>
      <c r="AL28" s="28">
        <v>4</v>
      </c>
      <c r="AM28" s="79" t="e">
        <f>((($W$24)^Q28)*((1-($W$24))^($U$31-Q28))*HLOOKUP($U$31,$AV$24:$BF$34,Q28+1))*V31</f>
        <v>#DIV/0!</v>
      </c>
      <c r="AN28" s="28">
        <v>4</v>
      </c>
      <c r="AO28" s="79" t="e">
        <f>((($W$24)^Q28)*((1-($W$24))^($U$32-Q28))*HLOOKUP($U$32,$AV$24:$BF$34,Q28+1))*V32</f>
        <v>#DIV/0!</v>
      </c>
      <c r="AP28" s="28">
        <v>4</v>
      </c>
      <c r="AQ28" s="79" t="e">
        <f>((($W$24)^Q28)*((1-($W$24))^($U$33-Q28))*HLOOKUP($U$33,$AV$24:$BF$34,Q28+1))*V33</f>
        <v>#DIV/0!</v>
      </c>
      <c r="AR28" s="28">
        <v>4</v>
      </c>
      <c r="AS28" s="79" t="e">
        <f>((($W$24)^Q28)*((1-($W$24))^($U$34-Q28))*HLOOKUP($U$34,$AV$24:$BF$34,Q28+1))*V34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 t="shared" ref="BF28:BF34" si="14"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2"/>
        <v>#DIV/0!</v>
      </c>
    </row>
    <row r="29" spans="1:70" x14ac:dyDescent="0.25">
      <c r="A29" s="26" t="s">
        <v>118</v>
      </c>
      <c r="B29" s="119">
        <f>1/(1+EXP(-3.1416*4*((B14/(B14+C13))-(3.1416/6))))</f>
        <v>0.20010231099857245</v>
      </c>
      <c r="C29" s="118">
        <f>1/(1+EXP(-3.1416*4*((C14/(C14+B13))-(3.1416/6))))</f>
        <v>0.575891899079775</v>
      </c>
      <c r="D29" s="151">
        <v>0.04</v>
      </c>
      <c r="E29" s="151">
        <v>0.04</v>
      </c>
      <c r="G29" s="87">
        <v>5</v>
      </c>
      <c r="H29" s="126" t="e">
        <f>J29*L24+J28*L25+J27*L26+J26*L27</f>
        <v>#DIV/0!</v>
      </c>
      <c r="I29" s="93">
        <v>5</v>
      </c>
      <c r="J29" s="86" t="e">
        <f t="shared" si="10"/>
        <v>#DIV/0!</v>
      </c>
      <c r="K29" s="93">
        <v>5</v>
      </c>
      <c r="L29" s="86"/>
      <c r="M29" s="85">
        <v>5</v>
      </c>
      <c r="N29" s="71" t="e">
        <f>(($B$24)^M29)*((1-($B$24))^($B$21-M29))*HLOOKUP($B$21,$AV$24:$BF$34,M29+1)</f>
        <v>#DIV/0!</v>
      </c>
      <c r="O29" s="72">
        <v>5</v>
      </c>
      <c r="P29" s="71" t="e">
        <f t="shared" si="11"/>
        <v>#DIV/0!</v>
      </c>
      <c r="Q29" s="28">
        <v>5</v>
      </c>
      <c r="R29" s="37" t="e">
        <f>P24*N29+P25*N28+P26*N27+P27*N26+P28*N25+P29*N24</f>
        <v>#DIV/0!</v>
      </c>
      <c r="S29" s="72">
        <v>5</v>
      </c>
      <c r="T29" s="133" t="e">
        <f t="shared" si="13"/>
        <v>#DIV/0!</v>
      </c>
      <c r="U29" s="93">
        <v>5</v>
      </c>
      <c r="V29" s="86" t="e">
        <f>T29*R24+T28*R25+T27*R26+T26*R27+T25*R28+T24*R29</f>
        <v>#DIV/0!</v>
      </c>
      <c r="W29" s="135"/>
      <c r="X29" s="28">
        <v>5</v>
      </c>
      <c r="Y29" s="73"/>
      <c r="Z29" s="28">
        <v>5</v>
      </c>
      <c r="AA29" s="79"/>
      <c r="AB29" s="28">
        <v>5</v>
      </c>
      <c r="AC29" s="79"/>
      <c r="AD29" s="28">
        <v>5</v>
      </c>
      <c r="AE29" s="79"/>
      <c r="AF29" s="28">
        <v>5</v>
      </c>
      <c r="AG29" s="79"/>
      <c r="AH29" s="28">
        <v>5</v>
      </c>
      <c r="AI29" s="79" t="e">
        <f>((($W$24)^M29)*((1-($W$24))^($U$29-M29))*HLOOKUP($U$29,$AV$24:$BF$34,M29+1))*V29</f>
        <v>#DIV/0!</v>
      </c>
      <c r="AJ29" s="28">
        <v>5</v>
      </c>
      <c r="AK29" s="79" t="e">
        <f>((($W$24)^M29)*((1-($W$24))^($U$30-M29))*HLOOKUP($U$30,$AV$24:$BF$34,M29+1))*V30</f>
        <v>#DIV/0!</v>
      </c>
      <c r="AL29" s="28">
        <v>5</v>
      </c>
      <c r="AM29" s="79" t="e">
        <f>((($W$24)^Q29)*((1-($W$24))^($U$31-Q29))*HLOOKUP($U$31,$AV$24:$BF$34,Q29+1))*V31</f>
        <v>#DIV/0!</v>
      </c>
      <c r="AN29" s="28">
        <v>5</v>
      </c>
      <c r="AO29" s="79" t="e">
        <f>((($W$24)^Q29)*((1-($W$24))^($U$32-Q29))*HLOOKUP($U$32,$AV$24:$BF$34,Q29+1))*V32</f>
        <v>#DIV/0!</v>
      </c>
      <c r="AP29" s="28">
        <v>5</v>
      </c>
      <c r="AQ29" s="79" t="e">
        <f>((($W$24)^Q29)*((1-($W$24))^($U$33-Q29))*HLOOKUP($U$33,$AV$24:$BF$34,Q29+1))*V33</f>
        <v>#DIV/0!</v>
      </c>
      <c r="AR29" s="28">
        <v>5</v>
      </c>
      <c r="AS29" s="79" t="e">
        <f>((($W$24)^Q29)*((1-($W$24))^($U$34-Q29))*HLOOKUP($U$34,$AV$24:$BF$34,Q29+1))*V34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si="14"/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2"/>
        <v>#DIV/0!</v>
      </c>
    </row>
    <row r="30" spans="1:70" x14ac:dyDescent="0.25">
      <c r="A30" s="26" t="s">
        <v>119</v>
      </c>
      <c r="B30" s="120">
        <v>0.15</v>
      </c>
      <c r="C30" s="121">
        <v>0.15</v>
      </c>
      <c r="D30" s="151">
        <f>IF(B17="TL",0.875*B32,0.001)</f>
        <v>1E-3</v>
      </c>
      <c r="E30" s="151">
        <f>IF(C17="TL",0.875*C32,0.001)</f>
        <v>1E-3</v>
      </c>
      <c r="G30" s="87">
        <v>6</v>
      </c>
      <c r="H30" s="126" t="e">
        <f>J30*L24+J29*L25+J28*L26+J27*L27</f>
        <v>#DIV/0!</v>
      </c>
      <c r="I30" s="93">
        <v>6</v>
      </c>
      <c r="J30" s="86" t="e">
        <f t="shared" si="10"/>
        <v>#DIV/0!</v>
      </c>
      <c r="K30" s="93">
        <v>6</v>
      </c>
      <c r="L30" s="86"/>
      <c r="M30" s="85"/>
      <c r="N30" s="73"/>
      <c r="O30" s="37"/>
      <c r="P30" s="37"/>
      <c r="Q30" s="28">
        <v>6</v>
      </c>
      <c r="R30" s="37" t="e">
        <f>P25*N29+P26*N28+P27*N27+P28*N26+P29*N25</f>
        <v>#DIV/0!</v>
      </c>
      <c r="S30" s="70">
        <v>6</v>
      </c>
      <c r="T30" s="133" t="e">
        <f t="shared" si="13"/>
        <v>#DIV/0!</v>
      </c>
      <c r="U30" s="93">
        <v>6</v>
      </c>
      <c r="V30" s="86" t="e">
        <f>T30*R24+T29*R25+T28*R26+T27*R27+T26*R28+T25*R29+T24*R30</f>
        <v>#DIV/0!</v>
      </c>
      <c r="W30" s="135"/>
      <c r="X30" s="28">
        <v>6</v>
      </c>
      <c r="Y30" s="73"/>
      <c r="Z30" s="28">
        <v>6</v>
      </c>
      <c r="AA30" s="79"/>
      <c r="AB30" s="28">
        <v>6</v>
      </c>
      <c r="AC30" s="79"/>
      <c r="AD30" s="28">
        <v>6</v>
      </c>
      <c r="AE30" s="79"/>
      <c r="AF30" s="28">
        <v>6</v>
      </c>
      <c r="AG30" s="79"/>
      <c r="AH30" s="28">
        <v>6</v>
      </c>
      <c r="AI30" s="79"/>
      <c r="AJ30" s="28">
        <v>6</v>
      </c>
      <c r="AK30" s="79" t="e">
        <f>((($W$24)^Q30)*((1-($W$24))^($U$30-Q30))*HLOOKUP($U$30,$AV$24:$BF$34,Q30+1))*V30</f>
        <v>#DIV/0!</v>
      </c>
      <c r="AL30" s="28">
        <v>6</v>
      </c>
      <c r="AM30" s="79" t="e">
        <f>((($W$24)^Q30)*((1-($W$24))^($U$31-Q30))*HLOOKUP($U$31,$AV$24:$BF$34,Q30+1))*V31</f>
        <v>#DIV/0!</v>
      </c>
      <c r="AN30" s="28">
        <v>6</v>
      </c>
      <c r="AO30" s="79" t="e">
        <f>((($W$24)^Q30)*((1-($W$24))^($U$32-Q30))*HLOOKUP($U$32,$AV$24:$BF$34,Q30+1))*V32</f>
        <v>#DIV/0!</v>
      </c>
      <c r="AP30" s="28">
        <v>6</v>
      </c>
      <c r="AQ30" s="79" t="e">
        <f>((($W$24)^Q30)*((1-($W$24))^($U$33-Q30))*HLOOKUP($U$33,$AV$24:$BF$34,Q30+1))*V33</f>
        <v>#DIV/0!</v>
      </c>
      <c r="AR30" s="28">
        <v>6</v>
      </c>
      <c r="AS30" s="79" t="e">
        <f>((($W$24)^Q30)*((1-($W$24))^($U$34-Q30))*HLOOKUP($U$34,$AV$24:$BF$34,Q30+1))*V34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2"/>
        <v>#DIV/0!</v>
      </c>
    </row>
    <row r="31" spans="1:70" x14ac:dyDescent="0.25">
      <c r="A31" s="51" t="s">
        <v>120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7</v>
      </c>
      <c r="H31" s="126" t="e">
        <f>J31*L24+J30*L25+J29*L26+J28*L27</f>
        <v>#DIV/0!</v>
      </c>
      <c r="I31" s="93">
        <v>7</v>
      </c>
      <c r="J31" s="86" t="e">
        <f t="shared" si="10"/>
        <v>#DIV/0!</v>
      </c>
      <c r="K31" s="93">
        <v>7</v>
      </c>
      <c r="L31" s="86"/>
      <c r="M31" s="85"/>
      <c r="N31" s="73"/>
      <c r="O31" s="37"/>
      <c r="P31" s="37"/>
      <c r="Q31" s="28">
        <v>7</v>
      </c>
      <c r="R31" s="37" t="e">
        <f>P26*N29+P27*N28+P28*N27+P29*N26</f>
        <v>#DIV/0!</v>
      </c>
      <c r="S31" s="72">
        <v>7</v>
      </c>
      <c r="T31" s="133" t="e">
        <f t="shared" si="13"/>
        <v>#DIV/0!</v>
      </c>
      <c r="U31" s="93">
        <v>7</v>
      </c>
      <c r="V31" s="86" t="e">
        <f>T31*R24+T30*R25+T29*R26+T28*R27+T27*R28+T26*R29+T25*R30+T24*R31</f>
        <v>#DIV/0!</v>
      </c>
      <c r="W31" s="135"/>
      <c r="X31" s="28">
        <v>7</v>
      </c>
      <c r="Y31" s="73"/>
      <c r="Z31" s="28">
        <v>7</v>
      </c>
      <c r="AA31" s="79"/>
      <c r="AB31" s="28">
        <v>7</v>
      </c>
      <c r="AC31" s="79"/>
      <c r="AD31" s="28">
        <v>7</v>
      </c>
      <c r="AE31" s="79"/>
      <c r="AF31" s="28">
        <v>7</v>
      </c>
      <c r="AG31" s="79"/>
      <c r="AH31" s="28">
        <v>7</v>
      </c>
      <c r="AI31" s="79"/>
      <c r="AJ31" s="28">
        <v>7</v>
      </c>
      <c r="AK31" s="79"/>
      <c r="AL31" s="28">
        <v>7</v>
      </c>
      <c r="AM31" s="79" t="e">
        <f>((($W$24)^Q31)*((1-($W$24))^($U$31-Q31))*HLOOKUP($U$31,$AV$24:$BF$34,Q31+1))*V31</f>
        <v>#DIV/0!</v>
      </c>
      <c r="AN31" s="28">
        <v>7</v>
      </c>
      <c r="AO31" s="79" t="e">
        <f>((($W$24)^Q31)*((1-($W$24))^($U$32-Q31))*HLOOKUP($U$32,$AV$24:$BF$34,Q31+1))*V32</f>
        <v>#DIV/0!</v>
      </c>
      <c r="AP31" s="28">
        <v>7</v>
      </c>
      <c r="AQ31" s="79" t="e">
        <f>((($W$24)^Q31)*((1-($W$24))^($U$33-Q31))*HLOOKUP($U$33,$AV$24:$BF$34,Q31+1))*V33</f>
        <v>#DIV/0!</v>
      </c>
      <c r="AR31" s="28">
        <v>7</v>
      </c>
      <c r="AS31" s="79" t="e">
        <f>((($W$24)^Q31)*((1-($W$24))^($U$34-Q31))*HLOOKUP($U$34,$AV$24:$BF$34,Q31+1))*V34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$H$27*H42</f>
        <v>#DIV/0!</v>
      </c>
      <c r="BP31">
        <f t="shared" ref="BP31:BP37" si="17">BP24+1</f>
        <v>8</v>
      </c>
      <c r="BQ31">
        <v>0</v>
      </c>
      <c r="BR31" s="107" t="e">
        <f t="shared" ref="BR31:BR38" si="18">$H$32*H38</f>
        <v>#DIV/0!</v>
      </c>
    </row>
    <row r="32" spans="1:70" x14ac:dyDescent="0.25">
      <c r="A32" s="26" t="s">
        <v>121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8</v>
      </c>
      <c r="H32" s="126" t="e">
        <f>J32*L24+J31*L25+J30*L26+J29*L27</f>
        <v>#DIV/0!</v>
      </c>
      <c r="I32" s="93">
        <v>8</v>
      </c>
      <c r="J32" s="86" t="e">
        <f t="shared" si="10"/>
        <v>#DIV/0!</v>
      </c>
      <c r="K32" s="93">
        <v>8</v>
      </c>
      <c r="L32" s="86"/>
      <c r="M32" s="85"/>
      <c r="N32" s="73"/>
      <c r="O32" s="37"/>
      <c r="P32" s="37"/>
      <c r="Q32" s="28">
        <v>8</v>
      </c>
      <c r="R32" s="37" t="e">
        <f>P27*N29+P28*N28+P29*N27</f>
        <v>#DIV/0!</v>
      </c>
      <c r="S32" s="72">
        <v>8</v>
      </c>
      <c r="T32" s="133" t="e">
        <f t="shared" si="13"/>
        <v>#DIV/0!</v>
      </c>
      <c r="U32" s="93">
        <v>8</v>
      </c>
      <c r="V32" s="86" t="e">
        <f>T32*R24+T31*R25+T30*R26+T29*R27+T28*R28+T27*R29+T26*R30+T25*R31+T24*R32</f>
        <v>#DIV/0!</v>
      </c>
      <c r="W32" s="135"/>
      <c r="X32" s="28">
        <v>8</v>
      </c>
      <c r="Y32" s="73"/>
      <c r="Z32" s="28">
        <v>8</v>
      </c>
      <c r="AA32" s="79"/>
      <c r="AB32" s="28">
        <v>8</v>
      </c>
      <c r="AC32" s="79"/>
      <c r="AD32" s="28">
        <v>8</v>
      </c>
      <c r="AE32" s="79"/>
      <c r="AF32" s="28">
        <v>8</v>
      </c>
      <c r="AG32" s="79"/>
      <c r="AH32" s="28">
        <v>8</v>
      </c>
      <c r="AI32" s="79"/>
      <c r="AJ32" s="28">
        <v>8</v>
      </c>
      <c r="AK32" s="79"/>
      <c r="AL32" s="28">
        <v>8</v>
      </c>
      <c r="AM32" s="79"/>
      <c r="AN32" s="28">
        <v>8</v>
      </c>
      <c r="AO32" s="79" t="e">
        <f>((($W$24)^Q32)*((1-($W$24))^($U$32-Q32))*HLOOKUP($U$32,$AV$24:$BF$34,Q32+1))*V32</f>
        <v>#DIV/0!</v>
      </c>
      <c r="AP32" s="28">
        <v>8</v>
      </c>
      <c r="AQ32" s="79" t="e">
        <f>((($W$24)^Q32)*((1-($W$24))^($U$33-Q32))*HLOOKUP($U$33,$AV$24:$BF$34,Q32+1))*V33</f>
        <v>#DIV/0!</v>
      </c>
      <c r="AR32" s="28">
        <v>8</v>
      </c>
      <c r="AS32" s="79" t="e">
        <f>((($W$24)^Q32)*((1-($W$24))^($U$34-Q32))*HLOOKUP($U$34,$AV$24:$BF$34,Q32+1))*V34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122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9</v>
      </c>
      <c r="H33" s="126" t="e">
        <f>J33*L24+J32*L25+J31*L26+J30*L27</f>
        <v>#DIV/0!</v>
      </c>
      <c r="I33" s="93">
        <v>9</v>
      </c>
      <c r="J33" s="86" t="e">
        <f t="shared" si="10"/>
        <v>#DIV/0!</v>
      </c>
      <c r="K33" s="93">
        <v>9</v>
      </c>
      <c r="L33" s="86"/>
      <c r="M33" s="85"/>
      <c r="N33" s="73"/>
      <c r="O33" s="37"/>
      <c r="P33" s="37"/>
      <c r="Q33" s="28">
        <v>9</v>
      </c>
      <c r="R33" s="37" t="e">
        <f>P28*N29+P29*N28</f>
        <v>#DIV/0!</v>
      </c>
      <c r="S33" s="72">
        <v>9</v>
      </c>
      <c r="T33" s="133" t="e">
        <f t="shared" si="13"/>
        <v>#DIV/0!</v>
      </c>
      <c r="U33" s="93">
        <v>9</v>
      </c>
      <c r="V33" s="86" t="e">
        <f>T33*R24+T32*R25+T31*R26+T30*R27+T29*R28+T28*R29+T27*R30+T26*R31+T25*R32+T24*R33</f>
        <v>#DIV/0!</v>
      </c>
      <c r="W33" s="135"/>
      <c r="X33" s="28">
        <v>9</v>
      </c>
      <c r="Y33" s="73"/>
      <c r="Z33" s="28">
        <v>9</v>
      </c>
      <c r="AA33" s="79"/>
      <c r="AB33" s="28">
        <v>9</v>
      </c>
      <c r="AC33" s="79"/>
      <c r="AD33" s="28">
        <v>9</v>
      </c>
      <c r="AE33" s="79"/>
      <c r="AF33" s="28">
        <v>9</v>
      </c>
      <c r="AG33" s="79"/>
      <c r="AH33" s="28">
        <v>9</v>
      </c>
      <c r="AI33" s="79"/>
      <c r="AJ33" s="28">
        <v>9</v>
      </c>
      <c r="AK33" s="79"/>
      <c r="AL33" s="28">
        <v>9</v>
      </c>
      <c r="AM33" s="79"/>
      <c r="AN33" s="28">
        <v>9</v>
      </c>
      <c r="AO33" s="79"/>
      <c r="AP33" s="28">
        <v>9</v>
      </c>
      <c r="AQ33" s="79" t="e">
        <f>((($W$24)^Q33)*((1-($W$24))^($U$33-Q33))*HLOOKUP($U$33,$AV$24:$BF$34,Q33+1))*V33</f>
        <v>#DIV/0!</v>
      </c>
      <c r="AR33" s="28">
        <v>9</v>
      </c>
      <c r="AS33" s="79" t="e">
        <f>((($W$24)^Q33)*((1-($W$24))^($U$34-Q33))*HLOOKUP($U$34,$AV$24:$BF$34,Q33+1))*V34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123</v>
      </c>
      <c r="B34" s="56" t="e">
        <f>B23*2</f>
        <v>#DIV/0!</v>
      </c>
      <c r="C34" s="57" t="e">
        <f>C23*2</f>
        <v>#DIV/0!</v>
      </c>
      <c r="G34" s="88">
        <v>10</v>
      </c>
      <c r="H34" s="127" t="e">
        <f>J34*L24+J33*L25+J32*L26+J31*L27</f>
        <v>#DIV/0!</v>
      </c>
      <c r="I34" s="94">
        <v>10</v>
      </c>
      <c r="J34" s="89" t="e">
        <f t="shared" si="10"/>
        <v>#DIV/0!</v>
      </c>
      <c r="K34" s="94">
        <v>10</v>
      </c>
      <c r="L34" s="89"/>
      <c r="M34" s="85"/>
      <c r="N34" s="73"/>
      <c r="O34" s="37"/>
      <c r="P34" s="37"/>
      <c r="Q34" s="28">
        <v>10</v>
      </c>
      <c r="R34" s="37" t="e">
        <f>P29*N29</f>
        <v>#DIV/0!</v>
      </c>
      <c r="S34" s="72">
        <v>10</v>
      </c>
      <c r="T34" s="133" t="e">
        <f t="shared" si="13"/>
        <v>#DIV/0!</v>
      </c>
      <c r="U34" s="94">
        <v>10</v>
      </c>
      <c r="V34" s="89" t="e">
        <f>IF(((T34*R24+T33*R25+T32*R26+T31*R27+T30*R28+T29*R29+T28*R30+T27*R31+T26*R32+T25*R33+T24*R34)+V22)&lt;&gt;1,1-V22,(T34*R24+T33*R25+T32*R26+T31*R27+T30*R28+T29*R29+T28*R30+T27*R31+T26*R32+T25*R33+T24*R34))</f>
        <v>#DIV/0!</v>
      </c>
      <c r="W34" s="135"/>
      <c r="X34" s="28">
        <v>10</v>
      </c>
      <c r="Y34" s="73"/>
      <c r="Z34" s="28">
        <v>10</v>
      </c>
      <c r="AA34" s="79"/>
      <c r="AB34" s="28">
        <v>10</v>
      </c>
      <c r="AC34" s="79"/>
      <c r="AD34" s="28">
        <v>10</v>
      </c>
      <c r="AE34" s="79"/>
      <c r="AF34" s="28">
        <v>10</v>
      </c>
      <c r="AG34" s="79"/>
      <c r="AH34" s="28">
        <v>10</v>
      </c>
      <c r="AI34" s="79"/>
      <c r="AJ34" s="28">
        <v>10</v>
      </c>
      <c r="AK34" s="79"/>
      <c r="AL34" s="28">
        <v>10</v>
      </c>
      <c r="AM34" s="79"/>
      <c r="AN34" s="28">
        <v>10</v>
      </c>
      <c r="AO34" s="79"/>
      <c r="AP34" s="28">
        <v>10</v>
      </c>
      <c r="AQ34" s="79"/>
      <c r="AR34" s="28">
        <v>10</v>
      </c>
      <c r="AS34" s="79" t="e">
        <f>((($W$24)^Q34)*((1-($W$24))^($U$34-Q34))*HLOOKUP($U$34,$AV$24:$BF$34,Q34+1))*V34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59" t="e">
        <f>SUM(V38:V48)</f>
        <v>#DIV/0!</v>
      </c>
      <c r="W35" s="13"/>
      <c r="X35" s="13"/>
      <c r="AS35" s="82" t="e">
        <f>Y36+AA36+AC36+AE36+AG36+AI36+AK36+AM36+AO36+AQ36+AS36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59" t="e">
        <f>SUM(H38:H48)</f>
        <v>#DIV/0!</v>
      </c>
      <c r="I36" s="13"/>
      <c r="J36" s="59" t="e">
        <f>SUM(J38:J48)</f>
        <v>#DIV/0!</v>
      </c>
      <c r="K36" s="59"/>
      <c r="L36" s="59" t="e">
        <f>SUM(L38:L48)</f>
        <v>#DIV/0!</v>
      </c>
      <c r="M36" s="13"/>
      <c r="N36" s="74" t="e">
        <f>SUM(N38:N48)</f>
        <v>#DIV/0!</v>
      </c>
      <c r="O36" s="13"/>
      <c r="P36" s="74" t="e">
        <f>SUM(P38:P48)</f>
        <v>#DIV/0!</v>
      </c>
      <c r="Q36" s="13"/>
      <c r="R36" s="59" t="e">
        <f>SUM(R38:R48)</f>
        <v>#DIV/0!</v>
      </c>
      <c r="S36" s="13"/>
      <c r="T36" s="59" t="e">
        <f>SUM(T38:T48)</f>
        <v>#DIV/0!</v>
      </c>
      <c r="U36" s="13"/>
      <c r="V36" s="59" t="e">
        <f>SUM(V38:V47)</f>
        <v>#DIV/0!</v>
      </c>
      <c r="W36" s="13"/>
      <c r="X36" s="13"/>
      <c r="Y36" s="80" t="e">
        <f>SUM(Y38:Y48)</f>
        <v>#DIV/0!</v>
      </c>
      <c r="Z36" s="81"/>
      <c r="AA36" s="80" t="e">
        <f>SUM(AA38:AA48)</f>
        <v>#DIV/0!</v>
      </c>
      <c r="AB36" s="81"/>
      <c r="AC36" s="80" t="e">
        <f>SUM(AC38:AC48)</f>
        <v>#DIV/0!</v>
      </c>
      <c r="AD36" s="81"/>
      <c r="AE36" s="80" t="e">
        <f>SUM(AE38:AE48)</f>
        <v>#DIV/0!</v>
      </c>
      <c r="AF36" s="81"/>
      <c r="AG36" s="80" t="e">
        <f>SUM(AG38:AG48)</f>
        <v>#DIV/0!</v>
      </c>
      <c r="AH36" s="81"/>
      <c r="AI36" s="80" t="e">
        <f>SUM(AI38:AI48)</f>
        <v>#DIV/0!</v>
      </c>
      <c r="AJ36" s="81"/>
      <c r="AK36" s="80" t="e">
        <f>SUM(AK38:AK48)</f>
        <v>#DIV/0!</v>
      </c>
      <c r="AL36" s="81"/>
      <c r="AM36" s="80" t="e">
        <f>SUM(AM38:AM48)</f>
        <v>#DIV/0!</v>
      </c>
      <c r="AN36" s="81"/>
      <c r="AO36" s="80" t="e">
        <f>SUM(AO38:AO48)</f>
        <v>#DIV/0!</v>
      </c>
      <c r="AP36" s="81"/>
      <c r="AQ36" s="80" t="e">
        <f>SUM(AQ38:AQ48)</f>
        <v>#DIV/0!</v>
      </c>
      <c r="AR36" s="81"/>
      <c r="AS36" s="80" t="e">
        <f>SUM(AS38:AS48)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x14ac:dyDescent="0.25">
      <c r="A37" s="109" t="s">
        <v>124</v>
      </c>
      <c r="B37" s="107" t="e">
        <f>SUM(BN4:BN14)</f>
        <v>#DIV/0!</v>
      </c>
      <c r="G37" s="103" t="str">
        <f t="shared" ref="G37:AS37" si="19">G23</f>
        <v>G</v>
      </c>
      <c r="H37" s="104" t="str">
        <f t="shared" si="19"/>
        <v>p</v>
      </c>
      <c r="I37" s="103" t="str">
        <f t="shared" si="19"/>
        <v>GT</v>
      </c>
      <c r="J37" s="105" t="str">
        <f t="shared" si="19"/>
        <v>p(x)</v>
      </c>
      <c r="K37" s="106" t="str">
        <f t="shared" si="19"/>
        <v>EE(x)</v>
      </c>
      <c r="L37" s="105" t="str">
        <f t="shared" si="19"/>
        <v>p</v>
      </c>
      <c r="M37" s="90" t="str">
        <f t="shared" si="19"/>
        <v>OcaS</v>
      </c>
      <c r="N37" s="30" t="str">
        <f t="shared" si="19"/>
        <v>P</v>
      </c>
      <c r="O37" s="30" t="str">
        <f t="shared" si="19"/>
        <v>O_CA</v>
      </c>
      <c r="P37" s="30" t="str">
        <f t="shared" si="19"/>
        <v>p</v>
      </c>
      <c r="Q37" s="30" t="str">
        <f t="shared" si="19"/>
        <v>TotalN</v>
      </c>
      <c r="R37" s="30" t="str">
        <f t="shared" si="19"/>
        <v>p</v>
      </c>
      <c r="S37" s="30" t="str">
        <f t="shared" si="19"/>
        <v>OcaCA</v>
      </c>
      <c r="T37" s="139" t="str">
        <f t="shared" si="19"/>
        <v>p</v>
      </c>
      <c r="U37" s="140" t="str">
        <f t="shared" si="19"/>
        <v>Total</v>
      </c>
      <c r="V37" s="141" t="str">
        <f t="shared" si="19"/>
        <v>P</v>
      </c>
      <c r="W37" s="90" t="str">
        <f t="shared" si="19"/>
        <v>E(x)</v>
      </c>
      <c r="X37" s="30" t="str">
        <f t="shared" si="19"/>
        <v>G0</v>
      </c>
      <c r="Y37" s="30" t="str">
        <f t="shared" si="19"/>
        <v>p</v>
      </c>
      <c r="Z37" s="30" t="str">
        <f t="shared" si="19"/>
        <v>G1</v>
      </c>
      <c r="AA37" s="30" t="str">
        <f t="shared" si="19"/>
        <v>p</v>
      </c>
      <c r="AB37" s="30" t="str">
        <f t="shared" si="19"/>
        <v>G2</v>
      </c>
      <c r="AC37" s="30" t="str">
        <f t="shared" si="19"/>
        <v>p</v>
      </c>
      <c r="AD37" s="30" t="str">
        <f t="shared" si="19"/>
        <v>G3</v>
      </c>
      <c r="AE37" s="30" t="str">
        <f t="shared" si="19"/>
        <v>p</v>
      </c>
      <c r="AF37" s="30" t="str">
        <f t="shared" si="19"/>
        <v>G4</v>
      </c>
      <c r="AG37" s="30" t="str">
        <f t="shared" si="19"/>
        <v>p</v>
      </c>
      <c r="AH37" s="30" t="str">
        <f t="shared" si="19"/>
        <v>G5</v>
      </c>
      <c r="AI37" s="30" t="str">
        <f t="shared" si="19"/>
        <v>p</v>
      </c>
      <c r="AJ37" s="30" t="str">
        <f t="shared" si="19"/>
        <v>G6</v>
      </c>
      <c r="AK37" s="30" t="str">
        <f t="shared" si="19"/>
        <v>p</v>
      </c>
      <c r="AL37" s="30" t="str">
        <f t="shared" si="19"/>
        <v>G7</v>
      </c>
      <c r="AM37" s="30" t="str">
        <f t="shared" si="19"/>
        <v>p</v>
      </c>
      <c r="AN37" s="30" t="str">
        <f t="shared" si="19"/>
        <v>G8</v>
      </c>
      <c r="AO37" s="30" t="str">
        <f t="shared" si="19"/>
        <v>p</v>
      </c>
      <c r="AP37" s="30" t="str">
        <f t="shared" si="19"/>
        <v>G9</v>
      </c>
      <c r="AQ37" s="30" t="str">
        <f t="shared" si="19"/>
        <v>p</v>
      </c>
      <c r="AR37" s="30" t="str">
        <f t="shared" si="19"/>
        <v>G10</v>
      </c>
      <c r="AS37" s="30" t="str">
        <f t="shared" si="19"/>
        <v>p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125</v>
      </c>
      <c r="B38" s="107" t="e">
        <f>SUM(BJ4:BJ59)</f>
        <v>#DIV/0!</v>
      </c>
      <c r="G38" s="128">
        <v>0</v>
      </c>
      <c r="H38" s="129" t="e">
        <f>L38*J38</f>
        <v>#DIV/0!</v>
      </c>
      <c r="I38" s="97">
        <v>0</v>
      </c>
      <c r="J38" s="98" t="e">
        <f t="shared" ref="J38:J48" si="20">Y38+AA38+AC38+AE38+AG38+AI38+AK38+AM38+AO38+AQ38+AS38</f>
        <v>#DIV/0!</v>
      </c>
      <c r="K38" s="102">
        <v>0</v>
      </c>
      <c r="L38" s="98" t="e">
        <f>AC20</f>
        <v>#DIV/0!</v>
      </c>
      <c r="M38" s="84">
        <v>0</v>
      </c>
      <c r="N38" s="71" t="e">
        <f>(1-$C$24)^$B$21</f>
        <v>#DIV/0!</v>
      </c>
      <c r="O38" s="70">
        <v>0</v>
      </c>
      <c r="P38" s="71" t="e">
        <f t="shared" ref="P38:P43" si="21">N38</f>
        <v>#DIV/0!</v>
      </c>
      <c r="Q38" s="12">
        <v>0</v>
      </c>
      <c r="R38" s="73" t="e">
        <f>P38*N38</f>
        <v>#DIV/0!</v>
      </c>
      <c r="S38" s="70">
        <v>0</v>
      </c>
      <c r="T38" s="133" t="e">
        <f>(1-$C$33)^(INT(B23*2*(1-B31)))</f>
        <v>#DIV/0!</v>
      </c>
      <c r="U38" s="138">
        <v>0</v>
      </c>
      <c r="V38" s="86" t="e">
        <f>R38*T38</f>
        <v>#DIV/0!</v>
      </c>
      <c r="W38" s="134" t="e">
        <f>C31</f>
        <v>#DIV/0!</v>
      </c>
      <c r="X38" s="12">
        <v>0</v>
      </c>
      <c r="Y38" s="79" t="e">
        <f>V38</f>
        <v>#DIV/0!</v>
      </c>
      <c r="Z38" s="12">
        <v>0</v>
      </c>
      <c r="AA38" s="78" t="e">
        <f>((1-W38)^Z39)*V39</f>
        <v>#DIV/0!</v>
      </c>
      <c r="AB38" s="12">
        <v>0</v>
      </c>
      <c r="AC38" s="79" t="e">
        <f>(((1-$W$38)^AB40))*V40</f>
        <v>#DIV/0!</v>
      </c>
      <c r="AD38" s="12">
        <v>0</v>
      </c>
      <c r="AE38" s="79" t="e">
        <f>(((1-$W$38)^AB41))*V41</f>
        <v>#DIV/0!</v>
      </c>
      <c r="AF38" s="12">
        <v>0</v>
      </c>
      <c r="AG38" s="79" t="e">
        <f>(((1-$W$38)^AB42))*V42</f>
        <v>#DIV/0!</v>
      </c>
      <c r="AH38" s="12">
        <v>0</v>
      </c>
      <c r="AI38" s="79" t="e">
        <f>(((1-$W$38)^AB43))*V43</f>
        <v>#DIV/0!</v>
      </c>
      <c r="AJ38" s="12">
        <v>0</v>
      </c>
      <c r="AK38" s="79" t="e">
        <f>(((1-$W$38)^AB44))*V44</f>
        <v>#DIV/0!</v>
      </c>
      <c r="AL38" s="12">
        <v>0</v>
      </c>
      <c r="AM38" s="79" t="e">
        <f>(((1-$W$38)^AB45))*V45</f>
        <v>#DIV/0!</v>
      </c>
      <c r="AN38" s="12">
        <v>0</v>
      </c>
      <c r="AO38" s="79" t="e">
        <f>(((1-$W$38)^AB46))*V46</f>
        <v>#DIV/0!</v>
      </c>
      <c r="AP38" s="12">
        <v>0</v>
      </c>
      <c r="AQ38" s="79" t="e">
        <f>(((1-$W$38)^AB47))*V47</f>
        <v>#DIV/0!</v>
      </c>
      <c r="AR38" s="12">
        <v>0</v>
      </c>
      <c r="AS38" s="79" t="e">
        <f>(((1-$W$38)^AB48))*V48</f>
        <v>#DIV/0!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22">BH32+1</f>
        <v>4</v>
      </c>
      <c r="BI38">
        <v>5</v>
      </c>
      <c r="BJ38" s="107" t="e">
        <f t="shared" ref="BJ38:BJ43" si="23">$H$28*H43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126</v>
      </c>
      <c r="B39" s="107" t="e">
        <f>SUM(BR4:BR47)</f>
        <v>#DIV/0!</v>
      </c>
      <c r="G39" s="91">
        <v>1</v>
      </c>
      <c r="H39" s="130" t="e">
        <f>L38*J39+L39*J38</f>
        <v>#DIV/0!</v>
      </c>
      <c r="I39" s="93">
        <v>1</v>
      </c>
      <c r="J39" s="86" t="e">
        <f t="shared" si="20"/>
        <v>#DIV/0!</v>
      </c>
      <c r="K39" s="95">
        <v>1</v>
      </c>
      <c r="L39" s="86" t="e">
        <f>AD20</f>
        <v>#DIV/0!</v>
      </c>
      <c r="M39" s="85">
        <v>1</v>
      </c>
      <c r="N39" s="71" t="e">
        <f>(($C$24)^M25)*((1-($C$24))^($B$21-M25))*HLOOKUP($B$21,$AV$24:$BF$34,M25+1)</f>
        <v>#DIV/0!</v>
      </c>
      <c r="O39" s="72">
        <v>1</v>
      </c>
      <c r="P39" s="71" t="e">
        <f t="shared" si="21"/>
        <v>#DIV/0!</v>
      </c>
      <c r="Q39" s="28">
        <v>1</v>
      </c>
      <c r="R39" s="37" t="e">
        <f>P39*N38+P38*N39</f>
        <v>#DIV/0!</v>
      </c>
      <c r="S39" s="72">
        <v>1</v>
      </c>
      <c r="T39" s="133" t="e">
        <f t="shared" ref="T39:T48" si="24">(($C$33)^S39)*((1-($C$33))^(INT($B$23*2*(1-$B$31))-S39))*HLOOKUP(INT($B$23*2*(1-$B$31)),$AV$24:$BF$34,S39+1)</f>
        <v>#DIV/0!</v>
      </c>
      <c r="U39" s="93">
        <v>1</v>
      </c>
      <c r="V39" s="86" t="e">
        <f>R39*T38+T39*R38</f>
        <v>#DIV/0!</v>
      </c>
      <c r="W39" s="135"/>
      <c r="X39" s="28">
        <v>1</v>
      </c>
      <c r="Y39" s="73"/>
      <c r="Z39" s="28">
        <v>1</v>
      </c>
      <c r="AA39" s="79" t="e">
        <f>(1-((1-W38)^Z39))*V39</f>
        <v>#DIV/0!</v>
      </c>
      <c r="AB39" s="28">
        <v>1</v>
      </c>
      <c r="AC39" s="79" t="e">
        <f>((($W$38)^M39)*((1-($W$38))^($U$26-M39))*HLOOKUP($U$26,$AV$24:$BF$34,M39+1))*V40</f>
        <v>#DIV/0!</v>
      </c>
      <c r="AD39" s="28">
        <v>1</v>
      </c>
      <c r="AE39" s="79" t="e">
        <f>((($W$38)^M39)*((1-($W$38))^($U$27-M39))*HLOOKUP($U$27,$AV$24:$BF$34,M39+1))*V41</f>
        <v>#DIV/0!</v>
      </c>
      <c r="AF39" s="28">
        <v>1</v>
      </c>
      <c r="AG39" s="79" t="e">
        <f>((($W$38)^M39)*((1-($W$38))^($U$28-M39))*HLOOKUP($U$28,$AV$24:$BF$34,M39+1))*V42</f>
        <v>#DIV/0!</v>
      </c>
      <c r="AH39" s="28">
        <v>1</v>
      </c>
      <c r="AI39" s="79" t="e">
        <f>((($W$38)^M39)*((1-($W$38))^($U$29-M39))*HLOOKUP($U$29,$AV$24:$BF$34,M39+1))*V43</f>
        <v>#DIV/0!</v>
      </c>
      <c r="AJ39" s="28">
        <v>1</v>
      </c>
      <c r="AK39" s="79" t="e">
        <f>((($W$38)^M39)*((1-($W$38))^($U$30-M39))*HLOOKUP($U$30,$AV$24:$BF$34,M39+1))*V44</f>
        <v>#DIV/0!</v>
      </c>
      <c r="AL39" s="28">
        <v>1</v>
      </c>
      <c r="AM39" s="79" t="e">
        <f>((($W$38)^Q39)*((1-($W$38))^($U$31-Q39))*HLOOKUP($U$31,$AV$24:$BF$34,Q39+1))*V45</f>
        <v>#DIV/0!</v>
      </c>
      <c r="AN39" s="28">
        <v>1</v>
      </c>
      <c r="AO39" s="79" t="e">
        <f>((($W$38)^Q39)*((1-($W$38))^($U$32-Q39))*HLOOKUP($U$32,$AV$24:$BF$34,Q39+1))*V46</f>
        <v>#DIV/0!</v>
      </c>
      <c r="AP39" s="28">
        <v>1</v>
      </c>
      <c r="AQ39" s="79" t="e">
        <f>((($W$38)^Q39)*((1-($W$38))^($U$33-Q39))*HLOOKUP($U$33,$AV$24:$BF$34,Q39+1))*V47</f>
        <v>#DIV/0!</v>
      </c>
      <c r="AR39" s="28">
        <v>1</v>
      </c>
      <c r="AS39" s="79" t="e">
        <f>((($W$38)^Q39)*((1-($W$38))^($U$34-Q39))*HLOOKUP($U$34,$AV$24:$BF$34,Q39+1))*V48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22"/>
        <v>4</v>
      </c>
      <c r="BI39">
        <v>6</v>
      </c>
      <c r="BJ39" s="107" t="e">
        <f t="shared" si="23"/>
        <v>#DIV/0!</v>
      </c>
      <c r="BP39">
        <f t="shared" ref="BP39:BP46" si="25">BP31+1</f>
        <v>9</v>
      </c>
      <c r="BQ39">
        <v>0</v>
      </c>
      <c r="BR39" s="107" t="e">
        <f t="shared" ref="BR39:BR47" si="26">$H$33*H38</f>
        <v>#DIV/0!</v>
      </c>
    </row>
    <row r="40" spans="1:70" x14ac:dyDescent="0.25">
      <c r="G40" s="91">
        <v>2</v>
      </c>
      <c r="H40" s="130" t="e">
        <f>L38*J40+J39*L39+J38*L40</f>
        <v>#DIV/0!</v>
      </c>
      <c r="I40" s="93">
        <v>2</v>
      </c>
      <c r="J40" s="86" t="e">
        <f t="shared" si="20"/>
        <v>#DIV/0!</v>
      </c>
      <c r="K40" s="95">
        <v>2</v>
      </c>
      <c r="L40" s="86" t="e">
        <f>AE20</f>
        <v>#DIV/0!</v>
      </c>
      <c r="M40" s="85">
        <v>2</v>
      </c>
      <c r="N40" s="71" t="e">
        <f>(($C$24)^M26)*((1-($C$24))^($B$21-M26))*HLOOKUP($B$21,$AV$24:$BF$34,M26+1)</f>
        <v>#DIV/0!</v>
      </c>
      <c r="O40" s="72">
        <v>2</v>
      </c>
      <c r="P40" s="71" t="e">
        <f t="shared" si="21"/>
        <v>#DIV/0!</v>
      </c>
      <c r="Q40" s="28">
        <v>2</v>
      </c>
      <c r="R40" s="37" t="e">
        <f>P40*N38+P39*N39+P38*N40</f>
        <v>#DIV/0!</v>
      </c>
      <c r="S40" s="72">
        <v>2</v>
      </c>
      <c r="T40" s="133" t="e">
        <f t="shared" si="24"/>
        <v>#DIV/0!</v>
      </c>
      <c r="U40" s="93">
        <v>2</v>
      </c>
      <c r="V40" s="86" t="e">
        <f>R40*T38+T39*R39+R38*T40</f>
        <v>#DIV/0!</v>
      </c>
      <c r="W40" s="135"/>
      <c r="X40" s="28">
        <v>2</v>
      </c>
      <c r="Y40" s="73"/>
      <c r="Z40" s="28">
        <v>2</v>
      </c>
      <c r="AA40" s="79"/>
      <c r="AB40" s="28">
        <v>2</v>
      </c>
      <c r="AC40" s="79" t="e">
        <f>((($W$38)^M40)*((1-($W$38))^($U$26-M40))*HLOOKUP($U$26,$AV$24:$BF$34,M40+1))*V40</f>
        <v>#DIV/0!</v>
      </c>
      <c r="AD40" s="28">
        <v>2</v>
      </c>
      <c r="AE40" s="79" t="e">
        <f>((($W$38)^M40)*((1-($W$38))^($U$27-M40))*HLOOKUP($U$27,$AV$24:$BF$34,M40+1))*V41</f>
        <v>#DIV/0!</v>
      </c>
      <c r="AF40" s="28">
        <v>2</v>
      </c>
      <c r="AG40" s="79" t="e">
        <f>((($W$38)^M40)*((1-($W$38))^($U$28-M40))*HLOOKUP($U$28,$AV$24:$BF$34,M40+1))*V42</f>
        <v>#DIV/0!</v>
      </c>
      <c r="AH40" s="28">
        <v>2</v>
      </c>
      <c r="AI40" s="79" t="e">
        <f>((($W$38)^M40)*((1-($W$38))^($U$29-M40))*HLOOKUP($U$29,$AV$24:$BF$34,M40+1))*V43</f>
        <v>#DIV/0!</v>
      </c>
      <c r="AJ40" s="28">
        <v>2</v>
      </c>
      <c r="AK40" s="79" t="e">
        <f>((($W$38)^M40)*((1-($W$38))^($U$30-M40))*HLOOKUP($U$30,$AV$24:$BF$34,M40+1))*V44</f>
        <v>#DIV/0!</v>
      </c>
      <c r="AL40" s="28">
        <v>2</v>
      </c>
      <c r="AM40" s="79" t="e">
        <f>((($W$38)^Q40)*((1-($W$38))^($U$31-Q40))*HLOOKUP($U$31,$AV$24:$BF$34,Q40+1))*V45</f>
        <v>#DIV/0!</v>
      </c>
      <c r="AN40" s="28">
        <v>2</v>
      </c>
      <c r="AO40" s="79" t="e">
        <f>((($W$38)^Q40)*((1-($W$38))^($U$32-Q40))*HLOOKUP($U$32,$AV$24:$BF$34,Q40+1))*V46</f>
        <v>#DIV/0!</v>
      </c>
      <c r="AP40" s="28">
        <v>2</v>
      </c>
      <c r="AQ40" s="79" t="e">
        <f>((($W$38)^Q40)*((1-($W$38))^($U$33-Q40))*HLOOKUP($U$33,$AV$24:$BF$34,Q40+1))*V47</f>
        <v>#DIV/0!</v>
      </c>
      <c r="AR40" s="28">
        <v>2</v>
      </c>
      <c r="AS40" s="79" t="e">
        <f>((($W$38)^Q40)*((1-($W$38))^($U$34-Q40))*HLOOKUP($U$34,$AV$24:$BF$34,Q40+1))*V48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22"/>
        <v>4</v>
      </c>
      <c r="BI40">
        <v>7</v>
      </c>
      <c r="BJ40" s="107" t="e">
        <f t="shared" si="23"/>
        <v>#DIV/0!</v>
      </c>
      <c r="BP40">
        <f t="shared" si="25"/>
        <v>9</v>
      </c>
      <c r="BQ40">
        <v>1</v>
      </c>
      <c r="BR40" s="107" t="e">
        <f t="shared" si="26"/>
        <v>#DIV/0!</v>
      </c>
    </row>
    <row r="41" spans="1:70" x14ac:dyDescent="0.25">
      <c r="G41" s="91">
        <v>3</v>
      </c>
      <c r="H41" s="130" t="e">
        <f>J41*L38+J40*L39+L41*J38+L40*J39</f>
        <v>#DIV/0!</v>
      </c>
      <c r="I41" s="93">
        <v>3</v>
      </c>
      <c r="J41" s="86" t="e">
        <f t="shared" si="20"/>
        <v>#DIV/0!</v>
      </c>
      <c r="K41" s="95">
        <v>3</v>
      </c>
      <c r="L41" s="86" t="e">
        <f>AF20</f>
        <v>#DIV/0!</v>
      </c>
      <c r="M41" s="85">
        <v>3</v>
      </c>
      <c r="N41" s="71" t="e">
        <f>(($C$24)^M27)*((1-($C$24))^($B$21-M27))*HLOOKUP($B$21,$AV$24:$BF$34,M27+1)</f>
        <v>#DIV/0!</v>
      </c>
      <c r="O41" s="72">
        <v>3</v>
      </c>
      <c r="P41" s="71" t="e">
        <f t="shared" si="21"/>
        <v>#DIV/0!</v>
      </c>
      <c r="Q41" s="28">
        <v>3</v>
      </c>
      <c r="R41" s="37" t="e">
        <f>P41*N38+P40*N39+P39*N40+P38*N41</f>
        <v>#DIV/0!</v>
      </c>
      <c r="S41" s="72">
        <v>3</v>
      </c>
      <c r="T41" s="133" t="e">
        <f t="shared" si="24"/>
        <v>#DIV/0!</v>
      </c>
      <c r="U41" s="93">
        <v>3</v>
      </c>
      <c r="V41" s="86" t="e">
        <f>R41*T38+R40*T39+R39*T40+R38*T41</f>
        <v>#DIV/0!</v>
      </c>
      <c r="W41" s="135"/>
      <c r="X41" s="28">
        <v>3</v>
      </c>
      <c r="Y41" s="73"/>
      <c r="Z41" s="28">
        <v>3</v>
      </c>
      <c r="AA41" s="79"/>
      <c r="AB41" s="28">
        <v>3</v>
      </c>
      <c r="AC41" s="79"/>
      <c r="AD41" s="28">
        <v>3</v>
      </c>
      <c r="AE41" s="79" t="e">
        <f>((($W$38)^M41)*((1-($W$38))^($U$27-M41))*HLOOKUP($U$27,$AV$24:$BF$34,M41+1))*V41</f>
        <v>#DIV/0!</v>
      </c>
      <c r="AF41" s="28">
        <v>3</v>
      </c>
      <c r="AG41" s="79" t="e">
        <f>((($W$38)^M41)*((1-($W$38))^($U$28-M41))*HLOOKUP($U$28,$AV$24:$BF$34,M41+1))*V42</f>
        <v>#DIV/0!</v>
      </c>
      <c r="AH41" s="28">
        <v>3</v>
      </c>
      <c r="AI41" s="79" t="e">
        <f>((($W$38)^M41)*((1-($W$38))^($U$29-M41))*HLOOKUP($U$29,$AV$24:$BF$34,M41+1))*V43</f>
        <v>#DIV/0!</v>
      </c>
      <c r="AJ41" s="28">
        <v>3</v>
      </c>
      <c r="AK41" s="79" t="e">
        <f>((($W$38)^M41)*((1-($W$38))^($U$30-M41))*HLOOKUP($U$30,$AV$24:$BF$34,M41+1))*V44</f>
        <v>#DIV/0!</v>
      </c>
      <c r="AL41" s="28">
        <v>3</v>
      </c>
      <c r="AM41" s="79" t="e">
        <f>((($W$38)^Q41)*((1-($W$38))^($U$31-Q41))*HLOOKUP($U$31,$AV$24:$BF$34,Q41+1))*V45</f>
        <v>#DIV/0!</v>
      </c>
      <c r="AN41" s="28">
        <v>3</v>
      </c>
      <c r="AO41" s="79" t="e">
        <f>((($W$38)^Q41)*((1-($W$38))^($U$32-Q41))*HLOOKUP($U$32,$AV$24:$BF$34,Q41+1))*V46</f>
        <v>#DIV/0!</v>
      </c>
      <c r="AP41" s="28">
        <v>3</v>
      </c>
      <c r="AQ41" s="79" t="e">
        <f>((($W$38)^Q41)*((1-($W$38))^($U$33-Q41))*HLOOKUP($U$33,$AV$24:$BF$34,Q41+1))*V47</f>
        <v>#DIV/0!</v>
      </c>
      <c r="AR41" s="28">
        <v>3</v>
      </c>
      <c r="AS41" s="79" t="e">
        <f>((($W$38)^Q41)*((1-($W$38))^($U$34-Q41))*HLOOKUP($U$34,$AV$24:$BF$34,Q41+1))*V48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22"/>
        <v>4</v>
      </c>
      <c r="BI41">
        <v>8</v>
      </c>
      <c r="BJ41" s="107" t="e">
        <f t="shared" si="23"/>
        <v>#DIV/0!</v>
      </c>
      <c r="BP41">
        <f t="shared" si="25"/>
        <v>9</v>
      </c>
      <c r="BQ41">
        <v>2</v>
      </c>
      <c r="BR41" s="107" t="e">
        <f t="shared" si="26"/>
        <v>#DIV/0!</v>
      </c>
    </row>
    <row r="42" spans="1:70" ht="15" customHeight="1" x14ac:dyDescent="0.25">
      <c r="G42" s="91">
        <v>4</v>
      </c>
      <c r="H42" s="130" t="e">
        <f>J42*L38+J41*L39+J40*L40+J39*L41</f>
        <v>#DIV/0!</v>
      </c>
      <c r="I42" s="93">
        <v>4</v>
      </c>
      <c r="J42" s="86" t="e">
        <f t="shared" si="20"/>
        <v>#DIV/0!</v>
      </c>
      <c r="K42" s="95">
        <v>4</v>
      </c>
      <c r="L42" s="86"/>
      <c r="M42" s="85">
        <v>4</v>
      </c>
      <c r="N42" s="71" t="e">
        <f>(($C$24)^M28)*((1-($C$24))^($B$21-M28))*HLOOKUP($B$21,$AV$24:$BF$34,M28+1)</f>
        <v>#DIV/0!</v>
      </c>
      <c r="O42" s="72">
        <v>4</v>
      </c>
      <c r="P42" s="71" t="e">
        <f t="shared" si="21"/>
        <v>#DIV/0!</v>
      </c>
      <c r="Q42" s="28">
        <v>4</v>
      </c>
      <c r="R42" s="37" t="e">
        <f>P42*N38+P41*N39+P40*N40+P39*N41+P38*N42</f>
        <v>#DIV/0!</v>
      </c>
      <c r="S42" s="72">
        <v>4</v>
      </c>
      <c r="T42" s="133" t="e">
        <f t="shared" si="24"/>
        <v>#DIV/0!</v>
      </c>
      <c r="U42" s="93">
        <v>4</v>
      </c>
      <c r="V42" s="86" t="e">
        <f>T42*R38+T41*R39+T40*R40+T39*R41+T38*R42</f>
        <v>#DIV/0!</v>
      </c>
      <c r="W42" s="135"/>
      <c r="X42" s="28">
        <v>4</v>
      </c>
      <c r="Y42" s="73"/>
      <c r="Z42" s="28">
        <v>4</v>
      </c>
      <c r="AA42" s="79"/>
      <c r="AB42" s="28">
        <v>4</v>
      </c>
      <c r="AC42" s="79"/>
      <c r="AD42" s="28">
        <v>4</v>
      </c>
      <c r="AE42" s="79"/>
      <c r="AF42" s="28">
        <v>4</v>
      </c>
      <c r="AG42" s="79" t="e">
        <f>((($W$38)^M42)*((1-($W$38))^($U$28-M42))*HLOOKUP($U$28,$AV$24:$BF$34,M42+1))*V42</f>
        <v>#DIV/0!</v>
      </c>
      <c r="AH42" s="28">
        <v>4</v>
      </c>
      <c r="AI42" s="79" t="e">
        <f>((($W$38)^M42)*((1-($W$38))^($U$29-M42))*HLOOKUP($U$29,$AV$24:$BF$34,M42+1))*V43</f>
        <v>#DIV/0!</v>
      </c>
      <c r="AJ42" s="28">
        <v>4</v>
      </c>
      <c r="AK42" s="79" t="e">
        <f>((($W$38)^M42)*((1-($W$38))^($U$30-M42))*HLOOKUP($U$30,$AV$24:$BF$34,M42+1))*V44</f>
        <v>#DIV/0!</v>
      </c>
      <c r="AL42" s="28">
        <v>4</v>
      </c>
      <c r="AM42" s="79" t="e">
        <f>((($W$38)^Q42)*((1-($W$38))^($U$31-Q42))*HLOOKUP($U$31,$AV$24:$BF$34,Q42+1))*V45</f>
        <v>#DIV/0!</v>
      </c>
      <c r="AN42" s="28">
        <v>4</v>
      </c>
      <c r="AO42" s="79" t="e">
        <f>((($W$38)^Q42)*((1-($W$38))^($U$32-Q42))*HLOOKUP($U$32,$AV$24:$BF$34,Q42+1))*V46</f>
        <v>#DIV/0!</v>
      </c>
      <c r="AP42" s="28">
        <v>4</v>
      </c>
      <c r="AQ42" s="79" t="e">
        <f>((($W$38)^Q42)*((1-($W$38))^($U$33-Q42))*HLOOKUP($U$33,$AV$24:$BF$34,Q42+1))*V47</f>
        <v>#DIV/0!</v>
      </c>
      <c r="AR42" s="28">
        <v>4</v>
      </c>
      <c r="AS42" s="79" t="e">
        <f>((($W$38)^Q42)*((1-($W$38))^($U$34-Q42))*HLOOKUP($U$34,$AV$24:$BF$34,Q42+1))*V48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 t="shared" ref="BF42:BF48" si="27">BE41+BE42</f>
        <v>210</v>
      </c>
      <c r="BH42">
        <f t="shared" si="22"/>
        <v>4</v>
      </c>
      <c r="BI42">
        <v>9</v>
      </c>
      <c r="BJ42" s="107" t="e">
        <f t="shared" si="23"/>
        <v>#DIV/0!</v>
      </c>
      <c r="BP42">
        <f t="shared" si="25"/>
        <v>9</v>
      </c>
      <c r="BQ42">
        <v>3</v>
      </c>
      <c r="BR42" s="107" t="e">
        <f t="shared" si="26"/>
        <v>#DIV/0!</v>
      </c>
    </row>
    <row r="43" spans="1:70" ht="15" customHeight="1" x14ac:dyDescent="0.25">
      <c r="G43" s="91">
        <v>5</v>
      </c>
      <c r="H43" s="130" t="e">
        <f>J43*L38+J42*L39+J41*L40+J40*L41</f>
        <v>#DIV/0!</v>
      </c>
      <c r="I43" s="93">
        <v>5</v>
      </c>
      <c r="J43" s="86" t="e">
        <f t="shared" si="20"/>
        <v>#DIV/0!</v>
      </c>
      <c r="K43" s="95">
        <v>5</v>
      </c>
      <c r="L43" s="86"/>
      <c r="M43" s="85">
        <v>5</v>
      </c>
      <c r="N43" s="71" t="e">
        <f>(($C$24)^M29)*((1-($C$24))^($B$21-M29))*HLOOKUP($B$21,$AV$24:$BF$34,M29+1)</f>
        <v>#DIV/0!</v>
      </c>
      <c r="O43" s="72">
        <v>5</v>
      </c>
      <c r="P43" s="71" t="e">
        <f t="shared" si="21"/>
        <v>#DIV/0!</v>
      </c>
      <c r="Q43" s="28">
        <v>5</v>
      </c>
      <c r="R43" s="37" t="e">
        <f>P43*N38+P42*N39+P41*N40+P40*N41+P39*N42+P38*N43</f>
        <v>#DIV/0!</v>
      </c>
      <c r="S43" s="72">
        <v>5</v>
      </c>
      <c r="T43" s="133" t="e">
        <f t="shared" si="24"/>
        <v>#DIV/0!</v>
      </c>
      <c r="U43" s="93">
        <v>5</v>
      </c>
      <c r="V43" s="86" t="e">
        <f>T43*R38+T42*R39+T41*R40+T40*R41+T39*R42+T38*R43</f>
        <v>#DIV/0!</v>
      </c>
      <c r="W43" s="135"/>
      <c r="X43" s="28">
        <v>5</v>
      </c>
      <c r="Y43" s="73"/>
      <c r="Z43" s="28">
        <v>5</v>
      </c>
      <c r="AA43" s="79"/>
      <c r="AB43" s="28">
        <v>5</v>
      </c>
      <c r="AC43" s="79"/>
      <c r="AD43" s="28">
        <v>5</v>
      </c>
      <c r="AE43" s="79"/>
      <c r="AF43" s="28">
        <v>5</v>
      </c>
      <c r="AG43" s="79"/>
      <c r="AH43" s="28">
        <v>5</v>
      </c>
      <c r="AI43" s="79" t="e">
        <f>((($W$38)^M43)*((1-($W$38))^($U$29-M43))*HLOOKUP($U$29,$AV$24:$BF$34,M43+1))*V43</f>
        <v>#DIV/0!</v>
      </c>
      <c r="AJ43" s="28">
        <v>5</v>
      </c>
      <c r="AK43" s="79" t="e">
        <f>((($W$38)^M43)*((1-($W$38))^($U$30-M43))*HLOOKUP($U$30,$AV$24:$BF$34,M43+1))*V44</f>
        <v>#DIV/0!</v>
      </c>
      <c r="AL43" s="28">
        <v>5</v>
      </c>
      <c r="AM43" s="79" t="e">
        <f>((($W$38)^Q43)*((1-($W$38))^($U$31-Q43))*HLOOKUP($U$31,$AV$24:$BF$34,Q43+1))*V45</f>
        <v>#DIV/0!</v>
      </c>
      <c r="AN43" s="28">
        <v>5</v>
      </c>
      <c r="AO43" s="79" t="e">
        <f>((($W$38)^Q43)*((1-($W$38))^($U$32-Q43))*HLOOKUP($U$32,$AV$24:$BF$34,Q43+1))*V46</f>
        <v>#DIV/0!</v>
      </c>
      <c r="AP43" s="28">
        <v>5</v>
      </c>
      <c r="AQ43" s="79" t="e">
        <f>((($W$38)^Q43)*((1-($W$38))^($U$33-Q43))*HLOOKUP($U$33,$AV$24:$BF$34,Q43+1))*V47</f>
        <v>#DIV/0!</v>
      </c>
      <c r="AR43" s="28">
        <v>5</v>
      </c>
      <c r="AS43" s="79" t="e">
        <f>((($W$38)^Q43)*((1-($W$38))^($U$34-Q43))*HLOOKUP($U$34,$AV$24:$BF$34,Q43+1))*V48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si="27"/>
        <v>252</v>
      </c>
      <c r="BH43">
        <f t="shared" si="22"/>
        <v>4</v>
      </c>
      <c r="BI43">
        <v>10</v>
      </c>
      <c r="BJ43" s="107" t="e">
        <f t="shared" si="23"/>
        <v>#DIV/0!</v>
      </c>
      <c r="BP43">
        <f t="shared" si="25"/>
        <v>9</v>
      </c>
      <c r="BQ43">
        <v>4</v>
      </c>
      <c r="BR43" s="107" t="e">
        <f t="shared" si="26"/>
        <v>#DIV/0!</v>
      </c>
    </row>
    <row r="44" spans="1:70" ht="15" customHeight="1" x14ac:dyDescent="0.25">
      <c r="G44" s="91">
        <v>6</v>
      </c>
      <c r="H44" s="130" t="e">
        <f>J44*L38+J43*L39+J42*L40+J41*L41</f>
        <v>#DIV/0!</v>
      </c>
      <c r="I44" s="93">
        <v>6</v>
      </c>
      <c r="J44" s="86" t="e">
        <f t="shared" si="20"/>
        <v>#DIV/0!</v>
      </c>
      <c r="K44" s="95">
        <v>6</v>
      </c>
      <c r="L44" s="86"/>
      <c r="M44" s="85"/>
      <c r="N44" s="37"/>
      <c r="O44" s="37"/>
      <c r="P44" s="37"/>
      <c r="Q44" s="28">
        <v>6</v>
      </c>
      <c r="R44" s="37" t="e">
        <f>P43*N39+P42*N40+P41*N41+P40*N42+P39*N43</f>
        <v>#DIV/0!</v>
      </c>
      <c r="S44" s="70">
        <v>6</v>
      </c>
      <c r="T44" s="133" t="e">
        <f t="shared" si="24"/>
        <v>#DIV/0!</v>
      </c>
      <c r="U44" s="93">
        <v>6</v>
      </c>
      <c r="V44" s="86" t="e">
        <f>T44*R38+T43*R39+T42*R40+T41*R41+T40*R42+T39*R43+T38*R44</f>
        <v>#DIV/0!</v>
      </c>
      <c r="W44" s="135"/>
      <c r="X44" s="28">
        <v>6</v>
      </c>
      <c r="Y44" s="73"/>
      <c r="Z44" s="28">
        <v>6</v>
      </c>
      <c r="AA44" s="79"/>
      <c r="AB44" s="28">
        <v>6</v>
      </c>
      <c r="AC44" s="79"/>
      <c r="AD44" s="28">
        <v>6</v>
      </c>
      <c r="AE44" s="79"/>
      <c r="AF44" s="28">
        <v>6</v>
      </c>
      <c r="AG44" s="79"/>
      <c r="AH44" s="28">
        <v>6</v>
      </c>
      <c r="AI44" s="79"/>
      <c r="AJ44" s="28">
        <v>6</v>
      </c>
      <c r="AK44" s="79" t="e">
        <f>((($W$38)^Q44)*((1-($W$38))^($U$30-Q44))*HLOOKUP($U$30,$AV$24:$BF$34,Q44+1))*V44</f>
        <v>#DIV/0!</v>
      </c>
      <c r="AL44" s="28">
        <v>6</v>
      </c>
      <c r="AM44" s="79" t="e">
        <f>((($W$38)^Q44)*((1-($W$38))^($U$31-Q44))*HLOOKUP($U$31,$AV$24:$BF$34,Q44+1))*V45</f>
        <v>#DIV/0!</v>
      </c>
      <c r="AN44" s="28">
        <v>6</v>
      </c>
      <c r="AO44" s="79" t="e">
        <f>((($W$38)^Q44)*((1-($W$38))^($U$32-Q44))*HLOOKUP($U$32,$AV$24:$BF$34,Q44+1))*V46</f>
        <v>#DIV/0!</v>
      </c>
      <c r="AP44" s="28">
        <v>6</v>
      </c>
      <c r="AQ44" s="79" t="e">
        <f>((($W$38)^Q44)*((1-($W$38))^($U$33-Q44))*HLOOKUP($U$33,$AV$24:$BF$34,Q44+1))*V47</f>
        <v>#DIV/0!</v>
      </c>
      <c r="AR44" s="28">
        <v>6</v>
      </c>
      <c r="AS44" s="79" t="e">
        <f>((($W$38)^Q44)*((1-($W$38))^($U$34-Q44))*HLOOKUP($U$34,$AV$24:$BF$34,Q44+1))*V48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27"/>
        <v>210</v>
      </c>
      <c r="BH44">
        <f>BH39+1</f>
        <v>5</v>
      </c>
      <c r="BI44">
        <v>6</v>
      </c>
      <c r="BJ44" s="107" t="e">
        <f>$H$29*H44</f>
        <v>#DIV/0!</v>
      </c>
      <c r="BP44">
        <f t="shared" si="25"/>
        <v>9</v>
      </c>
      <c r="BQ44">
        <v>5</v>
      </c>
      <c r="BR44" s="107" t="e">
        <f t="shared" si="26"/>
        <v>#DIV/0!</v>
      </c>
    </row>
    <row r="45" spans="1:70" ht="15" customHeight="1" x14ac:dyDescent="0.25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7</v>
      </c>
      <c r="H45" s="130" t="e">
        <f>J45*L38+J44*L39+J43*L40+J42*L41</f>
        <v>#DIV/0!</v>
      </c>
      <c r="I45" s="93">
        <v>7</v>
      </c>
      <c r="J45" s="86" t="e">
        <f t="shared" si="20"/>
        <v>#DIV/0!</v>
      </c>
      <c r="K45" s="95">
        <v>7</v>
      </c>
      <c r="L45" s="86"/>
      <c r="M45" s="85"/>
      <c r="N45" s="37"/>
      <c r="O45" s="37"/>
      <c r="P45" s="37"/>
      <c r="Q45" s="28">
        <v>7</v>
      </c>
      <c r="R45" s="37" t="e">
        <f>P43*N40+P42*N41+P41*N42+P40*N43</f>
        <v>#DIV/0!</v>
      </c>
      <c r="S45" s="72">
        <v>7</v>
      </c>
      <c r="T45" s="133" t="e">
        <f t="shared" si="24"/>
        <v>#DIV/0!</v>
      </c>
      <c r="U45" s="93">
        <v>7</v>
      </c>
      <c r="V45" s="86" t="e">
        <f>T45*R38+T44*R39+T43*R40+T42*R41+T41*R42+T40*R43+T39*R44+T38*R45</f>
        <v>#DIV/0!</v>
      </c>
      <c r="W45" s="135"/>
      <c r="X45" s="28">
        <v>7</v>
      </c>
      <c r="Y45" s="73"/>
      <c r="Z45" s="28">
        <v>7</v>
      </c>
      <c r="AA45" s="79"/>
      <c r="AB45" s="28">
        <v>7</v>
      </c>
      <c r="AC45" s="79"/>
      <c r="AD45" s="28">
        <v>7</v>
      </c>
      <c r="AE45" s="79"/>
      <c r="AF45" s="28">
        <v>7</v>
      </c>
      <c r="AG45" s="79"/>
      <c r="AH45" s="28">
        <v>7</v>
      </c>
      <c r="AI45" s="79"/>
      <c r="AJ45" s="28">
        <v>7</v>
      </c>
      <c r="AK45" s="79"/>
      <c r="AL45" s="28">
        <v>7</v>
      </c>
      <c r="AM45" s="79" t="e">
        <f>((($W$38)^Q45)*((1-($W$38))^($U$31-Q45))*HLOOKUP($U$31,$AV$24:$BF$34,Q45+1))*V45</f>
        <v>#DIV/0!</v>
      </c>
      <c r="AN45" s="28">
        <v>7</v>
      </c>
      <c r="AO45" s="79" t="e">
        <f>((($W$38)^Q45)*((1-($W$38))^($U$32-Q45))*HLOOKUP($U$32,$AV$24:$BF$34,Q45+1))*V46</f>
        <v>#DIV/0!</v>
      </c>
      <c r="AP45" s="28">
        <v>7</v>
      </c>
      <c r="AQ45" s="79" t="e">
        <f>((($W$38)^Q45)*((1-($W$38))^($U$33-Q45))*HLOOKUP($U$33,$AV$24:$BF$34,Q45+1))*V47</f>
        <v>#DIV/0!</v>
      </c>
      <c r="AR45" s="28">
        <v>7</v>
      </c>
      <c r="AS45" s="79" t="e">
        <f>((($W$38)^Q45)*((1-($W$38))^($U$34-Q45))*HLOOKUP($U$34,$AV$24:$BF$34,Q45+1))*V48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27"/>
        <v>120</v>
      </c>
      <c r="BH45">
        <f>BH40+1</f>
        <v>5</v>
      </c>
      <c r="BI45">
        <v>7</v>
      </c>
      <c r="BJ45" s="107" t="e">
        <f>$H$29*H45</f>
        <v>#DIV/0!</v>
      </c>
      <c r="BP45">
        <f t="shared" si="25"/>
        <v>9</v>
      </c>
      <c r="BQ45">
        <v>6</v>
      </c>
      <c r="BR45" s="107" t="e">
        <f t="shared" si="26"/>
        <v>#DIV/0!</v>
      </c>
    </row>
    <row r="46" spans="1:70" ht="15" customHeight="1" x14ac:dyDescent="0.25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8</v>
      </c>
      <c r="H46" s="130" t="e">
        <f>J46*L38+J45*L39+J44*L40+J43*L41</f>
        <v>#DIV/0!</v>
      </c>
      <c r="I46" s="93">
        <v>8</v>
      </c>
      <c r="J46" s="86" t="e">
        <f t="shared" si="20"/>
        <v>#DIV/0!</v>
      </c>
      <c r="K46" s="95">
        <v>8</v>
      </c>
      <c r="L46" s="86"/>
      <c r="M46" s="85"/>
      <c r="N46" s="37"/>
      <c r="O46" s="37"/>
      <c r="P46" s="37"/>
      <c r="Q46" s="28">
        <v>8</v>
      </c>
      <c r="R46" s="37" t="e">
        <f>P43*N41+P42*N42+P41*N43</f>
        <v>#DIV/0!</v>
      </c>
      <c r="S46" s="72">
        <v>8</v>
      </c>
      <c r="T46" s="133" t="e">
        <f t="shared" si="24"/>
        <v>#DIV/0!</v>
      </c>
      <c r="U46" s="93">
        <v>8</v>
      </c>
      <c r="V46" s="86" t="e">
        <f>T46*R38+T45*R39+T44*R40+T43*R41+T42*R42+T41*R43+T40*R44+T39*R45+T38*R46</f>
        <v>#DIV/0!</v>
      </c>
      <c r="W46" s="135"/>
      <c r="X46" s="28">
        <v>8</v>
      </c>
      <c r="Y46" s="73"/>
      <c r="Z46" s="28">
        <v>8</v>
      </c>
      <c r="AA46" s="79"/>
      <c r="AB46" s="28">
        <v>8</v>
      </c>
      <c r="AC46" s="79"/>
      <c r="AD46" s="28">
        <v>8</v>
      </c>
      <c r="AE46" s="79"/>
      <c r="AF46" s="28">
        <v>8</v>
      </c>
      <c r="AG46" s="79"/>
      <c r="AH46" s="28">
        <v>8</v>
      </c>
      <c r="AI46" s="79"/>
      <c r="AJ46" s="28">
        <v>8</v>
      </c>
      <c r="AK46" s="79"/>
      <c r="AL46" s="28">
        <v>8</v>
      </c>
      <c r="AM46" s="79"/>
      <c r="AN46" s="28">
        <v>8</v>
      </c>
      <c r="AO46" s="79" t="e">
        <f>((($W$38)^Q46)*((1-($W$38))^($U$32-Q46))*HLOOKUP($U$32,$AV$24:$BF$34,Q46+1))*V46</f>
        <v>#DIV/0!</v>
      </c>
      <c r="AP46" s="28">
        <v>8</v>
      </c>
      <c r="AQ46" s="79" t="e">
        <f>((($W$38)^Q46)*((1-($W$38))^($U$33-Q46))*HLOOKUP($U$33,$AV$24:$BF$34,Q46+1))*V47</f>
        <v>#DIV/0!</v>
      </c>
      <c r="AR46" s="28">
        <v>8</v>
      </c>
      <c r="AS46" s="79" t="e">
        <f>((($W$38)^Q46)*((1-($W$38))^($U$34-Q46))*HLOOKUP($U$34,$AV$24:$BF$34,Q46+1))*V48</f>
        <v>#DIV/0!</v>
      </c>
      <c r="AV46" s="14">
        <v>8</v>
      </c>
      <c r="BD46">
        <v>1</v>
      </c>
      <c r="BE46">
        <v>9</v>
      </c>
      <c r="BF46">
        <f t="shared" si="27"/>
        <v>45</v>
      </c>
      <c r="BH46">
        <f>BH41+1</f>
        <v>5</v>
      </c>
      <c r="BI46">
        <v>8</v>
      </c>
      <c r="BJ46" s="107" t="e">
        <f>$H$29*H46</f>
        <v>#DIV/0!</v>
      </c>
      <c r="BP46">
        <f t="shared" si="25"/>
        <v>9</v>
      </c>
      <c r="BQ46">
        <v>7</v>
      </c>
      <c r="BR46" s="107" t="e">
        <f t="shared" si="26"/>
        <v>#DIV/0!</v>
      </c>
    </row>
    <row r="47" spans="1:70" ht="15" customHeight="1" x14ac:dyDescent="0.25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9</v>
      </c>
      <c r="H47" s="130" t="e">
        <f>J47*L38+J46*L39+J45*L40+J44*L41</f>
        <v>#DIV/0!</v>
      </c>
      <c r="I47" s="93">
        <v>9</v>
      </c>
      <c r="J47" s="86" t="e">
        <f t="shared" si="20"/>
        <v>#DIV/0!</v>
      </c>
      <c r="K47" s="95">
        <v>9</v>
      </c>
      <c r="L47" s="86"/>
      <c r="M47" s="85"/>
      <c r="N47" s="37"/>
      <c r="O47" s="37"/>
      <c r="P47" s="37"/>
      <c r="Q47" s="28">
        <v>9</v>
      </c>
      <c r="R47" s="37" t="e">
        <f>P43*N42+P42*N43</f>
        <v>#DIV/0!</v>
      </c>
      <c r="S47" s="72">
        <v>9</v>
      </c>
      <c r="T47" s="133" t="e">
        <f t="shared" si="24"/>
        <v>#DIV/0!</v>
      </c>
      <c r="U47" s="93">
        <v>9</v>
      </c>
      <c r="V47" s="86" t="e">
        <f>T47*R38+T46*R39+T45*R40+T44*R41+T43*R42+T42*R43+T41*R44+T40*R45+T39*R46+T38*R47</f>
        <v>#DIV/0!</v>
      </c>
      <c r="W47" s="135"/>
      <c r="X47" s="28">
        <v>9</v>
      </c>
      <c r="Y47" s="73"/>
      <c r="Z47" s="28">
        <v>9</v>
      </c>
      <c r="AA47" s="79"/>
      <c r="AB47" s="28">
        <v>9</v>
      </c>
      <c r="AC47" s="79"/>
      <c r="AD47" s="28">
        <v>9</v>
      </c>
      <c r="AE47" s="79"/>
      <c r="AF47" s="28">
        <v>9</v>
      </c>
      <c r="AG47" s="79"/>
      <c r="AH47" s="28">
        <v>9</v>
      </c>
      <c r="AI47" s="79"/>
      <c r="AJ47" s="28">
        <v>9</v>
      </c>
      <c r="AK47" s="79"/>
      <c r="AL47" s="28">
        <v>9</v>
      </c>
      <c r="AM47" s="79"/>
      <c r="AN47" s="28">
        <v>9</v>
      </c>
      <c r="AO47" s="79"/>
      <c r="AP47" s="28">
        <v>9</v>
      </c>
      <c r="AQ47" s="79" t="e">
        <f>((($W$38)^Q47)*((1-($W$38))^($U$33-Q47))*HLOOKUP($U$33,$AV$24:$BF$34,Q47+1))*V47</f>
        <v>#DIV/0!</v>
      </c>
      <c r="AR47" s="28">
        <v>9</v>
      </c>
      <c r="AS47" s="79" t="e">
        <f>((($W$38)^Q47)*((1-($W$38))^($U$34-Q47))*HLOOKUP($U$34,$AV$24:$BF$34,Q47+1))*V48</f>
        <v>#DIV/0!</v>
      </c>
      <c r="AV47" s="29">
        <v>9</v>
      </c>
      <c r="BE47">
        <v>1</v>
      </c>
      <c r="BF47">
        <f t="shared" si="27"/>
        <v>10</v>
      </c>
      <c r="BH47">
        <f>BH42+1</f>
        <v>5</v>
      </c>
      <c r="BI47">
        <v>9</v>
      </c>
      <c r="BJ47" s="107" t="e">
        <f>$H$29*H47</f>
        <v>#DIV/0!</v>
      </c>
      <c r="BP47">
        <f>BL12+1</f>
        <v>9</v>
      </c>
      <c r="BQ47">
        <v>8</v>
      </c>
      <c r="BR47" s="107" t="e">
        <f t="shared" si="26"/>
        <v>#DIV/0!</v>
      </c>
    </row>
    <row r="48" spans="1:70" ht="15" customHeight="1" x14ac:dyDescent="0.25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2">
        <v>10</v>
      </c>
      <c r="H48" s="131" t="e">
        <f>J48*L38+J47*L39+J46*L40+J45*L41</f>
        <v>#DIV/0!</v>
      </c>
      <c r="I48" s="94">
        <v>10</v>
      </c>
      <c r="J48" s="89" t="e">
        <f t="shared" si="20"/>
        <v>#DIV/0!</v>
      </c>
      <c r="K48" s="96">
        <v>10</v>
      </c>
      <c r="L48" s="89"/>
      <c r="M48" s="85"/>
      <c r="N48" s="37"/>
      <c r="O48" s="37"/>
      <c r="P48" s="37"/>
      <c r="Q48" s="28">
        <v>10</v>
      </c>
      <c r="R48" s="37" t="e">
        <f>P43*N43</f>
        <v>#DIV/0!</v>
      </c>
      <c r="S48" s="72">
        <v>10</v>
      </c>
      <c r="T48" s="133" t="e">
        <f t="shared" si="24"/>
        <v>#DIV/0!</v>
      </c>
      <c r="U48" s="94">
        <v>10</v>
      </c>
      <c r="V48" s="89" t="e">
        <f>IF(((T48*R38+T47*R39+T46*R40+T45*R41+T44*R42+T43*R43+T42*R44+T41*R45+T40*R46+T39*R47+T38*R48)+V36)&lt;&gt;1,1-V36,(T48*R38+T47*R39+T46*R40+T45*R41+T44*R42+T43*R43+T42*R44+T41*R45+T40*R46+T39*R47+T38*R48))</f>
        <v>#DIV/0!</v>
      </c>
      <c r="W48" s="135"/>
      <c r="X48" s="28">
        <v>10</v>
      </c>
      <c r="Y48" s="73"/>
      <c r="Z48" s="28">
        <v>10</v>
      </c>
      <c r="AA48" s="79"/>
      <c r="AB48" s="28">
        <v>10</v>
      </c>
      <c r="AC48" s="79"/>
      <c r="AD48" s="28">
        <v>10</v>
      </c>
      <c r="AE48" s="79"/>
      <c r="AF48" s="28">
        <v>10</v>
      </c>
      <c r="AG48" s="79"/>
      <c r="AH48" s="28">
        <v>10</v>
      </c>
      <c r="AI48" s="79"/>
      <c r="AJ48" s="28">
        <v>10</v>
      </c>
      <c r="AK48" s="79"/>
      <c r="AL48" s="28">
        <v>10</v>
      </c>
      <c r="AM48" s="79"/>
      <c r="AN48" s="28">
        <v>10</v>
      </c>
      <c r="AO48" s="79"/>
      <c r="AP48" s="28">
        <v>10</v>
      </c>
      <c r="AQ48" s="79"/>
      <c r="AR48" s="28">
        <v>10</v>
      </c>
      <c r="AS48" s="79" t="e">
        <f>((($W$38)^Q48)*((1-($W$38))^($U$34-Q48))*HLOOKUP($U$34,$AV$24:$BF$34,Q48+1))*V48</f>
        <v>#DIV/0!</v>
      </c>
      <c r="AV48" s="14">
        <v>10</v>
      </c>
      <c r="BF48">
        <f t="shared" si="27"/>
        <v>1</v>
      </c>
      <c r="BH48">
        <f>BH43+1</f>
        <v>5</v>
      </c>
      <c r="BI48">
        <v>10</v>
      </c>
      <c r="BJ48" s="107" t="e">
        <f>$H$29*H48</f>
        <v>#DIV/0!</v>
      </c>
    </row>
    <row r="49" spans="1:62" ht="15" customHeight="1" x14ac:dyDescent="0.25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76"/>
      <c r="H49" s="77"/>
      <c r="I49" s="33"/>
      <c r="J49" s="33"/>
      <c r="K49" s="77"/>
      <c r="L49" s="77"/>
      <c r="M49" s="31"/>
      <c r="N49" s="31"/>
      <c r="O49" s="32"/>
      <c r="P49" s="32"/>
      <c r="Q49" s="32"/>
      <c r="R49" s="32"/>
      <c r="S49" s="76"/>
      <c r="T49" s="76"/>
      <c r="U49" s="76"/>
      <c r="V49" s="77"/>
      <c r="W49" s="33"/>
      <c r="X49" s="13"/>
      <c r="Y49" s="13"/>
      <c r="BH49">
        <f>BP14+1</f>
        <v>6</v>
      </c>
      <c r="BI49">
        <v>0</v>
      </c>
      <c r="BJ49" s="107" t="e">
        <f>$H$30*H38</f>
        <v>#DIV/0!</v>
      </c>
    </row>
    <row r="50" spans="1:62" x14ac:dyDescent="0.25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BH50">
        <f>BH45+1</f>
        <v>6</v>
      </c>
      <c r="BI50">
        <v>7</v>
      </c>
      <c r="BJ50" s="107" t="e">
        <f>$H$30*H45</f>
        <v>#DIV/0!</v>
      </c>
    </row>
    <row r="51" spans="1:62" x14ac:dyDescent="0.25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H51" s="107"/>
      <c r="BH51">
        <f>BH46+1</f>
        <v>6</v>
      </c>
      <c r="BI51">
        <v>8</v>
      </c>
      <c r="BJ51" s="107" t="e">
        <f>$H$30*H46</f>
        <v>#DIV/0!</v>
      </c>
    </row>
    <row r="52" spans="1:62" x14ac:dyDescent="0.25">
      <c r="BH52">
        <f>BH47+1</f>
        <v>6</v>
      </c>
      <c r="BI52">
        <v>9</v>
      </c>
      <c r="BJ52" s="107" t="e">
        <f>$H$30*H47</f>
        <v>#DIV/0!</v>
      </c>
    </row>
    <row r="53" spans="1:62" x14ac:dyDescent="0.25">
      <c r="BH53">
        <f>BH48+1</f>
        <v>6</v>
      </c>
      <c r="BI53">
        <v>10</v>
      </c>
      <c r="BJ53" s="107" t="e">
        <f>$H$30*H48</f>
        <v>#DIV/0!</v>
      </c>
    </row>
    <row r="54" spans="1:62" x14ac:dyDescent="0.25">
      <c r="BH54">
        <f>BH51+1</f>
        <v>7</v>
      </c>
      <c r="BI54">
        <v>8</v>
      </c>
      <c r="BJ54" s="107" t="e">
        <f>$H$31*H46</f>
        <v>#DIV/0!</v>
      </c>
    </row>
    <row r="55" spans="1:62" x14ac:dyDescent="0.25">
      <c r="BH55">
        <f>BH52+1</f>
        <v>7</v>
      </c>
      <c r="BI55">
        <v>9</v>
      </c>
      <c r="BJ55" s="107" t="e">
        <f>$H$31*H47</f>
        <v>#DIV/0!</v>
      </c>
    </row>
    <row r="56" spans="1:62" x14ac:dyDescent="0.25">
      <c r="BH56">
        <f>BH53+1</f>
        <v>7</v>
      </c>
      <c r="BI56">
        <v>10</v>
      </c>
      <c r="BJ56" s="107" t="e">
        <f>$H$31*H48</f>
        <v>#DIV/0!</v>
      </c>
    </row>
    <row r="57" spans="1:62" x14ac:dyDescent="0.25">
      <c r="BH57">
        <f>BH55+1</f>
        <v>8</v>
      </c>
      <c r="BI57">
        <v>9</v>
      </c>
      <c r="BJ57" s="107" t="e">
        <f>$H$32*H47</f>
        <v>#DIV/0!</v>
      </c>
    </row>
    <row r="58" spans="1:62" x14ac:dyDescent="0.25">
      <c r="BH58">
        <f>BH56+1</f>
        <v>8</v>
      </c>
      <c r="BI58">
        <v>10</v>
      </c>
      <c r="BJ58" s="107" t="e">
        <f>$H$32*H48</f>
        <v>#DIV/0!</v>
      </c>
    </row>
    <row r="59" spans="1:62" x14ac:dyDescent="0.25">
      <c r="BH59">
        <f>BH58+1</f>
        <v>9</v>
      </c>
      <c r="BI59">
        <v>10</v>
      </c>
      <c r="BJ59" s="107" t="e">
        <f>$H$33*H48</f>
        <v>#DIV/0!</v>
      </c>
    </row>
  </sheetData>
  <mergeCells count="2">
    <mergeCell ref="P1:Q1"/>
    <mergeCell ref="B3:C3"/>
  </mergeCells>
  <conditionalFormatting sqref="H48">
    <cfRule type="cellIs" dxfId="13" priority="1" operator="greaterThan">
      <formula>0.15</formula>
    </cfRule>
  </conditionalFormatting>
  <conditionalFormatting sqref="H38:H48">
    <cfRule type="cellIs" dxfId="12" priority="2" operator="greaterThan">
      <formula>0.15</formula>
    </cfRule>
  </conditionalFormatting>
  <conditionalFormatting sqref="H48">
    <cfRule type="cellIs" dxfId="11" priority="3" operator="greaterThan">
      <formula>0.15</formula>
    </cfRule>
  </conditionalFormatting>
  <conditionalFormatting sqref="H38:H48">
    <cfRule type="cellIs" dxfId="10" priority="4" operator="greaterThan">
      <formula>0.15</formula>
    </cfRule>
  </conditionalFormatting>
  <conditionalFormatting sqref="H34">
    <cfRule type="cellIs" dxfId="9" priority="5" operator="greaterThan">
      <formula>0.15</formula>
    </cfRule>
  </conditionalFormatting>
  <conditionalFormatting sqref="H24:H34">
    <cfRule type="cellIs" dxfId="8" priority="6" operator="greaterThan">
      <formula>0.15</formula>
    </cfRule>
  </conditionalFormatting>
  <conditionalFormatting sqref="H34">
    <cfRule type="cellIs" dxfId="7" priority="7" operator="greaterThan">
      <formula>0.15</formula>
    </cfRule>
  </conditionalFormatting>
  <conditionalFormatting sqref="H24:H34">
    <cfRule type="cellIs" dxfId="6" priority="8" operator="greaterThan">
      <formula>0.15</formula>
    </cfRule>
  </conditionalFormatting>
  <conditionalFormatting sqref="V48">
    <cfRule type="cellIs" dxfId="5" priority="9" operator="greaterThan">
      <formula>0.15</formula>
    </cfRule>
  </conditionalFormatting>
  <conditionalFormatting sqref="V34">
    <cfRule type="cellIs" dxfId="4" priority="10" operator="greaterThan">
      <formula>0.15</formula>
    </cfRule>
  </conditionalFormatting>
  <conditionalFormatting sqref="V24:V34 V38:V48">
    <cfRule type="cellIs" dxfId="3" priority="11" operator="greaterThan">
      <formula>0.15</formula>
    </cfRule>
  </conditionalFormatting>
  <conditionalFormatting sqref="V48">
    <cfRule type="cellIs" dxfId="2" priority="12" operator="greaterThan">
      <formula>0.15</formula>
    </cfRule>
  </conditionalFormatting>
  <conditionalFormatting sqref="V34">
    <cfRule type="cellIs" dxfId="1" priority="13" operator="greaterThan">
      <formula>0.15</formula>
    </cfRule>
  </conditionalFormatting>
  <conditionalFormatting sqref="V24:V34 V38:V48">
    <cfRule type="cellIs" dxfId="0" priority="14" operator="greaterThan">
      <formula>0.15</formula>
    </cfRule>
  </conditionalFormatting>
  <pageMargins left="0.7" right="0.7" top="0.75" bottom="0.75" header="0.3" footer="0.3"/>
  <pageSetup paperSize="9" fitToWidth="0"/>
  <drawing r:id="rId1"/>
  <legacyDrawing r:id="rId2"/>
  <extLst>
    <ext uri="smNativeData">
      <pm:sheetPrefs xmlns:pm="smNativeData" day="15952533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37195-8B37-4CDA-8468-6749A41A90C1}">
  <sheetPr>
    <tabColor theme="9" tint="-0.249977111117893"/>
  </sheetPr>
  <dimension ref="A1:BS59"/>
  <sheetViews>
    <sheetView zoomScale="90" zoomScaleNormal="90" workbookViewId="0">
      <selection activeCell="U13" sqref="U13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570312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6.28515625" style="31" bestFit="1" customWidth="1"/>
    <col min="29" max="29" width="7.7109375" style="31" bestFit="1" customWidth="1"/>
    <col min="30" max="30" width="6.285156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93" t="s">
        <v>337</v>
      </c>
      <c r="B1" s="31" t="s">
        <v>0</v>
      </c>
      <c r="E1" s="285">
        <v>1.5</v>
      </c>
      <c r="F1" s="285">
        <v>2.5</v>
      </c>
      <c r="G1" s="285">
        <v>3.5</v>
      </c>
      <c r="H1" s="221"/>
      <c r="I1" s="220"/>
      <c r="J1" s="222"/>
      <c r="K1" s="221"/>
      <c r="L1" s="221"/>
      <c r="M1" s="221"/>
      <c r="N1" s="221">
        <f>COUNTIF(B17:C17,"JC")</f>
        <v>0</v>
      </c>
      <c r="O1" s="220"/>
      <c r="P1" s="220"/>
      <c r="Q1" s="304"/>
      <c r="R1" s="304"/>
      <c r="S1" s="223"/>
      <c r="T1" s="223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4"/>
      <c r="AK1" s="220"/>
      <c r="AL1" s="220"/>
      <c r="AM1" s="220"/>
      <c r="AN1" s="220"/>
      <c r="AO1" s="220"/>
      <c r="AP1" s="220"/>
      <c r="AQ1" s="220"/>
      <c r="AR1" s="220"/>
      <c r="AS1" s="220"/>
      <c r="AT1" s="220"/>
      <c r="AU1" s="220"/>
      <c r="AV1" s="220"/>
      <c r="AW1" s="220"/>
      <c r="AX1" s="220"/>
      <c r="AY1" s="220"/>
      <c r="AZ1" s="220"/>
    </row>
    <row r="2" spans="1:71" ht="15.75" x14ac:dyDescent="0.25">
      <c r="A2" s="293" t="s">
        <v>143</v>
      </c>
      <c r="B2" s="31" t="s">
        <v>0</v>
      </c>
      <c r="E2" s="245"/>
      <c r="F2" s="245"/>
      <c r="G2" s="245"/>
      <c r="H2" s="245"/>
      <c r="I2" s="245"/>
      <c r="J2" s="245"/>
      <c r="K2" s="245"/>
      <c r="L2" s="245"/>
      <c r="M2" s="245"/>
      <c r="N2" s="261">
        <f>SUM(N4:N15)</f>
        <v>3.5750000000000002</v>
      </c>
      <c r="O2" s="245"/>
      <c r="P2" s="247"/>
      <c r="Q2" s="247"/>
      <c r="R2" s="198">
        <f>SUM(R4:R15)</f>
        <v>3.5750000000000002</v>
      </c>
      <c r="S2" s="198">
        <f>SUM(S4:S15)</f>
        <v>3.5750000000000002</v>
      </c>
      <c r="T2" s="256">
        <f t="shared" ref="T2:U2" si="0">SUM(T4:T15)</f>
        <v>0.59754571248423693</v>
      </c>
      <c r="U2" s="256">
        <f t="shared" si="0"/>
        <v>0.8916850567465322</v>
      </c>
      <c r="V2" s="158"/>
      <c r="W2" s="158"/>
      <c r="X2" s="290">
        <f t="shared" ref="X2:Y2" si="1">SUM(X4:X15)</f>
        <v>0.26039966897856237</v>
      </c>
      <c r="Y2" s="291">
        <f t="shared" si="1"/>
        <v>0.46450417717528375</v>
      </c>
      <c r="Z2" s="220"/>
      <c r="AA2" s="226" t="s">
        <v>19</v>
      </c>
      <c r="AB2" s="226" t="s">
        <v>20</v>
      </c>
      <c r="AC2" s="226" t="s">
        <v>21</v>
      </c>
      <c r="AD2" s="226" t="s">
        <v>22</v>
      </c>
      <c r="AE2" s="292"/>
      <c r="AF2" s="220"/>
      <c r="AG2" s="227" t="s">
        <v>24</v>
      </c>
      <c r="AH2" s="227" t="s">
        <v>20</v>
      </c>
      <c r="AI2" s="227" t="s">
        <v>21</v>
      </c>
      <c r="AJ2" s="227" t="s">
        <v>22</v>
      </c>
      <c r="AK2" s="229"/>
      <c r="AL2" s="220"/>
      <c r="AM2" s="220"/>
      <c r="AN2" s="220"/>
      <c r="AO2" s="220"/>
      <c r="AP2" s="220"/>
      <c r="AQ2" s="220"/>
      <c r="AR2" s="220"/>
      <c r="AS2" s="220"/>
      <c r="AT2" s="220"/>
      <c r="AU2" s="220"/>
      <c r="AV2" s="220"/>
      <c r="AW2" s="220"/>
      <c r="AX2" s="220"/>
      <c r="AY2" s="220"/>
      <c r="AZ2" s="220"/>
    </row>
    <row r="3" spans="1:71" ht="15.75" x14ac:dyDescent="0.25">
      <c r="A3" s="157" t="s">
        <v>4</v>
      </c>
      <c r="B3" s="305" t="s">
        <v>162</v>
      </c>
      <c r="C3" s="305"/>
      <c r="D3" s="31" t="str">
        <f>IF(B3="Sol","SI",IF(B3="Lluvia","SI","NO"))</f>
        <v>NO</v>
      </c>
      <c r="E3" s="248"/>
      <c r="F3" s="249"/>
      <c r="G3" s="279" t="s">
        <v>2</v>
      </c>
      <c r="H3" s="248"/>
      <c r="I3" s="248"/>
      <c r="J3" s="245"/>
      <c r="K3" s="257" t="s">
        <v>167</v>
      </c>
      <c r="L3" s="257" t="s">
        <v>168</v>
      </c>
      <c r="M3" s="257" t="s">
        <v>28</v>
      </c>
      <c r="N3" s="257" t="s">
        <v>28</v>
      </c>
      <c r="O3" s="257" t="s">
        <v>169</v>
      </c>
      <c r="P3" s="262" t="s">
        <v>170</v>
      </c>
      <c r="Q3" s="264" t="s">
        <v>171</v>
      </c>
      <c r="R3" s="257" t="s">
        <v>28</v>
      </c>
      <c r="S3" s="257" t="s">
        <v>172</v>
      </c>
      <c r="T3" s="262" t="s">
        <v>173</v>
      </c>
      <c r="U3" s="264" t="s">
        <v>174</v>
      </c>
      <c r="V3" s="262" t="s">
        <v>175</v>
      </c>
      <c r="W3" s="264" t="s">
        <v>176</v>
      </c>
      <c r="X3" s="286" t="s">
        <v>177</v>
      </c>
      <c r="Y3" s="287" t="s">
        <v>178</v>
      </c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5"/>
      <c r="AO3" s="225"/>
      <c r="AP3" s="220"/>
      <c r="AQ3" s="220"/>
      <c r="AR3" s="220"/>
      <c r="AS3" s="220"/>
      <c r="AT3" s="220"/>
      <c r="AU3" s="220"/>
      <c r="AV3" s="220"/>
      <c r="AW3" s="220"/>
      <c r="AX3" s="220"/>
      <c r="AY3" s="220"/>
      <c r="AZ3" s="220"/>
    </row>
    <row r="4" spans="1:71" ht="15.75" x14ac:dyDescent="0.25">
      <c r="A4" s="122"/>
      <c r="B4" s="8" t="s">
        <v>9</v>
      </c>
      <c r="C4" s="9" t="s">
        <v>10</v>
      </c>
      <c r="D4" s="158"/>
      <c r="E4" s="279" t="s">
        <v>163</v>
      </c>
      <c r="F4" s="279"/>
      <c r="G4" s="279" t="s">
        <v>163</v>
      </c>
      <c r="H4" s="279" t="s">
        <v>163</v>
      </c>
      <c r="I4" s="279" t="s">
        <v>37</v>
      </c>
      <c r="J4" s="245"/>
      <c r="K4" s="246">
        <v>5</v>
      </c>
      <c r="L4" s="246">
        <v>6</v>
      </c>
      <c r="M4" s="259">
        <v>0.45</v>
      </c>
      <c r="N4" s="259">
        <f>IF($N$1=2,M4*$G$1/$E$1,IF($N$1=1,M4*$F$1/$E$1,M4))</f>
        <v>0.45</v>
      </c>
      <c r="O4" s="246" t="s">
        <v>179</v>
      </c>
      <c r="P4" s="249">
        <f>COUNTIF(E3:I4,"IMP")</f>
        <v>1</v>
      </c>
      <c r="Q4" s="251">
        <f>COUNTIF(E8:I9,"IMP")</f>
        <v>2</v>
      </c>
      <c r="R4" s="258">
        <f t="shared" ref="R4:R15" si="2">IF(P4+Q4=0,0,N4)</f>
        <v>0.45</v>
      </c>
      <c r="S4" s="258">
        <f t="shared" ref="S4:S15" si="3">R4*$N$2/$R$2</f>
        <v>0.45</v>
      </c>
      <c r="T4" s="263">
        <f t="shared" ref="T4:T9" si="4">IF(S4=0,0,IF(Q4=0,S4*P4/L4,S4*P4/(L4*2)))</f>
        <v>3.7499999999999999E-2</v>
      </c>
      <c r="U4" s="265">
        <f t="shared" ref="U4:U9" si="5">IF(S4=0,0,IF(P4=0,S4*Q4/L4,S4*Q4/(L4*2)))</f>
        <v>7.4999999999999997E-2</v>
      </c>
      <c r="V4" s="255">
        <f>$G$17</f>
        <v>0.56999999999999995</v>
      </c>
      <c r="W4" s="253">
        <f>$H$17</f>
        <v>0.56999999999999995</v>
      </c>
      <c r="X4" s="288">
        <f>V4*T4</f>
        <v>2.1374999999999998E-2</v>
      </c>
      <c r="Y4" s="289">
        <f>W4*U4</f>
        <v>4.2749999999999996E-2</v>
      </c>
      <c r="Z4" s="227"/>
      <c r="AA4" s="281">
        <f t="shared" ref="AA4:AA14" si="6">X5</f>
        <v>2.4937499999999998E-2</v>
      </c>
      <c r="AB4" s="282">
        <f t="shared" ref="AB4:AB15" si="7">(1-AA4)</f>
        <v>0.97506250000000005</v>
      </c>
      <c r="AC4" s="282">
        <f>AA4*AB3*PRODUCT(AB5:AB17)</f>
        <v>0</v>
      </c>
      <c r="AD4" s="282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220"/>
      <c r="AF4" s="227"/>
      <c r="AG4" s="283">
        <f>Y4</f>
        <v>4.2749999999999996E-2</v>
      </c>
      <c r="AH4" s="284">
        <f t="shared" ref="AH4:AH15" si="8">(1-AG4)</f>
        <v>0.95725000000000005</v>
      </c>
      <c r="AI4" s="284">
        <f>AG4*AH3*PRODUCT(AH5:AH17)</f>
        <v>0</v>
      </c>
      <c r="AJ4" s="284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220"/>
      <c r="AL4" s="227"/>
      <c r="AM4" s="227"/>
      <c r="AN4" s="221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0"/>
      <c r="AZ4" s="220"/>
      <c r="BI4" s="31">
        <v>0</v>
      </c>
      <c r="BJ4" s="31">
        <v>1</v>
      </c>
      <c r="BK4" s="107">
        <f t="shared" ref="BK4:BK13" si="9">$H$25*H40</f>
        <v>2.297469433372034E-2</v>
      </c>
      <c r="BM4" s="31">
        <v>0</v>
      </c>
      <c r="BN4" s="31">
        <v>0</v>
      </c>
      <c r="BO4" s="107">
        <f>H25*H39</f>
        <v>6.963722947941702E-3</v>
      </c>
      <c r="BQ4" s="31">
        <v>1</v>
      </c>
      <c r="BR4" s="31">
        <v>0</v>
      </c>
      <c r="BS4" s="107">
        <f>$H$26*H39</f>
        <v>1.4720787361798245E-2</v>
      </c>
    </row>
    <row r="5" spans="1:71" ht="15.75" x14ac:dyDescent="0.25">
      <c r="A5" s="40" t="s">
        <v>30</v>
      </c>
      <c r="B5" s="154">
        <v>352</v>
      </c>
      <c r="C5" s="154">
        <v>532</v>
      </c>
      <c r="E5" s="279" t="s">
        <v>2</v>
      </c>
      <c r="F5" s="279" t="s">
        <v>163</v>
      </c>
      <c r="G5" s="279" t="s">
        <v>144</v>
      </c>
      <c r="H5" s="279" t="s">
        <v>163</v>
      </c>
      <c r="I5" s="279" t="s">
        <v>163</v>
      </c>
      <c r="J5" s="245"/>
      <c r="K5" s="246">
        <v>6</v>
      </c>
      <c r="L5" s="246">
        <v>8</v>
      </c>
      <c r="M5" s="259">
        <v>0.35</v>
      </c>
      <c r="N5" s="259">
        <f t="shared" ref="N5:N15" si="10">IF($N$1=2,M5*$G$1/$E$1,IF($N$1=1,M5*$F$1/$E$1,M5))</f>
        <v>0.35</v>
      </c>
      <c r="O5" s="246" t="s">
        <v>180</v>
      </c>
      <c r="P5" s="249">
        <f>COUNTIF(E5:I6,"IMP")</f>
        <v>1</v>
      </c>
      <c r="Q5" s="251">
        <f>COUNTIF(E10:I11,"IMP")</f>
        <v>0</v>
      </c>
      <c r="R5" s="258">
        <f t="shared" si="2"/>
        <v>0.35</v>
      </c>
      <c r="S5" s="258">
        <f t="shared" si="3"/>
        <v>0.35</v>
      </c>
      <c r="T5" s="263">
        <f t="shared" si="4"/>
        <v>4.3749999999999997E-2</v>
      </c>
      <c r="U5" s="265">
        <f t="shared" si="5"/>
        <v>0</v>
      </c>
      <c r="V5" s="255">
        <f>$G$17</f>
        <v>0.56999999999999995</v>
      </c>
      <c r="W5" s="253">
        <f>$H$17</f>
        <v>0.56999999999999995</v>
      </c>
      <c r="X5" s="288">
        <f t="shared" ref="X5:Y15" si="11">V5*T5</f>
        <v>2.4937499999999998E-2</v>
      </c>
      <c r="Y5" s="289">
        <f t="shared" si="11"/>
        <v>0</v>
      </c>
      <c r="Z5" s="236"/>
      <c r="AA5" s="281">
        <f t="shared" si="6"/>
        <v>1.5576923076923078E-2</v>
      </c>
      <c r="AB5" s="282">
        <f t="shared" si="7"/>
        <v>0.98442307692307696</v>
      </c>
      <c r="AC5" s="282">
        <f>AA5*PRODUCT(AB3:AB4)*PRODUCT(AB6:AB17)</f>
        <v>1.2401931911357935E-2</v>
      </c>
      <c r="AD5" s="282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2.5670057978539585E-3</v>
      </c>
      <c r="AE5" s="220"/>
      <c r="AF5" s="234"/>
      <c r="AG5" s="283">
        <f t="shared" ref="AG5:AG15" si="12">Y5</f>
        <v>0</v>
      </c>
      <c r="AH5" s="284">
        <f t="shared" si="8"/>
        <v>1</v>
      </c>
      <c r="AI5" s="284">
        <f>AG5*PRODUCT(AH3:AH4)*PRODUCT(AH6:AH17)</f>
        <v>0</v>
      </c>
      <c r="AJ5" s="284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0</v>
      </c>
      <c r="AK5" s="220"/>
      <c r="AL5" s="237"/>
      <c r="AM5" s="220"/>
      <c r="AN5" s="225"/>
      <c r="AO5" s="239"/>
      <c r="AP5" s="220"/>
      <c r="AQ5" s="220"/>
      <c r="AR5" s="220"/>
      <c r="AS5" s="220"/>
      <c r="AT5" s="220"/>
      <c r="AU5" s="220"/>
      <c r="AV5" s="220"/>
      <c r="AW5" s="220"/>
      <c r="AX5" s="220"/>
      <c r="AY5" s="220"/>
      <c r="AZ5" s="220"/>
      <c r="BI5" s="31">
        <v>0</v>
      </c>
      <c r="BJ5" s="31">
        <v>2</v>
      </c>
      <c r="BK5" s="107">
        <f t="shared" si="9"/>
        <v>3.4951109226849436E-2</v>
      </c>
      <c r="BM5" s="31">
        <v>1</v>
      </c>
      <c r="BN5" s="31">
        <v>1</v>
      </c>
      <c r="BO5" s="107">
        <f>$H$26*H40</f>
        <v>4.8566778505881397E-2</v>
      </c>
      <c r="BQ5" s="31">
        <f>BQ4+1</f>
        <v>2</v>
      </c>
      <c r="BR5" s="31">
        <v>0</v>
      </c>
      <c r="BS5" s="107">
        <f>$H$27*H39</f>
        <v>1.4281399729848781E-2</v>
      </c>
    </row>
    <row r="6" spans="1:71" ht="15.75" x14ac:dyDescent="0.25">
      <c r="A6" s="2" t="s">
        <v>35</v>
      </c>
      <c r="B6" s="269">
        <v>10</v>
      </c>
      <c r="C6" s="270">
        <v>5.25</v>
      </c>
      <c r="E6" s="248"/>
      <c r="F6" s="279" t="s">
        <v>37</v>
      </c>
      <c r="G6" s="279" t="s">
        <v>163</v>
      </c>
      <c r="H6" s="279" t="s">
        <v>6</v>
      </c>
      <c r="I6" s="248"/>
      <c r="J6" s="245"/>
      <c r="K6" s="246">
        <v>8</v>
      </c>
      <c r="L6" s="246">
        <v>13</v>
      </c>
      <c r="M6" s="259">
        <v>0.45</v>
      </c>
      <c r="N6" s="259">
        <f t="shared" si="10"/>
        <v>0.45</v>
      </c>
      <c r="O6" s="246" t="s">
        <v>37</v>
      </c>
      <c r="P6" s="249">
        <f>COUNTIF(E4:I6,"IMP")</f>
        <v>2</v>
      </c>
      <c r="Q6" s="251">
        <f>COUNTIF(E9:I11,"IMP")</f>
        <v>2</v>
      </c>
      <c r="R6" s="258">
        <f t="shared" si="2"/>
        <v>0.45</v>
      </c>
      <c r="S6" s="258">
        <f t="shared" si="3"/>
        <v>0.45</v>
      </c>
      <c r="T6" s="263">
        <f t="shared" si="4"/>
        <v>3.4615384615384617E-2</v>
      </c>
      <c r="U6" s="265">
        <f t="shared" si="5"/>
        <v>3.4615384615384617E-2</v>
      </c>
      <c r="V6" s="255">
        <f>$G$18</f>
        <v>0.45</v>
      </c>
      <c r="W6" s="253">
        <f>$H$18</f>
        <v>0.45</v>
      </c>
      <c r="X6" s="288">
        <f t="shared" si="11"/>
        <v>1.5576923076923078E-2</v>
      </c>
      <c r="Y6" s="289">
        <f t="shared" si="11"/>
        <v>1.5576923076923078E-2</v>
      </c>
      <c r="Z6" s="236"/>
      <c r="AA6" s="281">
        <f t="shared" si="6"/>
        <v>1.1250000000000001E-3</v>
      </c>
      <c r="AB6" s="282">
        <f t="shared" si="7"/>
        <v>0.99887499999999996</v>
      </c>
      <c r="AC6" s="282">
        <f>AA6*PRODUCT(AB3:AB5)*PRODUCT(AB7:AB17)</f>
        <v>8.8273598707214044E-4</v>
      </c>
      <c r="AD6" s="282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1.8171833679919873E-4</v>
      </c>
      <c r="AE6" s="220"/>
      <c r="AF6" s="234"/>
      <c r="AG6" s="283">
        <f t="shared" si="12"/>
        <v>1.5576923076923078E-2</v>
      </c>
      <c r="AH6" s="284">
        <f t="shared" si="8"/>
        <v>0.98442307692307696</v>
      </c>
      <c r="AI6" s="284">
        <f>AG6*PRODUCT(AH3:AH5)*PRODUCT(AH7:AH17)</f>
        <v>9.6905164527645252E-3</v>
      </c>
      <c r="AJ6" s="284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4.4403859136799735E-3</v>
      </c>
      <c r="AK6" s="220"/>
      <c r="AL6" s="237"/>
      <c r="AM6" s="220"/>
      <c r="AN6" s="225"/>
      <c r="AO6" s="239"/>
      <c r="AP6" s="220"/>
      <c r="AQ6" s="220"/>
      <c r="AR6" s="220"/>
      <c r="AS6" s="220"/>
      <c r="AT6" s="220"/>
      <c r="AU6" s="220"/>
      <c r="AV6" s="220"/>
      <c r="AW6" s="220"/>
      <c r="AX6" s="220"/>
      <c r="AY6" s="220"/>
      <c r="AZ6" s="220"/>
      <c r="BI6" s="31">
        <v>0</v>
      </c>
      <c r="BJ6" s="31">
        <v>3</v>
      </c>
      <c r="BK6" s="107">
        <f t="shared" si="9"/>
        <v>3.3067160621229032E-2</v>
      </c>
      <c r="BM6" s="31">
        <f>BI14+1</f>
        <v>2</v>
      </c>
      <c r="BN6" s="31">
        <v>2</v>
      </c>
      <c r="BO6" s="107">
        <f>$H$27*H41</f>
        <v>7.1678722086119029E-2</v>
      </c>
      <c r="BQ6" s="31">
        <f>BM5+1</f>
        <v>2</v>
      </c>
      <c r="BR6" s="31">
        <v>1</v>
      </c>
      <c r="BS6" s="107">
        <f>$H$27*H40</f>
        <v>4.7117152118743198E-2</v>
      </c>
    </row>
    <row r="7" spans="1:71" ht="15.75" x14ac:dyDescent="0.25">
      <c r="A7" s="5" t="s">
        <v>40</v>
      </c>
      <c r="B7" s="269">
        <v>13</v>
      </c>
      <c r="C7" s="270">
        <v>20</v>
      </c>
      <c r="E7" s="247"/>
      <c r="F7" s="247"/>
      <c r="G7" s="247"/>
      <c r="H7" s="247"/>
      <c r="I7" s="247"/>
      <c r="J7" s="245"/>
      <c r="K7" s="246">
        <v>9</v>
      </c>
      <c r="L7" s="246">
        <v>8</v>
      </c>
      <c r="M7" s="259">
        <v>0.02</v>
      </c>
      <c r="N7" s="259">
        <f t="shared" si="10"/>
        <v>0.02</v>
      </c>
      <c r="O7" s="246" t="s">
        <v>181</v>
      </c>
      <c r="P7" s="249">
        <f>COUNTIF(E9:I9,"IMP")+COUNTIF(F10:H10,"IMP")</f>
        <v>2</v>
      </c>
      <c r="Q7" s="251">
        <f>COUNTIF(E4:I4,"IMP")+COUNTIF(F5:H5,"IMP")</f>
        <v>1</v>
      </c>
      <c r="R7" s="258">
        <f t="shared" si="2"/>
        <v>0.02</v>
      </c>
      <c r="S7" s="258">
        <f t="shared" si="3"/>
        <v>0.02</v>
      </c>
      <c r="T7" s="263">
        <f t="shared" si="4"/>
        <v>2.5000000000000001E-3</v>
      </c>
      <c r="U7" s="265">
        <f t="shared" si="5"/>
        <v>1.25E-3</v>
      </c>
      <c r="V7" s="255">
        <f>$G$18</f>
        <v>0.45</v>
      </c>
      <c r="W7" s="253">
        <f>$H$18</f>
        <v>0.45</v>
      </c>
      <c r="X7" s="288">
        <f t="shared" si="11"/>
        <v>1.1250000000000001E-3</v>
      </c>
      <c r="Y7" s="289">
        <f t="shared" si="11"/>
        <v>5.6250000000000007E-4</v>
      </c>
      <c r="Z7" s="236"/>
      <c r="AA7" s="281">
        <f t="shared" si="6"/>
        <v>0</v>
      </c>
      <c r="AB7" s="282">
        <f t="shared" si="7"/>
        <v>1</v>
      </c>
      <c r="AC7" s="282">
        <f>AA7*PRODUCT(AB3:AB6)*PRODUCT(AB8:AB17)</f>
        <v>0</v>
      </c>
      <c r="AD7" s="282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0</v>
      </c>
      <c r="AE7" s="220"/>
      <c r="AF7" s="234"/>
      <c r="AG7" s="283">
        <f t="shared" si="12"/>
        <v>5.6250000000000007E-4</v>
      </c>
      <c r="AH7" s="284">
        <f t="shared" si="8"/>
        <v>0.99943749999999998</v>
      </c>
      <c r="AI7" s="284">
        <f>AG7*PRODUCT(AH3:AH6)*PRODUCT(AH8:AH17)</f>
        <v>3.4467828237898831E-4</v>
      </c>
      <c r="AJ7" s="284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1.5774440172079495E-4</v>
      </c>
      <c r="AK7" s="220"/>
      <c r="AL7" s="237"/>
      <c r="AM7" s="220"/>
      <c r="AN7" s="225"/>
      <c r="AO7" s="239"/>
      <c r="AP7" s="220"/>
      <c r="AQ7" s="220"/>
      <c r="AR7" s="220"/>
      <c r="AS7" s="220"/>
      <c r="AT7" s="220"/>
      <c r="AU7" s="220"/>
      <c r="AV7" s="220"/>
      <c r="AW7" s="220"/>
      <c r="AX7" s="220"/>
      <c r="AY7" s="220"/>
      <c r="AZ7" s="220"/>
      <c r="BI7" s="31">
        <v>0</v>
      </c>
      <c r="BJ7" s="31">
        <v>4</v>
      </c>
      <c r="BK7" s="107">
        <f t="shared" si="9"/>
        <v>2.2240085565690227E-2</v>
      </c>
      <c r="BM7" s="31">
        <f>BI23+1</f>
        <v>3</v>
      </c>
      <c r="BN7" s="31">
        <v>3</v>
      </c>
      <c r="BO7" s="107">
        <f>$H$28*H42</f>
        <v>4.1037667666214681E-2</v>
      </c>
      <c r="BQ7" s="31">
        <f>BQ5+1</f>
        <v>3</v>
      </c>
      <c r="BR7" s="31">
        <v>0</v>
      </c>
      <c r="BS7" s="107">
        <f>$H$28*H39</f>
        <v>8.642258442769276E-3</v>
      </c>
    </row>
    <row r="8" spans="1:71" ht="15.75" x14ac:dyDescent="0.25">
      <c r="A8" s="5" t="s">
        <v>44</v>
      </c>
      <c r="B8" s="269">
        <v>10.75</v>
      </c>
      <c r="C8" s="270">
        <v>18.25</v>
      </c>
      <c r="E8" s="250"/>
      <c r="F8" s="251"/>
      <c r="G8" s="280" t="s">
        <v>163</v>
      </c>
      <c r="H8" s="250"/>
      <c r="I8" s="250"/>
      <c r="J8" s="245"/>
      <c r="K8" s="246">
        <v>15</v>
      </c>
      <c r="L8" s="246">
        <v>8</v>
      </c>
      <c r="M8" s="259">
        <v>0.5</v>
      </c>
      <c r="N8" s="259">
        <f t="shared" si="10"/>
        <v>0.5</v>
      </c>
      <c r="O8" s="246" t="s">
        <v>182</v>
      </c>
      <c r="P8" s="249">
        <f>COUNTIF(E5:I6,"RAP")</f>
        <v>0</v>
      </c>
      <c r="Q8" s="251">
        <f>COUNTIF(E10:I11,"RAP")</f>
        <v>4</v>
      </c>
      <c r="R8" s="258">
        <f t="shared" si="2"/>
        <v>0.5</v>
      </c>
      <c r="S8" s="258">
        <f t="shared" si="3"/>
        <v>0.5</v>
      </c>
      <c r="T8" s="263">
        <f t="shared" si="4"/>
        <v>0</v>
      </c>
      <c r="U8" s="265">
        <f t="shared" si="5"/>
        <v>0.25</v>
      </c>
      <c r="V8" s="255">
        <f>$G$17</f>
        <v>0.56999999999999995</v>
      </c>
      <c r="W8" s="253">
        <f>$H$17</f>
        <v>0.56999999999999995</v>
      </c>
      <c r="X8" s="288">
        <f t="shared" si="11"/>
        <v>0</v>
      </c>
      <c r="Y8" s="289">
        <f t="shared" si="11"/>
        <v>0.14249999999999999</v>
      </c>
      <c r="Z8" s="236"/>
      <c r="AA8" s="281">
        <f t="shared" si="6"/>
        <v>0</v>
      </c>
      <c r="AB8" s="282">
        <f t="shared" si="7"/>
        <v>1</v>
      </c>
      <c r="AC8" s="282">
        <f>AA8*PRODUCT(AB3:AB7)*PRODUCT(AB9:AB17)</f>
        <v>0</v>
      </c>
      <c r="AD8" s="282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0</v>
      </c>
      <c r="AE8" s="220"/>
      <c r="AF8" s="234"/>
      <c r="AG8" s="283">
        <f t="shared" si="12"/>
        <v>0.14249999999999999</v>
      </c>
      <c r="AH8" s="284">
        <f t="shared" si="8"/>
        <v>0.85750000000000004</v>
      </c>
      <c r="AI8" s="284">
        <f>AG8*PRODUCT(AH3:AH7)*PRODUCT(AH9:AH17)</f>
        <v>0.10177187352470905</v>
      </c>
      <c r="AJ8" s="284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2.9664075274734851E-2</v>
      </c>
      <c r="AK8" s="220"/>
      <c r="AL8" s="237"/>
      <c r="AM8" s="220"/>
      <c r="AN8" s="225"/>
      <c r="AO8" s="239"/>
      <c r="AP8" s="220"/>
      <c r="AQ8" s="220"/>
      <c r="AR8" s="220"/>
      <c r="AS8" s="220"/>
      <c r="AT8" s="220"/>
      <c r="AU8" s="220"/>
      <c r="AV8" s="220"/>
      <c r="AW8" s="220"/>
      <c r="AX8" s="220"/>
      <c r="AY8" s="220"/>
      <c r="AZ8" s="220"/>
      <c r="BI8" s="31">
        <v>0</v>
      </c>
      <c r="BJ8" s="31">
        <v>5</v>
      </c>
      <c r="BK8" s="107">
        <f t="shared" si="9"/>
        <v>1.1508570143518904E-2</v>
      </c>
      <c r="BM8" s="31">
        <f>BI31+1</f>
        <v>4</v>
      </c>
      <c r="BN8" s="31">
        <v>4</v>
      </c>
      <c r="BO8" s="107">
        <f>$H$29*H43</f>
        <v>1.2095572553962916E-2</v>
      </c>
      <c r="BQ8" s="31">
        <f>BQ6+1</f>
        <v>3</v>
      </c>
      <c r="BR8" s="31">
        <v>1</v>
      </c>
      <c r="BS8" s="107">
        <f>$H$28*H40</f>
        <v>2.8512513717152591E-2</v>
      </c>
    </row>
    <row r="9" spans="1:71" ht="15.75" x14ac:dyDescent="0.25">
      <c r="A9" s="5" t="s">
        <v>47</v>
      </c>
      <c r="B9" s="269">
        <v>10.25</v>
      </c>
      <c r="C9" s="270">
        <v>19.5</v>
      </c>
      <c r="E9" s="280" t="s">
        <v>37</v>
      </c>
      <c r="F9" s="280" t="s">
        <v>163</v>
      </c>
      <c r="G9" s="280" t="s">
        <v>163</v>
      </c>
      <c r="H9" s="280" t="s">
        <v>163</v>
      </c>
      <c r="I9" s="280" t="s">
        <v>37</v>
      </c>
      <c r="J9" s="245"/>
      <c r="K9" s="246">
        <v>16</v>
      </c>
      <c r="L9" s="246">
        <v>8</v>
      </c>
      <c r="M9" s="259">
        <v>0.5</v>
      </c>
      <c r="N9" s="259">
        <f t="shared" si="10"/>
        <v>0.5</v>
      </c>
      <c r="O9" s="246" t="s">
        <v>183</v>
      </c>
      <c r="P9" s="249">
        <f>COUNTIF(E5:I6,"RAP")</f>
        <v>0</v>
      </c>
      <c r="Q9" s="251">
        <f>COUNTIF(E10:I11,"RAP")</f>
        <v>4</v>
      </c>
      <c r="R9" s="258">
        <f t="shared" si="2"/>
        <v>0.5</v>
      </c>
      <c r="S9" s="258">
        <f t="shared" si="3"/>
        <v>0.5</v>
      </c>
      <c r="T9" s="263">
        <f t="shared" si="4"/>
        <v>0</v>
      </c>
      <c r="U9" s="265">
        <f t="shared" si="5"/>
        <v>0.25</v>
      </c>
      <c r="V9" s="255">
        <f>$G$17</f>
        <v>0.56999999999999995</v>
      </c>
      <c r="W9" s="253">
        <f>$H$17</f>
        <v>0.56999999999999995</v>
      </c>
      <c r="X9" s="288">
        <f t="shared" si="11"/>
        <v>0</v>
      </c>
      <c r="Y9" s="289">
        <f t="shared" si="11"/>
        <v>0.14249999999999999</v>
      </c>
      <c r="Z9" s="236"/>
      <c r="AA9" s="281">
        <f t="shared" si="6"/>
        <v>4.4262295081967204E-2</v>
      </c>
      <c r="AB9" s="282">
        <f t="shared" si="7"/>
        <v>0.95573770491803278</v>
      </c>
      <c r="AC9" s="282">
        <f>AA9*PRODUCT(AB3:AB8)*PRODUCT(AB10:AB17)</f>
        <v>3.6298164353482709E-2</v>
      </c>
      <c r="AD9" s="282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5.7912234143107314E-3</v>
      </c>
      <c r="AE9" s="220"/>
      <c r="AF9" s="234"/>
      <c r="AG9" s="283">
        <f t="shared" si="12"/>
        <v>0.14249999999999999</v>
      </c>
      <c r="AH9" s="284">
        <f t="shared" si="8"/>
        <v>0.85750000000000004</v>
      </c>
      <c r="AI9" s="284">
        <f>AG9*PRODUCT(AH3:AH8)*PRODUCT(AH10:AH17)</f>
        <v>0.10177187352470905</v>
      </c>
      <c r="AJ9" s="284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1.2751548187538306E-2</v>
      </c>
      <c r="AK9" s="220"/>
      <c r="AL9" s="237"/>
      <c r="AM9" s="220"/>
      <c r="AN9" s="225"/>
      <c r="AO9" s="239"/>
      <c r="AP9" s="220"/>
      <c r="AQ9" s="220"/>
      <c r="AR9" s="220"/>
      <c r="AS9" s="220"/>
      <c r="AT9" s="220"/>
      <c r="AU9" s="220"/>
      <c r="AV9" s="220"/>
      <c r="AW9" s="220"/>
      <c r="AX9" s="220"/>
      <c r="AY9" s="220"/>
      <c r="AZ9" s="220"/>
      <c r="BI9" s="31">
        <v>0</v>
      </c>
      <c r="BJ9" s="31">
        <v>6</v>
      </c>
      <c r="BK9" s="107">
        <f t="shared" si="9"/>
        <v>4.7878646404544015E-3</v>
      </c>
      <c r="BM9" s="31">
        <f>BI38+1</f>
        <v>5</v>
      </c>
      <c r="BN9" s="31">
        <v>5</v>
      </c>
      <c r="BO9" s="107">
        <f>$H$30*H44</f>
        <v>2.1858487318074122E-3</v>
      </c>
      <c r="BQ9" s="31">
        <f>BM6+1</f>
        <v>3</v>
      </c>
      <c r="BR9" s="31">
        <v>2</v>
      </c>
      <c r="BS9" s="107">
        <f>$H$28*H41</f>
        <v>4.3375723166753907E-2</v>
      </c>
    </row>
    <row r="10" spans="1:71" ht="15.75" x14ac:dyDescent="0.25">
      <c r="A10" s="6" t="s">
        <v>50</v>
      </c>
      <c r="B10" s="269">
        <v>11.5</v>
      </c>
      <c r="C10" s="270">
        <v>12.75</v>
      </c>
      <c r="E10" s="280" t="s">
        <v>1</v>
      </c>
      <c r="F10" s="280" t="s">
        <v>163</v>
      </c>
      <c r="G10" s="280" t="s">
        <v>144</v>
      </c>
      <c r="H10" s="280" t="s">
        <v>163</v>
      </c>
      <c r="I10" s="280" t="s">
        <v>1</v>
      </c>
      <c r="J10" s="245"/>
      <c r="K10" s="246">
        <v>18</v>
      </c>
      <c r="L10" s="246" t="s">
        <v>184</v>
      </c>
      <c r="M10" s="259">
        <v>0.15</v>
      </c>
      <c r="N10" s="259">
        <f t="shared" si="10"/>
        <v>0.15</v>
      </c>
      <c r="O10" s="246" t="s">
        <v>185</v>
      </c>
      <c r="P10" s="249">
        <v>1</v>
      </c>
      <c r="Q10" s="251">
        <v>1</v>
      </c>
      <c r="R10" s="258">
        <f t="shared" si="2"/>
        <v>0.15</v>
      </c>
      <c r="S10" s="258">
        <f t="shared" si="3"/>
        <v>0.15</v>
      </c>
      <c r="T10" s="263">
        <f>S10*G13</f>
        <v>9.8360655737704902E-2</v>
      </c>
      <c r="U10" s="265">
        <f>S10*G14</f>
        <v>5.1639344262295085E-2</v>
      </c>
      <c r="V10" s="255">
        <f>$G$18</f>
        <v>0.45</v>
      </c>
      <c r="W10" s="253">
        <f>$H$18</f>
        <v>0.45</v>
      </c>
      <c r="X10" s="288">
        <f t="shared" si="11"/>
        <v>4.4262295081967204E-2</v>
      </c>
      <c r="Y10" s="289">
        <f t="shared" si="11"/>
        <v>2.323770491803279E-2</v>
      </c>
      <c r="Z10" s="236"/>
      <c r="AA10" s="281">
        <f t="shared" si="6"/>
        <v>2.2622950819672128E-2</v>
      </c>
      <c r="AB10" s="282">
        <f t="shared" si="7"/>
        <v>0.97737704918032786</v>
      </c>
      <c r="AC10" s="282">
        <f>AA10*PRODUCT(AB3:AB9)*PRODUCT(AB11:AB17)</f>
        <v>1.8141640978636905E-2</v>
      </c>
      <c r="AD10" s="282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2.4745072762592376E-3</v>
      </c>
      <c r="AE10" s="220"/>
      <c r="AF10" s="234"/>
      <c r="AG10" s="283">
        <f t="shared" si="12"/>
        <v>2.323770491803279E-2</v>
      </c>
      <c r="AH10" s="284">
        <f t="shared" si="8"/>
        <v>0.97676229508196721</v>
      </c>
      <c r="AI10" s="284">
        <f>AG10*PRODUCT(AH3:AH9)*PRODUCT(AH11:AH17)</f>
        <v>1.4569725844497602E-2</v>
      </c>
      <c r="AJ10" s="284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1.4788980291165796E-3</v>
      </c>
      <c r="AK10" s="220"/>
      <c r="AL10" s="237"/>
      <c r="AM10" s="220"/>
      <c r="AN10" s="225"/>
      <c r="AO10" s="239"/>
      <c r="AP10" s="220"/>
      <c r="AQ10" s="220"/>
      <c r="AR10" s="220"/>
      <c r="AS10" s="220"/>
      <c r="AT10" s="220"/>
      <c r="AU10" s="220"/>
      <c r="AV10" s="220"/>
      <c r="AW10" s="220"/>
      <c r="AX10" s="220"/>
      <c r="AY10" s="220"/>
      <c r="AZ10" s="220"/>
      <c r="BI10" s="31">
        <v>0</v>
      </c>
      <c r="BJ10" s="31">
        <v>7</v>
      </c>
      <c r="BK10" s="107">
        <f t="shared" si="9"/>
        <v>1.6236132231869547E-3</v>
      </c>
      <c r="BM10" s="31">
        <f>BI44+1</f>
        <v>6</v>
      </c>
      <c r="BN10" s="31">
        <v>6</v>
      </c>
      <c r="BO10" s="107">
        <f>$H$31*H45</f>
        <v>2.6435559754757612E-4</v>
      </c>
      <c r="BQ10" s="31">
        <f>BQ7+1</f>
        <v>4</v>
      </c>
      <c r="BR10" s="31">
        <v>0</v>
      </c>
      <c r="BS10" s="107">
        <f>$H$29*H39</f>
        <v>3.7873152921887726E-3</v>
      </c>
    </row>
    <row r="11" spans="1:71" ht="15.75" x14ac:dyDescent="0.25">
      <c r="A11" s="6" t="s">
        <v>53</v>
      </c>
      <c r="B11" s="269">
        <v>9.75</v>
      </c>
      <c r="C11" s="270">
        <v>9.5</v>
      </c>
      <c r="E11" s="250"/>
      <c r="F11" s="280" t="s">
        <v>1</v>
      </c>
      <c r="G11" s="280" t="s">
        <v>163</v>
      </c>
      <c r="H11" s="280" t="s">
        <v>1</v>
      </c>
      <c r="I11" s="250"/>
      <c r="J11" s="245"/>
      <c r="K11" s="246">
        <v>19</v>
      </c>
      <c r="L11" s="246" t="s">
        <v>184</v>
      </c>
      <c r="M11" s="259">
        <v>0.23</v>
      </c>
      <c r="N11" s="259">
        <f t="shared" si="10"/>
        <v>0.23</v>
      </c>
      <c r="O11" s="246" t="s">
        <v>186</v>
      </c>
      <c r="P11" s="249">
        <f>COUNTIF(E4:I6,"CAB")</f>
        <v>1</v>
      </c>
      <c r="Q11" s="251">
        <f>COUNTIF(E9:I11,"CAB")</f>
        <v>1</v>
      </c>
      <c r="R11" s="258">
        <f t="shared" si="2"/>
        <v>0.23</v>
      </c>
      <c r="S11" s="258">
        <f t="shared" si="3"/>
        <v>0.23</v>
      </c>
      <c r="T11" s="263">
        <f>IF(P11&gt;0,S11*G13,0)</f>
        <v>0.15081967213114753</v>
      </c>
      <c r="U11" s="265">
        <f>IF(Q11&gt;0,S11*G14,0)</f>
        <v>7.9180327868852471E-2</v>
      </c>
      <c r="V11" s="255">
        <f>IF(P11-Q11&gt;2,0.9,IF(P11-Q11&gt;1,0.75,IF(P11-Q11&gt;0,0.5,0.15)))</f>
        <v>0.15</v>
      </c>
      <c r="W11" s="253">
        <f>IF(Q11-P11&gt;2,0.9,IF(Q11-P11&gt;1,0.75,IF(Q11-P11&gt;0,0.5,0.15)))</f>
        <v>0.15</v>
      </c>
      <c r="X11" s="288">
        <f t="shared" si="11"/>
        <v>2.2622950819672128E-2</v>
      </c>
      <c r="Y11" s="289">
        <f t="shared" si="11"/>
        <v>1.187704918032787E-2</v>
      </c>
      <c r="Z11" s="236"/>
      <c r="AA11" s="281">
        <f t="shared" si="6"/>
        <v>2.2500000000000003E-3</v>
      </c>
      <c r="AB11" s="282">
        <f t="shared" si="7"/>
        <v>0.99775000000000003</v>
      </c>
      <c r="AC11" s="282">
        <f>AA11*PRODUCT(AB3:AB10)*PRODUCT(AB12:AB17)</f>
        <v>1.7674626090437167E-3</v>
      </c>
      <c r="AD11" s="282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2.3709491803856848E-4</v>
      </c>
      <c r="AE11" s="220"/>
      <c r="AF11" s="234"/>
      <c r="AG11" s="283">
        <f t="shared" si="12"/>
        <v>1.187704918032787E-2</v>
      </c>
      <c r="AH11" s="284">
        <f t="shared" si="8"/>
        <v>0.98812295081967216</v>
      </c>
      <c r="AI11" s="284">
        <f>AG11*PRODUCT(AH3:AH10)*PRODUCT(AH12:AH17)</f>
        <v>7.3611319406484115E-3</v>
      </c>
      <c r="AJ11" s="284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6.5871129056906206E-4</v>
      </c>
      <c r="AK11" s="220"/>
      <c r="AL11" s="237"/>
      <c r="AM11" s="220"/>
      <c r="AN11" s="225"/>
      <c r="AO11" s="239"/>
      <c r="AP11" s="220"/>
      <c r="AQ11" s="220"/>
      <c r="AR11" s="220"/>
      <c r="AS11" s="220"/>
      <c r="AT11" s="220"/>
      <c r="AU11" s="220"/>
      <c r="AV11" s="220"/>
      <c r="AW11" s="220"/>
      <c r="AX11" s="220"/>
      <c r="AY11" s="220"/>
      <c r="AZ11" s="220"/>
      <c r="BI11" s="31">
        <v>0</v>
      </c>
      <c r="BJ11" s="31">
        <v>8</v>
      </c>
      <c r="BK11" s="107">
        <f t="shared" si="9"/>
        <v>4.4562435212699758E-4</v>
      </c>
      <c r="BM11" s="31">
        <f>BI50+1</f>
        <v>7</v>
      </c>
      <c r="BN11" s="31">
        <v>7</v>
      </c>
      <c r="BO11" s="107">
        <f>$H$32*H46</f>
        <v>2.1451456027751265E-5</v>
      </c>
      <c r="BQ11" s="31">
        <f>BQ8+1</f>
        <v>4</v>
      </c>
      <c r="BR11" s="31">
        <v>1</v>
      </c>
      <c r="BS11" s="107">
        <f>$H$29*H40</f>
        <v>1.2495099508400234E-2</v>
      </c>
    </row>
    <row r="12" spans="1:71" ht="15.75" x14ac:dyDescent="0.25">
      <c r="A12" s="6" t="s">
        <v>57</v>
      </c>
      <c r="B12" s="269">
        <v>12.25</v>
      </c>
      <c r="C12" s="270">
        <v>12.25</v>
      </c>
      <c r="E12" s="247"/>
      <c r="F12" s="247"/>
      <c r="G12" s="247"/>
      <c r="H12" s="247"/>
      <c r="I12" s="247"/>
      <c r="J12" s="245"/>
      <c r="K12" s="246">
        <v>25</v>
      </c>
      <c r="L12" s="246">
        <v>5</v>
      </c>
      <c r="M12" s="259">
        <v>2.5000000000000001E-2</v>
      </c>
      <c r="N12" s="259">
        <f t="shared" si="10"/>
        <v>2.5000000000000001E-2</v>
      </c>
      <c r="O12" s="246" t="s">
        <v>42</v>
      </c>
      <c r="P12" s="249">
        <f>COUNTIF(F6:H6,"IMP")+COUNTIF(E5,"IMP")+COUNTIF(I5,"IMP")</f>
        <v>1</v>
      </c>
      <c r="Q12" s="251">
        <f>COUNTIF(F11:H11,"IMP")+COUNTIF(E10,"IMP")+COUNTIF(I10,"IMP")</f>
        <v>0</v>
      </c>
      <c r="R12" s="258">
        <f t="shared" si="2"/>
        <v>2.5000000000000001E-2</v>
      </c>
      <c r="S12" s="258">
        <f t="shared" si="3"/>
        <v>2.5000000000000001E-2</v>
      </c>
      <c r="T12" s="263">
        <f>IF(S12=0,0,IF(Q12=0,S12*P12/L12,S12*P12/(L12*2)))</f>
        <v>5.0000000000000001E-3</v>
      </c>
      <c r="U12" s="265">
        <f>IF(S12=0,0,IF(P12=0,S12*Q12/L12,S12*Q12/(L12*2)))</f>
        <v>0</v>
      </c>
      <c r="V12" s="255">
        <f>$G$18</f>
        <v>0.45</v>
      </c>
      <c r="W12" s="253">
        <f>$H$18</f>
        <v>0.45</v>
      </c>
      <c r="X12" s="288">
        <f t="shared" si="11"/>
        <v>2.2500000000000003E-3</v>
      </c>
      <c r="Y12" s="289">
        <f t="shared" si="11"/>
        <v>0</v>
      </c>
      <c r="Z12" s="236"/>
      <c r="AA12" s="281">
        <f t="shared" si="6"/>
        <v>5.1299999999999991E-2</v>
      </c>
      <c r="AB12" s="282">
        <f t="shared" si="7"/>
        <v>0.94869999999999999</v>
      </c>
      <c r="AC12" s="282">
        <f>AA12*PRODUCT(AB3:AB11)*PRODUCT(AB13:AB17)</f>
        <v>4.2381655585909971E-2</v>
      </c>
      <c r="AD12" s="282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3.3935092552195645E-3</v>
      </c>
      <c r="AE12" s="220"/>
      <c r="AF12" s="234"/>
      <c r="AG12" s="283">
        <f t="shared" si="12"/>
        <v>0</v>
      </c>
      <c r="AH12" s="284">
        <f t="shared" si="8"/>
        <v>1</v>
      </c>
      <c r="AI12" s="284">
        <f>AG12*PRODUCT(AH3:AH11)*PRODUCT(AH13:AH17)</f>
        <v>0</v>
      </c>
      <c r="AJ12" s="284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0</v>
      </c>
      <c r="AK12" s="220"/>
      <c r="AL12" s="237"/>
      <c r="AM12" s="220"/>
      <c r="AN12" s="225"/>
      <c r="AO12" s="239"/>
      <c r="AP12" s="220"/>
      <c r="AQ12" s="220"/>
      <c r="AR12" s="220"/>
      <c r="AS12" s="220"/>
      <c r="AT12" s="220"/>
      <c r="AU12" s="220"/>
      <c r="AV12" s="220"/>
      <c r="AW12" s="220"/>
      <c r="AX12" s="220"/>
      <c r="AY12" s="220"/>
      <c r="AZ12" s="220"/>
      <c r="BI12" s="31">
        <v>0</v>
      </c>
      <c r="BJ12" s="31">
        <v>9</v>
      </c>
      <c r="BK12" s="107">
        <f t="shared" si="9"/>
        <v>9.7418578694731506E-5</v>
      </c>
      <c r="BM12" s="31">
        <f>BI54+1</f>
        <v>8</v>
      </c>
      <c r="BN12" s="31">
        <v>8</v>
      </c>
      <c r="BO12" s="107">
        <f>$H$33*H47</f>
        <v>1.1122116794386979E-6</v>
      </c>
      <c r="BQ12" s="31">
        <f>BQ9+1</f>
        <v>4</v>
      </c>
      <c r="BR12" s="31">
        <v>2</v>
      </c>
      <c r="BS12" s="107">
        <f>$H$29*H41</f>
        <v>1.9008635387042849E-2</v>
      </c>
    </row>
    <row r="13" spans="1:71" ht="15.75" x14ac:dyDescent="0.25">
      <c r="A13" s="7" t="s">
        <v>60</v>
      </c>
      <c r="B13" s="269">
        <v>6.25</v>
      </c>
      <c r="C13" s="270">
        <v>12.5</v>
      </c>
      <c r="E13" s="247"/>
      <c r="F13" s="247" t="s">
        <v>164</v>
      </c>
      <c r="G13" s="254">
        <f>B22</f>
        <v>0.65573770491803274</v>
      </c>
      <c r="H13" s="247"/>
      <c r="I13" s="247"/>
      <c r="J13" s="245"/>
      <c r="K13" s="246">
        <v>37</v>
      </c>
      <c r="L13" s="246">
        <v>2</v>
      </c>
      <c r="M13" s="259">
        <v>0.18</v>
      </c>
      <c r="N13" s="259">
        <f t="shared" si="10"/>
        <v>0.18</v>
      </c>
      <c r="O13" s="246" t="s">
        <v>187</v>
      </c>
      <c r="P13" s="249">
        <f>COUNTIF(E5:I6,"CAB")</f>
        <v>1</v>
      </c>
      <c r="Q13" s="251">
        <f>COUNTIF(E10:I11,"CAB")</f>
        <v>1</v>
      </c>
      <c r="R13" s="258">
        <f t="shared" si="2"/>
        <v>0.18</v>
      </c>
      <c r="S13" s="258">
        <f t="shared" si="3"/>
        <v>0.18</v>
      </c>
      <c r="T13" s="263">
        <f>IF((Q13+P13)=0,0,S13*P13/(Q13+P13))</f>
        <v>0.09</v>
      </c>
      <c r="U13" s="265">
        <f>IF(P13+Q13=0,0,S13*Q13/(Q13+P13))</f>
        <v>0.09</v>
      </c>
      <c r="V13" s="255">
        <f>$G$17</f>
        <v>0.56999999999999995</v>
      </c>
      <c r="W13" s="253">
        <f>$H$17</f>
        <v>0.56999999999999995</v>
      </c>
      <c r="X13" s="288">
        <f t="shared" si="11"/>
        <v>5.1299999999999991E-2</v>
      </c>
      <c r="Y13" s="289">
        <f t="shared" si="11"/>
        <v>5.1299999999999991E-2</v>
      </c>
      <c r="Z13" s="236"/>
      <c r="AA13" s="281">
        <f t="shared" si="6"/>
        <v>3.4199999999999994E-2</v>
      </c>
      <c r="AB13" s="282">
        <f t="shared" si="7"/>
        <v>0.96579999999999999</v>
      </c>
      <c r="AC13" s="282">
        <f>AA13*PRODUCT(AB3:AB12)*PRODUCT(AB14:AB17)</f>
        <v>2.7754177299891478E-2</v>
      </c>
      <c r="AD13" s="282">
        <f>AA13*AA14*PRODUCT(AB3:AB12)*PRODUCT(AB15:AB17)+AA13*AA15*PRODUCT(AB3:AB12)*AB14*PRODUCT(AB16:AB17)+AA13*AA16*PRODUCT(AB3:AB12)*AB14*AB15*AB17+AA13*AA17*PRODUCT(AB3:AB12)*AB14*AB15*AB16</f>
        <v>1.2394787981931162E-3</v>
      </c>
      <c r="AE13" s="220"/>
      <c r="AF13" s="234"/>
      <c r="AG13" s="283">
        <f t="shared" si="12"/>
        <v>5.1299999999999991E-2</v>
      </c>
      <c r="AH13" s="284">
        <f t="shared" si="8"/>
        <v>0.94869999999999999</v>
      </c>
      <c r="AI13" s="284">
        <f>AG13*PRODUCT(AH3:AH12)*PRODUCT(AH14:AH17)</f>
        <v>3.3115818864844188E-2</v>
      </c>
      <c r="AJ13" s="284">
        <f>AG13*AG14*PRODUCT(AH3:AH12)*PRODUCT(AH15:AH17)+AG13*AG15*PRODUCT(AH3:AH12)*AH14*PRODUCT(AH16:AH17)+AG13*AG16*PRODUCT(AH3:AH12)*AH14*AH15*AH17+AG13*AG17*PRODUCT(AH3:AH12)*AH14*AH15*AH16</f>
        <v>1.1726661888358575E-3</v>
      </c>
      <c r="AK13" s="220"/>
      <c r="AL13" s="237"/>
      <c r="AM13" s="220"/>
      <c r="AN13" s="225"/>
      <c r="AO13" s="239"/>
      <c r="AP13" s="220"/>
      <c r="AQ13" s="220"/>
      <c r="AR13" s="220"/>
      <c r="AS13" s="220"/>
      <c r="AT13" s="220"/>
      <c r="AU13" s="220"/>
      <c r="AV13" s="220"/>
      <c r="AW13" s="220"/>
      <c r="AX13" s="220"/>
      <c r="AY13" s="220"/>
      <c r="AZ13" s="220"/>
      <c r="BI13" s="31">
        <v>0</v>
      </c>
      <c r="BJ13" s="31">
        <v>10</v>
      </c>
      <c r="BK13" s="107">
        <f t="shared" si="9"/>
        <v>1.6637429904709891E-5</v>
      </c>
      <c r="BM13" s="31">
        <f>BI57+1</f>
        <v>9</v>
      </c>
      <c r="BN13" s="31">
        <v>9</v>
      </c>
      <c r="BO13" s="107">
        <f>$H$34*H48</f>
        <v>3.4581507345751639E-8</v>
      </c>
      <c r="BQ13" s="31">
        <f>BM7+1</f>
        <v>4</v>
      </c>
      <c r="BR13" s="31">
        <v>3</v>
      </c>
      <c r="BS13" s="107">
        <f>$H$29*H42</f>
        <v>1.7984024353964224E-2</v>
      </c>
    </row>
    <row r="14" spans="1:71" ht="15.75" x14ac:dyDescent="0.25">
      <c r="A14" s="7" t="s">
        <v>63</v>
      </c>
      <c r="B14" s="269">
        <v>6.5</v>
      </c>
      <c r="C14" s="270">
        <v>10.5</v>
      </c>
      <c r="E14" s="247"/>
      <c r="F14" s="247" t="s">
        <v>165</v>
      </c>
      <c r="G14" s="252">
        <f>C22</f>
        <v>0.34426229508196726</v>
      </c>
      <c r="H14" s="247"/>
      <c r="I14" s="247"/>
      <c r="J14" s="245"/>
      <c r="K14" s="246">
        <v>38</v>
      </c>
      <c r="L14" s="246">
        <v>2</v>
      </c>
      <c r="M14" s="259">
        <v>0.12</v>
      </c>
      <c r="N14" s="259">
        <f t="shared" si="10"/>
        <v>0.12</v>
      </c>
      <c r="O14" s="246" t="s">
        <v>188</v>
      </c>
      <c r="P14" s="249">
        <f>COUNTA(E5,I5)</f>
        <v>2</v>
      </c>
      <c r="Q14" s="251">
        <f>COUNTA(E10,I10)</f>
        <v>2</v>
      </c>
      <c r="R14" s="258">
        <f t="shared" si="2"/>
        <v>0.12</v>
      </c>
      <c r="S14" s="258">
        <f t="shared" si="3"/>
        <v>0.12</v>
      </c>
      <c r="T14" s="263">
        <f>S14*P14/(Q14+P14)</f>
        <v>0.06</v>
      </c>
      <c r="U14" s="265">
        <f>S14*Q14/(Q14+P14)</f>
        <v>0.06</v>
      </c>
      <c r="V14" s="255">
        <f>$G$17</f>
        <v>0.56999999999999995</v>
      </c>
      <c r="W14" s="253">
        <f>$H$17</f>
        <v>0.56999999999999995</v>
      </c>
      <c r="X14" s="288">
        <f t="shared" si="11"/>
        <v>3.4199999999999994E-2</v>
      </c>
      <c r="Y14" s="289">
        <f t="shared" si="11"/>
        <v>3.4199999999999994E-2</v>
      </c>
      <c r="Z14" s="236"/>
      <c r="AA14" s="281">
        <f t="shared" si="6"/>
        <v>4.2749999999999996E-2</v>
      </c>
      <c r="AB14" s="282">
        <f t="shared" si="7"/>
        <v>0.95725000000000005</v>
      </c>
      <c r="AC14" s="282">
        <f>AA14*PRODUCT(AB3:AB13)*PRODUCT(AB15:AB17)</f>
        <v>3.5002591324412628E-2</v>
      </c>
      <c r="AD14" s="282">
        <f>AA14*AA15*PRODUCT(AB3:AB13)*PRODUCT(AB16:AB17)+AA14*AA16*PRODUCT(AB3:AB13)*AB15*AB17+AA14*AA17*PRODUCT(AB3:AB13)*AB15*AB16</f>
        <v>0</v>
      </c>
      <c r="AE14" s="220"/>
      <c r="AF14" s="234"/>
      <c r="AG14" s="283">
        <f t="shared" si="12"/>
        <v>3.4199999999999994E-2</v>
      </c>
      <c r="AH14" s="284">
        <f t="shared" si="8"/>
        <v>0.96579999999999999</v>
      </c>
      <c r="AI14" s="284">
        <f>AG14*PRODUCT(AH3:AH13)*PRODUCT(AH15:AH17)</f>
        <v>2.168632384695084E-2</v>
      </c>
      <c r="AJ14" s="284">
        <f>AG14*AG15*PRODUCT(AH3:AH13)*PRODUCT(AH16:AH17)+AG14*AG16*PRODUCT(AH3:AH13)*AH15*AH17+AG14*AG17*PRODUCT(AH3:AH13)*AH15*AH16</f>
        <v>0</v>
      </c>
      <c r="AK14" s="220"/>
      <c r="AL14" s="237"/>
      <c r="AM14" s="220"/>
      <c r="AN14" s="225"/>
      <c r="AO14" s="239"/>
      <c r="AP14" s="220"/>
      <c r="AQ14" s="220"/>
      <c r="AR14" s="220"/>
      <c r="AS14" s="220"/>
      <c r="AT14" s="220"/>
      <c r="AU14" s="220"/>
      <c r="AV14" s="220"/>
      <c r="AW14" s="220"/>
      <c r="AX14" s="220"/>
      <c r="AY14" s="220"/>
      <c r="AZ14" s="220"/>
      <c r="BI14" s="31">
        <v>1</v>
      </c>
      <c r="BJ14" s="31">
        <v>2</v>
      </c>
      <c r="BK14" s="107">
        <f t="shared" ref="BK14:BK22" si="13">$H$26*H41</f>
        <v>7.3884020204955242E-2</v>
      </c>
      <c r="BM14" s="31">
        <f>BQ39+1</f>
        <v>10</v>
      </c>
      <c r="BN14" s="31">
        <v>10</v>
      </c>
      <c r="BO14" s="107">
        <f>$H$35*H49</f>
        <v>6.0216684016038741E-10</v>
      </c>
      <c r="BQ14" s="31">
        <f>BQ10+1</f>
        <v>5</v>
      </c>
      <c r="BR14" s="31">
        <v>0</v>
      </c>
      <c r="BS14" s="107">
        <f>$H$30*H39</f>
        <v>1.3226356345395931E-3</v>
      </c>
    </row>
    <row r="15" spans="1:71" ht="15.75" x14ac:dyDescent="0.25">
      <c r="A15" s="184" t="s">
        <v>67</v>
      </c>
      <c r="B15" s="271">
        <v>5</v>
      </c>
      <c r="C15" s="272">
        <v>6</v>
      </c>
      <c r="E15" s="247"/>
      <c r="F15" s="247"/>
      <c r="G15" s="247"/>
      <c r="H15" s="247"/>
      <c r="I15" s="247"/>
      <c r="J15" s="245"/>
      <c r="K15" s="246">
        <v>39</v>
      </c>
      <c r="L15" s="246">
        <v>8</v>
      </c>
      <c r="M15" s="259">
        <v>0.6</v>
      </c>
      <c r="N15" s="259">
        <f t="shared" si="10"/>
        <v>0.6</v>
      </c>
      <c r="O15" s="246" t="s">
        <v>189</v>
      </c>
      <c r="P15" s="249">
        <f>IF(COUNTIF(E9:I9,"CAB")+COUNTIF(F10:H10,"CAB") &gt; 0, COUNTIF(E5:I6,"TEC"),0)</f>
        <v>1</v>
      </c>
      <c r="Q15" s="251">
        <f>IF(COUNTIF(E4:I4,"CAB")+COUNTIF(F5:H5,"CAB") &gt; 0, COUNTIF(E10:I11,"TEC"),0)</f>
        <v>0</v>
      </c>
      <c r="R15" s="258">
        <f t="shared" si="2"/>
        <v>0.6</v>
      </c>
      <c r="S15" s="258">
        <f t="shared" si="3"/>
        <v>0.6</v>
      </c>
      <c r="T15" s="263">
        <f>IF(COUNTIF(F10:H10,"CAB") + COUNTIF(E9:I9,"CAB") =0,0, IF(S15=0,0,IF(Q15=0,S15*P15/L15,S15*P15/(L15*2))))</f>
        <v>7.4999999999999997E-2</v>
      </c>
      <c r="U15" s="265">
        <f>IF( COUNTIF(F5:H5,"CAB") + COUNTIF(E4:I4,"CAB") =0,0,IF(S15=0,0,IF(P15=0,S15*Q15/L15,S15*Q15/(L15*2))))</f>
        <v>0</v>
      </c>
      <c r="V15" s="255">
        <f>$G$17</f>
        <v>0.56999999999999995</v>
      </c>
      <c r="W15" s="253">
        <f>$H$17</f>
        <v>0.56999999999999995</v>
      </c>
      <c r="X15" s="288">
        <f t="shared" si="11"/>
        <v>4.2749999999999996E-2</v>
      </c>
      <c r="Y15" s="289">
        <f t="shared" si="11"/>
        <v>0</v>
      </c>
      <c r="Z15" s="236"/>
      <c r="AA15" s="281">
        <f>X16</f>
        <v>0</v>
      </c>
      <c r="AB15" s="282">
        <f t="shared" si="7"/>
        <v>1</v>
      </c>
      <c r="AC15" s="282">
        <f>AA15*PRODUCT(AB3:AB14)*PRODUCT(AB16:AB17)</f>
        <v>0</v>
      </c>
      <c r="AD15" s="282">
        <f>AA15*AA16*PRODUCT(AB3:AB14)*AB17+AA15*AA17*PRODUCT(AB3:AB14)*AB16</f>
        <v>0</v>
      </c>
      <c r="AE15" s="220"/>
      <c r="AF15" s="234"/>
      <c r="AG15" s="283">
        <f t="shared" si="12"/>
        <v>0</v>
      </c>
      <c r="AH15" s="284">
        <f t="shared" si="8"/>
        <v>1</v>
      </c>
      <c r="AI15" s="284">
        <f>AG15*PRODUCT(AH3:AH14)*PRODUCT(AH16:AH17)</f>
        <v>0</v>
      </c>
      <c r="AJ15" s="284">
        <f>AG15*AG16*PRODUCT(AH3:AH14)*AH17+AG15*AG17*PRODUCT(AH3:AH14)*AH16</f>
        <v>0</v>
      </c>
      <c r="AK15" s="220"/>
      <c r="AL15" s="237"/>
      <c r="AM15" s="220"/>
      <c r="AN15" s="225"/>
      <c r="AO15" s="239"/>
      <c r="AP15" s="220"/>
      <c r="AQ15" s="220"/>
      <c r="AR15" s="220"/>
      <c r="AS15" s="220"/>
      <c r="AT15" s="220"/>
      <c r="AU15" s="220"/>
      <c r="AV15" s="220"/>
      <c r="AW15" s="220"/>
      <c r="AX15" s="220"/>
      <c r="AY15" s="220"/>
      <c r="AZ15" s="220"/>
      <c r="BI15" s="31">
        <v>1</v>
      </c>
      <c r="BJ15" s="31">
        <v>3</v>
      </c>
      <c r="BK15" s="107">
        <f t="shared" si="13"/>
        <v>6.9901494330330743E-2</v>
      </c>
      <c r="BQ15" s="31">
        <f>BQ11+1</f>
        <v>5</v>
      </c>
      <c r="BR15" s="31">
        <v>1</v>
      </c>
      <c r="BS15" s="107">
        <f>$H$30*H40</f>
        <v>4.3636356077915274E-3</v>
      </c>
    </row>
    <row r="16" spans="1:71" x14ac:dyDescent="0.25">
      <c r="A16" s="184" t="s">
        <v>70</v>
      </c>
      <c r="B16" s="52">
        <v>12</v>
      </c>
      <c r="C16" s="54">
        <v>12</v>
      </c>
      <c r="E16" s="247"/>
      <c r="F16" s="247" t="s">
        <v>8</v>
      </c>
      <c r="G16" s="277">
        <v>0.7</v>
      </c>
      <c r="H16" s="278">
        <v>0.7</v>
      </c>
      <c r="I16" s="247"/>
      <c r="J16" s="245"/>
      <c r="K16" s="245"/>
      <c r="L16" s="245"/>
      <c r="M16" s="245"/>
      <c r="N16" s="245"/>
      <c r="O16" s="245"/>
      <c r="P16" s="247"/>
      <c r="Q16" s="247"/>
      <c r="V16" s="158"/>
      <c r="W16" s="158"/>
      <c r="X16" s="158"/>
      <c r="Y16" s="158"/>
      <c r="Z16" s="236"/>
      <c r="AA16" s="236"/>
      <c r="AB16" s="236"/>
      <c r="AC16" s="236"/>
      <c r="AD16" s="236"/>
      <c r="AE16" s="236"/>
      <c r="AF16" s="236"/>
      <c r="AG16" s="236"/>
      <c r="AH16" s="236"/>
      <c r="AI16" s="236"/>
      <c r="AJ16" s="236"/>
      <c r="AK16" s="236"/>
      <c r="AL16" s="237"/>
      <c r="AM16" s="220"/>
      <c r="AN16" s="225"/>
      <c r="AO16" s="239"/>
      <c r="AP16" s="220"/>
      <c r="AQ16" s="220"/>
      <c r="AR16" s="220"/>
      <c r="AS16" s="220"/>
      <c r="AT16" s="220"/>
      <c r="AU16" s="220"/>
      <c r="AV16" s="220"/>
      <c r="AW16" s="220"/>
      <c r="AX16" s="220"/>
      <c r="AY16" s="220"/>
      <c r="AZ16" s="220"/>
      <c r="BI16" s="31">
        <v>1</v>
      </c>
      <c r="BJ16" s="31">
        <v>4</v>
      </c>
      <c r="BK16" s="107">
        <f t="shared" si="13"/>
        <v>4.7013870736700228E-2</v>
      </c>
      <c r="BQ16" s="31">
        <f>BQ12+1</f>
        <v>5</v>
      </c>
      <c r="BR16" s="31">
        <v>2</v>
      </c>
      <c r="BS16" s="107">
        <f>$H$30*H41</f>
        <v>6.6383431500215452E-3</v>
      </c>
    </row>
    <row r="17" spans="1:71" x14ac:dyDescent="0.25">
      <c r="A17" s="183" t="s">
        <v>74</v>
      </c>
      <c r="B17" s="273" t="s">
        <v>75</v>
      </c>
      <c r="C17" s="274" t="s">
        <v>145</v>
      </c>
      <c r="E17" s="247"/>
      <c r="F17" s="247" t="s">
        <v>166</v>
      </c>
      <c r="G17" s="277">
        <v>0.56999999999999995</v>
      </c>
      <c r="H17" s="278">
        <v>0.56999999999999995</v>
      </c>
      <c r="I17" s="247"/>
      <c r="J17" s="245"/>
      <c r="K17" s="246"/>
      <c r="L17" s="246"/>
      <c r="M17" s="246"/>
      <c r="N17" s="246"/>
      <c r="O17" s="246"/>
      <c r="P17" s="246"/>
      <c r="Q17" s="247"/>
      <c r="V17" s="158"/>
      <c r="W17" s="158"/>
      <c r="X17" s="158"/>
      <c r="Y17" s="158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6"/>
      <c r="AL17" s="237"/>
      <c r="AM17" s="220"/>
      <c r="AN17" s="225"/>
      <c r="AO17" s="239"/>
      <c r="AP17" s="220"/>
      <c r="AQ17" s="220"/>
      <c r="AR17" s="220"/>
      <c r="AS17" s="220"/>
      <c r="AT17" s="220"/>
      <c r="AU17" s="220"/>
      <c r="AV17" s="220"/>
      <c r="AW17" s="220"/>
      <c r="AX17" s="220"/>
      <c r="AY17" s="220"/>
      <c r="AZ17" s="220"/>
      <c r="BI17" s="31">
        <v>1</v>
      </c>
      <c r="BJ17" s="31">
        <v>5</v>
      </c>
      <c r="BK17" s="107">
        <f t="shared" si="13"/>
        <v>2.4328253031829259E-2</v>
      </c>
      <c r="BQ17" s="31">
        <f>BQ13+1</f>
        <v>5</v>
      </c>
      <c r="BR17" s="31">
        <v>3</v>
      </c>
      <c r="BS17" s="107">
        <f>$H$30*H42</f>
        <v>6.2805205344375597E-3</v>
      </c>
    </row>
    <row r="18" spans="1:71" x14ac:dyDescent="0.25">
      <c r="A18" s="183" t="s">
        <v>78</v>
      </c>
      <c r="B18" s="273">
        <v>20</v>
      </c>
      <c r="C18" s="274">
        <v>20</v>
      </c>
      <c r="E18" s="247"/>
      <c r="F18" s="246" t="s">
        <v>3</v>
      </c>
      <c r="G18" s="277">
        <v>0.45</v>
      </c>
      <c r="H18" s="278">
        <v>0.45</v>
      </c>
      <c r="I18" s="247"/>
      <c r="J18" s="245"/>
      <c r="K18" s="246"/>
      <c r="L18" s="246"/>
      <c r="M18" s="246"/>
      <c r="N18" s="246"/>
      <c r="O18" s="246"/>
      <c r="P18" s="260"/>
      <c r="Q18" s="247"/>
      <c r="V18" s="158"/>
      <c r="W18" s="158"/>
      <c r="X18" s="158"/>
      <c r="Y18" s="158"/>
      <c r="Z18" s="236"/>
      <c r="AB18" s="175">
        <f>PRODUCT(AB3:AB17)</f>
        <v>0.78377147474371911</v>
      </c>
      <c r="AC18" s="176">
        <f>SUM(AC3:AC17)</f>
        <v>0.17463036004980748</v>
      </c>
      <c r="AD18" s="176">
        <f>SUM(AD3:AD17)</f>
        <v>1.5884537796674376E-2</v>
      </c>
      <c r="AE18" s="176">
        <f>1-AB18-AC18-AD18</f>
        <v>2.5713627409799038E-2</v>
      </c>
      <c r="AF18" s="234"/>
      <c r="AG18" s="158"/>
      <c r="AH18" s="179">
        <f>PRODUCT(AH3:AH17)</f>
        <v>0.6124167126136002</v>
      </c>
      <c r="AI18" s="176">
        <f>SUM(AI3:AI17)</f>
        <v>0.29031194228150264</v>
      </c>
      <c r="AJ18" s="176">
        <f>SUM(AJ3:AJ17)</f>
        <v>5.0324029286195421E-2</v>
      </c>
      <c r="AK18" s="176">
        <f>1-AH18-AI18-AJ18</f>
        <v>4.6947315818701735E-2</v>
      </c>
      <c r="AL18" s="237"/>
      <c r="AM18" s="220"/>
      <c r="AN18" s="225"/>
      <c r="AO18" s="239"/>
      <c r="AP18" s="220"/>
      <c r="AQ18" s="220"/>
      <c r="AR18" s="220"/>
      <c r="AS18" s="220"/>
      <c r="AT18" s="220"/>
      <c r="AU18" s="220"/>
      <c r="AV18" s="220"/>
      <c r="AW18" s="220"/>
      <c r="AX18" s="220"/>
      <c r="AY18" s="220"/>
      <c r="AZ18" s="220"/>
      <c r="BI18" s="31">
        <v>1</v>
      </c>
      <c r="BJ18" s="31">
        <v>6</v>
      </c>
      <c r="BK18" s="107">
        <f t="shared" si="13"/>
        <v>1.0121186298779198E-2</v>
      </c>
      <c r="BQ18" s="31">
        <f>BM8+1</f>
        <v>5</v>
      </c>
      <c r="BR18" s="31">
        <v>4</v>
      </c>
      <c r="BS18" s="107">
        <f>$H$30*H43</f>
        <v>4.2241097045777817E-3</v>
      </c>
    </row>
    <row r="19" spans="1:71" ht="9" customHeight="1" x14ac:dyDescent="0.25">
      <c r="E19" s="220"/>
      <c r="F19" s="220"/>
      <c r="G19" s="220"/>
      <c r="H19" s="221"/>
      <c r="I19" s="220"/>
      <c r="J19" s="220"/>
      <c r="K19" s="220"/>
      <c r="L19" s="221"/>
      <c r="M19" s="221"/>
      <c r="N19" s="220"/>
      <c r="O19" s="220"/>
      <c r="P19" s="230"/>
      <c r="Q19" s="231"/>
      <c r="R19" s="232"/>
      <c r="S19" s="233"/>
      <c r="T19" s="234"/>
      <c r="U19" s="234"/>
      <c r="V19" s="234"/>
      <c r="W19" s="240"/>
      <c r="X19" s="220"/>
      <c r="Y19" s="235"/>
      <c r="Z19" s="236"/>
      <c r="AA19" s="236"/>
      <c r="AB19" s="236"/>
      <c r="AC19" s="233"/>
      <c r="AD19" s="234"/>
      <c r="AE19" s="234"/>
      <c r="AF19" s="234"/>
      <c r="AG19" s="240"/>
      <c r="AH19" s="237"/>
      <c r="AI19" s="220"/>
      <c r="AJ19" s="238"/>
      <c r="AK19" s="220"/>
      <c r="AL19" s="237"/>
      <c r="AM19" s="220"/>
      <c r="AN19" s="225"/>
      <c r="AO19" s="239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  <c r="AZ19" s="220"/>
      <c r="BI19" s="31">
        <v>1</v>
      </c>
      <c r="BJ19" s="31">
        <v>7</v>
      </c>
      <c r="BK19" s="107">
        <f t="shared" si="13"/>
        <v>3.4321964263962449E-3</v>
      </c>
      <c r="BQ19" s="31">
        <f>BQ15+1</f>
        <v>6</v>
      </c>
      <c r="BR19" s="31">
        <v>1</v>
      </c>
      <c r="BS19" s="107">
        <f>$H$31*H40</f>
        <v>1.2685172838318036E-3</v>
      </c>
    </row>
    <row r="20" spans="1:71" x14ac:dyDescent="0.25">
      <c r="A20" s="185" t="s">
        <v>85</v>
      </c>
      <c r="B20" s="31">
        <f>IF(B17="Pres",IF(C17="Pres",2,1),IF(C17="Pres",1,0))</f>
        <v>0</v>
      </c>
      <c r="D20" s="205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41"/>
      <c r="Q20" s="241"/>
      <c r="R20" s="241"/>
      <c r="S20" s="220"/>
      <c r="T20" s="242"/>
      <c r="U20" s="243"/>
      <c r="V20" s="243"/>
      <c r="W20" s="243"/>
      <c r="X20" s="220"/>
      <c r="Y20" s="241"/>
      <c r="Z20" s="241"/>
      <c r="AA20" s="241"/>
      <c r="AB20" s="241"/>
      <c r="AC20" s="221"/>
      <c r="AD20" s="244"/>
      <c r="AE20" s="243"/>
      <c r="AF20" s="243"/>
      <c r="AG20" s="243"/>
      <c r="AH20" s="220"/>
      <c r="AI20" s="220"/>
      <c r="AJ20" s="220"/>
      <c r="AK20" s="220"/>
      <c r="AL20" s="220"/>
      <c r="AM20" s="220"/>
      <c r="AN20" s="220"/>
      <c r="AO20" s="220"/>
      <c r="AP20" s="220"/>
      <c r="AQ20" s="220"/>
      <c r="AR20" s="220"/>
      <c r="AS20" s="220"/>
      <c r="AT20" s="220"/>
      <c r="AU20" s="220"/>
      <c r="AV20" s="220"/>
      <c r="AW20" s="220"/>
      <c r="AX20" s="220"/>
      <c r="AY20" s="220"/>
      <c r="AZ20" s="220"/>
      <c r="BI20" s="31">
        <v>1</v>
      </c>
      <c r="BJ20" s="31">
        <v>8</v>
      </c>
      <c r="BK20" s="107">
        <f t="shared" si="13"/>
        <v>9.4201641563577531E-4</v>
      </c>
      <c r="BQ20" s="31">
        <f>BQ16+1</f>
        <v>6</v>
      </c>
      <c r="BR20" s="31">
        <v>2</v>
      </c>
      <c r="BS20" s="107">
        <f>$H$31*H41</f>
        <v>1.9297791517634657E-3</v>
      </c>
    </row>
    <row r="21" spans="1:71" x14ac:dyDescent="0.25">
      <c r="A21" s="185" t="s">
        <v>86</v>
      </c>
      <c r="B21" s="186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3"/>
        <v>2.0593555958133401E-4</v>
      </c>
      <c r="BQ21" s="31">
        <f>BQ17+1</f>
        <v>6</v>
      </c>
      <c r="BR21" s="31">
        <v>3</v>
      </c>
      <c r="BS21" s="107">
        <f>$H$31*H42</f>
        <v>1.8257594275674954E-3</v>
      </c>
    </row>
    <row r="22" spans="1:71" x14ac:dyDescent="0.25">
      <c r="A22" s="26" t="s">
        <v>87</v>
      </c>
      <c r="B22" s="206">
        <f>(B6)/((B6)+(C6))</f>
        <v>0.65573770491803274</v>
      </c>
      <c r="C22" s="207">
        <f>1-B22</f>
        <v>0.34426229508196726</v>
      </c>
      <c r="V22" s="208">
        <f>SUM(V25:V35)</f>
        <v>1</v>
      </c>
      <c r="AS22" s="82">
        <f>Y23+AA23+AC23+AE23+AG23+AI23+AK23+AM23+AO23+AQ23+AS23</f>
        <v>0.99999999999999978</v>
      </c>
      <c r="BI22" s="31">
        <v>1</v>
      </c>
      <c r="BJ22" s="31">
        <v>10</v>
      </c>
      <c r="BK22" s="107">
        <f t="shared" si="13"/>
        <v>3.5170277408357899E-5</v>
      </c>
      <c r="BQ22" s="31">
        <f>BQ18+1</f>
        <v>6</v>
      </c>
      <c r="BR22" s="31">
        <v>4</v>
      </c>
      <c r="BS22" s="107">
        <f>$H$31*H43</f>
        <v>1.2279568347757796E-3</v>
      </c>
    </row>
    <row r="23" spans="1:71" ht="15.75" thickBot="1" x14ac:dyDescent="0.3">
      <c r="A23" s="40" t="s">
        <v>88</v>
      </c>
      <c r="B23" s="56">
        <f>((B22^2.8)/((B22^2.8)+(C22^2.8)))*B21</f>
        <v>4.2932969335186302</v>
      </c>
      <c r="C23" s="57">
        <f>B21-B23</f>
        <v>0.70670306648136982</v>
      </c>
      <c r="D23" s="149">
        <f>SUM(D25:D30)</f>
        <v>1</v>
      </c>
      <c r="E23" s="149">
        <f>SUM(E25:E30)</f>
        <v>1</v>
      </c>
      <c r="H23" s="266">
        <f>SUM(H25:H35)</f>
        <v>0.99999964151381693</v>
      </c>
      <c r="I23" s="81"/>
      <c r="J23" s="266">
        <f>SUM(J25:J35)</f>
        <v>0.99999999999999978</v>
      </c>
      <c r="K23" s="266"/>
      <c r="L23" s="266">
        <f>SUM(L25:L35)</f>
        <v>1</v>
      </c>
      <c r="M23" s="81"/>
      <c r="N23" s="266">
        <f>SUM(N25:N35)</f>
        <v>1.0000000000000002</v>
      </c>
      <c r="O23" s="81"/>
      <c r="P23" s="266">
        <f>SUM(P25:P35)</f>
        <v>1.0000000000000002</v>
      </c>
      <c r="Q23" s="81"/>
      <c r="R23" s="266">
        <f>SUM(R25:R35)</f>
        <v>1.0000000000000002</v>
      </c>
      <c r="S23" s="81"/>
      <c r="T23" s="266">
        <f>SUM(T25:T35)</f>
        <v>1.0050760126517704</v>
      </c>
      <c r="V23" s="208">
        <f>SUM(V25:V34)</f>
        <v>0.78426014950105905</v>
      </c>
      <c r="Y23" s="205">
        <f>SUM(Y25:Y35)</f>
        <v>3.1817768264829495E-9</v>
      </c>
      <c r="Z23" s="81"/>
      <c r="AA23" s="205">
        <f>SUM(AA25:AA35)</f>
        <v>1.9331234397632372E-7</v>
      </c>
      <c r="AB23" s="81"/>
      <c r="AC23" s="205">
        <f>SUM(AC25:AC35)</f>
        <v>5.2853039108927143E-6</v>
      </c>
      <c r="AD23" s="81"/>
      <c r="AE23" s="205">
        <f>SUM(AE25:AE35)</f>
        <v>8.5634260800941837E-5</v>
      </c>
      <c r="AF23" s="81"/>
      <c r="AG23" s="205">
        <f>SUM(AG25:AG35)</f>
        <v>9.1056335066779502E-4</v>
      </c>
      <c r="AH23" s="81"/>
      <c r="AI23" s="205">
        <f>SUM(AI25:AI35)</f>
        <v>6.6395638076979843E-3</v>
      </c>
      <c r="AJ23" s="81"/>
      <c r="AK23" s="205">
        <f>SUM(AK25:AK35)</f>
        <v>3.3623597093677848E-2</v>
      </c>
      <c r="AL23" s="81"/>
      <c r="AM23" s="205">
        <f>SUM(AM25:AM35)</f>
        <v>0.11677720218535506</v>
      </c>
      <c r="AN23" s="81"/>
      <c r="AO23" s="205">
        <f>SUM(AO25:AO35)</f>
        <v>0.26624012306286338</v>
      </c>
      <c r="AP23" s="81"/>
      <c r="AQ23" s="205">
        <f>SUM(AQ25:AQ35)</f>
        <v>0.35997798394196423</v>
      </c>
      <c r="AR23" s="81"/>
      <c r="AS23" s="205">
        <f>SUM(AS25:AS35)</f>
        <v>0.2157398504989409</v>
      </c>
      <c r="BI23" s="31">
        <f t="shared" ref="BI23:BI30" si="14">BI15+1</f>
        <v>2</v>
      </c>
      <c r="BJ23" s="31">
        <v>3</v>
      </c>
      <c r="BK23" s="107">
        <f t="shared" ref="BK23:BK30" si="15">$H$27*H42</f>
        <v>6.7815067068753815E-2</v>
      </c>
      <c r="BQ23" s="31">
        <f>BM9+1</f>
        <v>6</v>
      </c>
      <c r="BR23" s="31">
        <v>5</v>
      </c>
      <c r="BS23" s="107">
        <f>$H$31*H44</f>
        <v>6.3543044043103808E-4</v>
      </c>
    </row>
    <row r="24" spans="1:71" ht="15.75" thickBot="1" x14ac:dyDescent="0.3">
      <c r="A24" s="26" t="s">
        <v>89</v>
      </c>
      <c r="B24" s="64">
        <f>B23/B21</f>
        <v>0.85865938670372599</v>
      </c>
      <c r="C24" s="65">
        <f>C23/B21</f>
        <v>0.14134061329627395</v>
      </c>
      <c r="D24" s="158" t="s">
        <v>90</v>
      </c>
      <c r="E24" s="158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4"/>
        <v>2</v>
      </c>
      <c r="BJ24" s="31">
        <v>4</v>
      </c>
      <c r="BK24" s="107">
        <f t="shared" si="15"/>
        <v>4.5610595706358822E-2</v>
      </c>
      <c r="BQ24" s="31">
        <f>BI49+1</f>
        <v>7</v>
      </c>
      <c r="BR24" s="31">
        <v>0</v>
      </c>
      <c r="BS24" s="107">
        <f t="shared" ref="BS24:BS30" si="16">$H$32*H39</f>
        <v>9.2005900465626404E-5</v>
      </c>
    </row>
    <row r="25" spans="1:71" x14ac:dyDescent="0.25">
      <c r="A25" s="26" t="s">
        <v>114</v>
      </c>
      <c r="B25" s="209">
        <f>1/(1+EXP(-3.1416*4*((B11/(B11+C8))-(3.1416/6))))</f>
        <v>9.9394812833698581E-2</v>
      </c>
      <c r="C25" s="207">
        <f>1/(1+EXP(-3.1416*4*((C11/(C11+B8))-(3.1416/6))))</f>
        <v>0.33527576640065798</v>
      </c>
      <c r="D25" s="204">
        <f>IF(B17="AOW",0.36-0.08,IF(B17="AIM",0.36+0.08,IF(B17="TL",(0.361)-(0.36*B32),0.36)))</f>
        <v>0.36</v>
      </c>
      <c r="E25" s="204">
        <f>IF(C17="AOW",0.36-0.08,IF(C17="AIM",0.36+0.08,IF(C17="TL",(0.361)-(0.36*C32),0.36)))</f>
        <v>0.36</v>
      </c>
      <c r="G25" s="124">
        <v>0</v>
      </c>
      <c r="H25" s="125">
        <f>L25*J25</f>
        <v>0.13867885970600349</v>
      </c>
      <c r="I25" s="97">
        <v>0</v>
      </c>
      <c r="J25" s="98">
        <f t="shared" ref="J25:J35" si="17">Y25+AA25+AC25+AE25+AG25+AI25+AK25+AM25+AO25+AQ25+AS25</f>
        <v>0.17693787561144567</v>
      </c>
      <c r="K25" s="97">
        <v>0</v>
      </c>
      <c r="L25" s="98">
        <f>AB18</f>
        <v>0.78377147474371911</v>
      </c>
      <c r="M25" s="85">
        <v>0</v>
      </c>
      <c r="N25" s="210">
        <f>(1-$B$24)^$B$21</f>
        <v>5.6407240904718514E-5</v>
      </c>
      <c r="O25" s="72">
        <v>0</v>
      </c>
      <c r="P25" s="210">
        <f t="shared" ref="P25:P30" si="18">N25</f>
        <v>5.6407240904718514E-5</v>
      </c>
      <c r="Q25" s="28">
        <v>0</v>
      </c>
      <c r="R25" s="211">
        <f>P25*N25</f>
        <v>3.1817768264829495E-9</v>
      </c>
      <c r="S25" s="72">
        <v>0</v>
      </c>
      <c r="T25" s="212">
        <f>(1-$B$33)^(INT(C23*2*(1-C31)))</f>
        <v>1</v>
      </c>
      <c r="U25" s="138">
        <v>0</v>
      </c>
      <c r="V25" s="86">
        <f>R25*T25</f>
        <v>3.1817768264829495E-9</v>
      </c>
      <c r="W25" s="134">
        <f>B31</f>
        <v>0.18526068851220362</v>
      </c>
      <c r="X25" s="28">
        <v>0</v>
      </c>
      <c r="Y25" s="213">
        <f>V25</f>
        <v>3.1817768264829495E-9</v>
      </c>
      <c r="Z25" s="28">
        <v>0</v>
      </c>
      <c r="AA25" s="213">
        <f>((1-W25)^Z26)*V26</f>
        <v>1.5749916603336203E-7</v>
      </c>
      <c r="AB25" s="28">
        <v>0</v>
      </c>
      <c r="AC25" s="213">
        <f>(((1-$W$25)^AB27))*V27</f>
        <v>3.5083855060327297E-6</v>
      </c>
      <c r="AD25" s="28">
        <v>0</v>
      </c>
      <c r="AE25" s="213">
        <f>(((1-$W$25)^AB28))*V28</f>
        <v>4.6313069771207849E-5</v>
      </c>
      <c r="AF25" s="28">
        <v>0</v>
      </c>
      <c r="AG25" s="213">
        <f>(((1-$W$25)^AB29))*V29</f>
        <v>4.012221059642999E-4</v>
      </c>
      <c r="AH25" s="28">
        <v>0</v>
      </c>
      <c r="AI25" s="213">
        <f>(((1-$W$25)^AB30))*V30</f>
        <v>2.3835974239500655E-3</v>
      </c>
      <c r="AJ25" s="28">
        <v>0</v>
      </c>
      <c r="AK25" s="213">
        <f>(((1-$W$25)^AB31))*V31</f>
        <v>9.834588732581976E-3</v>
      </c>
      <c r="AL25" s="28">
        <v>0</v>
      </c>
      <c r="AM25" s="213">
        <f>(((1-$W$25)^AB32))*V32</f>
        <v>2.7828434000998211E-2</v>
      </c>
      <c r="AN25" s="28">
        <v>0</v>
      </c>
      <c r="AO25" s="213">
        <f>(((1-$W$25)^AB33))*V33</f>
        <v>5.169194563485241E-2</v>
      </c>
      <c r="AP25" s="28">
        <v>0</v>
      </c>
      <c r="AQ25" s="213">
        <f>(((1-$W$25)^AB34))*V34</f>
        <v>5.6943477488424946E-2</v>
      </c>
      <c r="AR25" s="28">
        <v>0</v>
      </c>
      <c r="AS25" s="213">
        <f>(((1-$W$25)^AB35))*V35</f>
        <v>2.7804628088453652E-2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4"/>
        <v>2</v>
      </c>
      <c r="BJ25" s="31">
        <v>5</v>
      </c>
      <c r="BK25" s="107">
        <f t="shared" si="15"/>
        <v>2.3602100739400722E-2</v>
      </c>
      <c r="BQ25" s="31">
        <f>BQ19+1</f>
        <v>7</v>
      </c>
      <c r="BR25" s="31">
        <v>1</v>
      </c>
      <c r="BS25" s="107">
        <f t="shared" si="16"/>
        <v>3.0354559707480204E-4</v>
      </c>
    </row>
    <row r="26" spans="1:71" x14ac:dyDescent="0.25">
      <c r="A26" s="40" t="s">
        <v>115</v>
      </c>
      <c r="B26" s="206">
        <f>1/(1+EXP(-3.1416*4*((B10/(B10+C9))-(3.1416/6))))</f>
        <v>0.12808051372506676</v>
      </c>
      <c r="C26" s="207">
        <f>1/(1+EXP(-3.1416*4*((C10/(C10+B9))-(3.1416/6))))</f>
        <v>0.59541323922279865</v>
      </c>
      <c r="D26" s="204">
        <f>IF(B17="AOW",0.257+0.04,IF(B17="AIM",0.257-0.04,IF(B17="TL",(0.257)-(0.257*B32),0.257)))</f>
        <v>0.25700000000000001</v>
      </c>
      <c r="E26" s="204">
        <f>IF(C17="AOW",0.257+0.04,IF(C17="AIM",0.257-0.04,IF(C17="TL",(0.257)-(0.257*C32),0.257)))</f>
        <v>0.25700000000000001</v>
      </c>
      <c r="G26" s="87">
        <v>1</v>
      </c>
      <c r="H26" s="126">
        <f>L25*J26+L26*J25</f>
        <v>0.2931566951428089</v>
      </c>
      <c r="I26" s="138">
        <v>1</v>
      </c>
      <c r="J26" s="86">
        <f t="shared" si="17"/>
        <v>0.33461025141810408</v>
      </c>
      <c r="K26" s="138">
        <v>1</v>
      </c>
      <c r="L26" s="86">
        <f>AC18</f>
        <v>0.17463036004980748</v>
      </c>
      <c r="M26" s="85">
        <v>1</v>
      </c>
      <c r="N26" s="210">
        <f>(($B$24)^M26)*((1-($B$24))^($B$21-M26))*HLOOKUP($B$21,$AV$24:$BF$34,M26+1)</f>
        <v>1.7134001951501277E-3</v>
      </c>
      <c r="O26" s="72">
        <v>1</v>
      </c>
      <c r="P26" s="210">
        <f t="shared" si="18"/>
        <v>1.7134001951501277E-3</v>
      </c>
      <c r="Q26" s="28">
        <v>1</v>
      </c>
      <c r="R26" s="211">
        <f>N26*P25+P26*N25</f>
        <v>1.9329635514804993E-7</v>
      </c>
      <c r="S26" s="72">
        <v>1</v>
      </c>
      <c r="T26" s="212">
        <f t="shared" ref="T26:T35" si="19">(($B$33)^S26)*((1-($B$33))^(INT($C$23*2*(1-$C$31))-S26))*HLOOKUP(INT($C$23*2*(1-$C$31)),$AV$24:$BF$34,S26+1)</f>
        <v>5.0251256281407036E-3</v>
      </c>
      <c r="U26" s="138">
        <v>1</v>
      </c>
      <c r="V26" s="86">
        <f>R26*T25+T26*R25</f>
        <v>1.9331234397632372E-7</v>
      </c>
      <c r="W26" s="214"/>
      <c r="X26" s="28">
        <v>1</v>
      </c>
      <c r="Y26" s="211"/>
      <c r="Z26" s="28">
        <v>1</v>
      </c>
      <c r="AA26" s="213">
        <f>(1-((1-W25)^Z26))*V26</f>
        <v>3.5813177942961683E-8</v>
      </c>
      <c r="AB26" s="28">
        <v>1</v>
      </c>
      <c r="AC26" s="213">
        <f>((($W$25)^M26)*((1-($W$25))^($U$27-M26))*HLOOKUP($U$27,$AV$24:$BF$34,M26+1))*V27</f>
        <v>1.5955187266635162E-6</v>
      </c>
      <c r="AD26" s="28">
        <v>1</v>
      </c>
      <c r="AE26" s="213">
        <f>((($W$25)^M26)*((1-($W$25))^($U$28-M26))*HLOOKUP($U$28,$AV$24:$BF$34,M26+1))*V28</f>
        <v>3.1592895071896407E-5</v>
      </c>
      <c r="AF26" s="28">
        <v>1</v>
      </c>
      <c r="AG26" s="213">
        <f>((($W$25)^M26)*((1-($W$25))^($U$29-M26))*HLOOKUP($U$29,$AV$24:$BF$34,M26+1))*V29</f>
        <v>3.6492989867655787E-4</v>
      </c>
      <c r="AH26" s="28">
        <v>1</v>
      </c>
      <c r="AI26" s="213">
        <f>((($W$25)^M26)*((1-($W$25))^($U$30-M26))*HLOOKUP($U$30,$AV$24:$BF$34,M26+1))*V30</f>
        <v>2.7099889109960941E-3</v>
      </c>
      <c r="AJ26" s="28">
        <v>1</v>
      </c>
      <c r="AK26" s="213">
        <f>((($W$25)^M26)*((1-($W$25))^($U$31-M26))*HLOOKUP($U$31,$AV$24:$BF$34,M26+1))*V31</f>
        <v>1.3417513951833807E-2</v>
      </c>
      <c r="AL26" s="28">
        <v>1</v>
      </c>
      <c r="AM26" s="213">
        <f>((($W$25)^Q26)*((1-($W$25))^($U$32-Q26))*HLOOKUP($U$32,$AV$24:$BF$34,Q26+1))*V32</f>
        <v>4.4294663819262614E-2</v>
      </c>
      <c r="AN26" s="28">
        <v>1</v>
      </c>
      <c r="AO26" s="213">
        <f>((($W$25)^Q26)*((1-($W$25))^($U$33-Q26))*HLOOKUP($U$33,$AV$24:$BF$34,Q26+1))*V33</f>
        <v>9.4032388557370825E-2</v>
      </c>
      <c r="AP26" s="28">
        <v>1</v>
      </c>
      <c r="AQ26" s="213">
        <f>((($W$25)^Q26)*((1-($W$25))^($U$34-Q26))*HLOOKUP($U$34,$AV$24:$BF$34,Q26+1))*V34</f>
        <v>0.11653358230460824</v>
      </c>
      <c r="AR26" s="28">
        <v>1</v>
      </c>
      <c r="AS26" s="213">
        <f>((($W$25)^Q26)*((1-($W$25))^($U$35-Q26))*HLOOKUP($U$35,$AV$24:$BF$34,Q26+1))*V35</f>
        <v>6.322395974837941E-2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4"/>
        <v>2</v>
      </c>
      <c r="BJ26" s="31">
        <v>6</v>
      </c>
      <c r="BK26" s="107">
        <f t="shared" si="15"/>
        <v>9.8190880501569395E-3</v>
      </c>
      <c r="BQ26" s="31">
        <f>BQ20+1</f>
        <v>7</v>
      </c>
      <c r="BR26" s="31">
        <v>2</v>
      </c>
      <c r="BS26" s="107">
        <f t="shared" si="16"/>
        <v>4.6178004218838529E-4</v>
      </c>
    </row>
    <row r="27" spans="1:71" x14ac:dyDescent="0.25">
      <c r="A27" s="26" t="s">
        <v>116</v>
      </c>
      <c r="B27" s="206">
        <f>1/(1+EXP(-3.1416*4*((B12/(B12+C7))-(3.1416/6))))</f>
        <v>0.14106368579469084</v>
      </c>
      <c r="C27" s="207">
        <f>1/(1+EXP(-3.1416*4*((C12/(C12+B7))-(3.1416/6))))</f>
        <v>0.38149754560300936</v>
      </c>
      <c r="D27" s="204">
        <f>D26</f>
        <v>0.25700000000000001</v>
      </c>
      <c r="E27" s="204">
        <f>E26</f>
        <v>0.25700000000000001</v>
      </c>
      <c r="G27" s="87">
        <v>2</v>
      </c>
      <c r="H27" s="126">
        <f>L25*J27+J26*L26+J25*L27</f>
        <v>0.2844065228250427</v>
      </c>
      <c r="I27" s="138">
        <v>2</v>
      </c>
      <c r="J27" s="86">
        <f t="shared" si="17"/>
        <v>0.28472947148746386</v>
      </c>
      <c r="K27" s="138">
        <v>2</v>
      </c>
      <c r="L27" s="86">
        <f>AD18</f>
        <v>1.5884537796674376E-2</v>
      </c>
      <c r="M27" s="85">
        <v>2</v>
      </c>
      <c r="N27" s="210">
        <f>(($B$24)^M27)*((1-($B$24))^($B$21-M27))*HLOOKUP($B$21,$AV$24:$BF$34,M27+1)</f>
        <v>2.0818179947496206E-2</v>
      </c>
      <c r="O27" s="72">
        <v>2</v>
      </c>
      <c r="P27" s="210">
        <f t="shared" si="18"/>
        <v>2.0818179947496206E-2</v>
      </c>
      <c r="Q27" s="28">
        <v>2</v>
      </c>
      <c r="R27" s="211">
        <f>P25*N27+P26*N26+P27*N25</f>
        <v>5.284332411732893E-6</v>
      </c>
      <c r="S27" s="72">
        <v>2</v>
      </c>
      <c r="T27" s="212">
        <f t="shared" si="19"/>
        <v>5.0503775157192999E-5</v>
      </c>
      <c r="U27" s="138">
        <v>2</v>
      </c>
      <c r="V27" s="86">
        <f>R27*T25+T26*R26+R25*T27</f>
        <v>5.2853039108927152E-6</v>
      </c>
      <c r="W27" s="214"/>
      <c r="X27" s="28">
        <v>2</v>
      </c>
      <c r="Y27" s="211"/>
      <c r="Z27" s="28">
        <v>2</v>
      </c>
      <c r="AA27" s="213"/>
      <c r="AB27" s="28">
        <v>2</v>
      </c>
      <c r="AC27" s="213">
        <f>((($W$25)^M27)*((1-($W$25))^($U$27-M27))*HLOOKUP($U$27,$AV$24:$BF$34,M27+1))*V27</f>
        <v>1.813996781964687E-7</v>
      </c>
      <c r="AD27" s="28">
        <v>2</v>
      </c>
      <c r="AE27" s="213">
        <f>((($W$25)^M27)*((1-($W$25))^($U$28-M27))*HLOOKUP($U$28,$AV$24:$BF$34,M27+1))*V28</f>
        <v>7.1837965967608792E-6</v>
      </c>
      <c r="AF27" s="28">
        <v>2</v>
      </c>
      <c r="AG27" s="213">
        <f>((($W$25)^M27)*((1-($W$25))^($U$29-M27))*HLOOKUP($U$29,$AV$24:$BF$34,M27+1))*V29</f>
        <v>1.2447017714914903E-4</v>
      </c>
      <c r="AH27" s="28">
        <v>2</v>
      </c>
      <c r="AI27" s="213">
        <f>((($W$25)^M27)*((1-($W$25))^($U$30-M27))*HLOOKUP($U$30,$AV$24:$BF$34,M27+1))*V30</f>
        <v>1.2324295745464182E-3</v>
      </c>
      <c r="AJ27" s="28">
        <v>2</v>
      </c>
      <c r="AK27" s="213">
        <f>((($W$25)^M27)*((1-($W$25))^($U$31-M27))*HLOOKUP($U$31,$AV$24:$BF$34,M27+1))*V31</f>
        <v>7.6274025255379588E-3</v>
      </c>
      <c r="AL27" s="28">
        <v>2</v>
      </c>
      <c r="AM27" s="213">
        <f>((($W$25)^Q27)*((1-($W$25))^($U$32-Q27))*HLOOKUP($U$32,$AV$24:$BF$34,Q27+1))*V32</f>
        <v>3.0216020514297108E-2</v>
      </c>
      <c r="AN27" s="28">
        <v>2</v>
      </c>
      <c r="AO27" s="213">
        <f>((($W$25)^Q27)*((1-($W$25))^($U$33-Q27))*HLOOKUP($U$33,$AV$24:$BF$34,Q27+1))*V33</f>
        <v>7.4835922120547876E-2</v>
      </c>
      <c r="AP27" s="28">
        <v>2</v>
      </c>
      <c r="AQ27" s="213">
        <f>((($W$25)^Q27)*((1-($W$25))^($U$34-Q27))*HLOOKUP($U$34,$AV$24:$BF$34,Q27+1))*V34</f>
        <v>0.10599263537742598</v>
      </c>
      <c r="AR27" s="28">
        <v>2</v>
      </c>
      <c r="AS27" s="213">
        <f>((($W$25)^Q27)*((1-($W$25))^($U$35-Q27))*HLOOKUP($U$35,$AV$24:$BF$34,Q27+1))*V35</f>
        <v>6.4693226001684437E-2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4"/>
        <v>2</v>
      </c>
      <c r="BJ27" s="31">
        <v>7</v>
      </c>
      <c r="BK27" s="107">
        <f t="shared" si="15"/>
        <v>3.3297518612303073E-3</v>
      </c>
      <c r="BQ27" s="31">
        <f>BQ21+1</f>
        <v>7</v>
      </c>
      <c r="BR27" s="31">
        <v>3</v>
      </c>
      <c r="BS27" s="107">
        <f t="shared" si="16"/>
        <v>4.3688899049278336E-4</v>
      </c>
    </row>
    <row r="28" spans="1:71" x14ac:dyDescent="0.25">
      <c r="A28" s="26" t="s">
        <v>117</v>
      </c>
      <c r="B28" s="275">
        <v>0.9</v>
      </c>
      <c r="C28" s="276">
        <v>0.9</v>
      </c>
      <c r="D28" s="204">
        <v>8.5000000000000006E-2</v>
      </c>
      <c r="E28" s="204">
        <v>8.5000000000000006E-2</v>
      </c>
      <c r="G28" s="87">
        <v>3</v>
      </c>
      <c r="H28" s="126">
        <f>J28*L25+J27*L26+L28*J25+L27*J26</f>
        <v>0.17210600638298945</v>
      </c>
      <c r="I28" s="138">
        <v>3</v>
      </c>
      <c r="J28" s="86">
        <f t="shared" si="17"/>
        <v>0.14356066288732239</v>
      </c>
      <c r="K28" s="138">
        <v>3</v>
      </c>
      <c r="L28" s="86">
        <f>AE18</f>
        <v>2.5713627409799038E-2</v>
      </c>
      <c r="M28" s="85">
        <v>3</v>
      </c>
      <c r="N28" s="210">
        <f>(($B$24)^M28)*((1-($B$24))^($B$21-M28))*HLOOKUP($B$21,$AV$24:$BF$34,M28+1)</f>
        <v>0.12647267624723213</v>
      </c>
      <c r="O28" s="72">
        <v>3</v>
      </c>
      <c r="P28" s="210">
        <f t="shared" si="18"/>
        <v>0.12647267624723213</v>
      </c>
      <c r="Q28" s="28">
        <v>3</v>
      </c>
      <c r="R28" s="211">
        <f>P25*N28+P26*N27+P27*N26+P28*N25</f>
        <v>8.5607696603305132E-5</v>
      </c>
      <c r="S28" s="72">
        <v>3</v>
      </c>
      <c r="T28" s="212">
        <f t="shared" si="19"/>
        <v>3.8068172229039952E-7</v>
      </c>
      <c r="U28" s="138">
        <v>3</v>
      </c>
      <c r="V28" s="86">
        <f>R28*T25+R27*T26+R26*T27+R25*T28</f>
        <v>8.5634260800941851E-5</v>
      </c>
      <c r="W28" s="214"/>
      <c r="X28" s="28">
        <v>3</v>
      </c>
      <c r="Y28" s="211"/>
      <c r="Z28" s="28">
        <v>3</v>
      </c>
      <c r="AA28" s="213"/>
      <c r="AB28" s="28">
        <v>3</v>
      </c>
      <c r="AC28" s="213"/>
      <c r="AD28" s="28">
        <v>3</v>
      </c>
      <c r="AE28" s="213">
        <f>((($W$25)^M28)*((1-($W$25))^($U$28-M28))*HLOOKUP($U$28,$AV$24:$BF$34,M28+1))*V28</f>
        <v>5.4449936107670778E-7</v>
      </c>
      <c r="AF28" s="28">
        <v>3</v>
      </c>
      <c r="AG28" s="213">
        <f>((($W$25)^M28)*((1-($W$25))^($U$29-M28))*HLOOKUP($U$29,$AV$24:$BF$34,M28+1))*V29</f>
        <v>1.8868555371229483E-5</v>
      </c>
      <c r="AH28" s="28">
        <v>3</v>
      </c>
      <c r="AI28" s="213">
        <f>((($W$25)^M28)*((1-($W$25))^($U$30-M28))*HLOOKUP($U$30,$AV$24:$BF$34,M28+1))*V30</f>
        <v>2.8023779913888627E-4</v>
      </c>
      <c r="AJ28" s="28">
        <v>3</v>
      </c>
      <c r="AK28" s="213">
        <f>((($W$25)^M28)*((1-($W$25))^($U$31-M28))*HLOOKUP($U$31,$AV$24:$BF$34,M28+1))*V31</f>
        <v>2.3124907538183328E-3</v>
      </c>
      <c r="AL28" s="28">
        <v>3</v>
      </c>
      <c r="AM28" s="213">
        <f>((($W$25)^Q28)*((1-($W$25))^($U$32-Q28))*HLOOKUP($U$32,$AV$24:$BF$34,Q28+1))*V32</f>
        <v>1.145118994024262E-2</v>
      </c>
      <c r="AN28" s="28">
        <v>3</v>
      </c>
      <c r="AO28" s="213">
        <f>((($W$25)^Q28)*((1-($W$25))^($U$33-Q28))*HLOOKUP($U$33,$AV$24:$BF$34,Q28+1))*V33</f>
        <v>3.4033350943091227E-2</v>
      </c>
      <c r="AP28" s="28">
        <v>3</v>
      </c>
      <c r="AQ28" s="213">
        <f>((($W$25)^Q28)*((1-($W$25))^($U$34-Q28))*HLOOKUP($U$34,$AV$24:$BF$34,Q28+1))*V34</f>
        <v>5.6236343867958428E-2</v>
      </c>
      <c r="AR28" s="28">
        <v>3</v>
      </c>
      <c r="AS28" s="213">
        <f>((($W$25)^Q28)*((1-($W$25))^($U$35-Q28))*HLOOKUP($U$35,$AV$24:$BF$34,Q28+1))*V35</f>
        <v>3.922763652834059E-2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0">BE27+BE28</f>
        <v>210</v>
      </c>
      <c r="BI28" s="31">
        <f t="shared" si="14"/>
        <v>2</v>
      </c>
      <c r="BJ28" s="31">
        <v>8</v>
      </c>
      <c r="BK28" s="107">
        <f t="shared" si="15"/>
        <v>9.1389900914447177E-4</v>
      </c>
      <c r="BQ28" s="31">
        <f>BQ22+1</f>
        <v>7</v>
      </c>
      <c r="BR28" s="31">
        <v>4</v>
      </c>
      <c r="BS28" s="107">
        <f t="shared" si="16"/>
        <v>2.9383982019398397E-4</v>
      </c>
    </row>
    <row r="29" spans="1:71" x14ac:dyDescent="0.25">
      <c r="A29" s="26" t="s">
        <v>118</v>
      </c>
      <c r="B29" s="206">
        <f>1/(1+EXP(-3.1416*4*((B14/(B14+C13))-(3.1416/6))))</f>
        <v>9.2731058764433549E-2</v>
      </c>
      <c r="C29" s="207">
        <f>1/(1+EXP(-3.1416*4*((C14/(C14+B13))-(3.1416/6))))</f>
        <v>0.78544389040886065</v>
      </c>
      <c r="D29" s="204">
        <v>0.04</v>
      </c>
      <c r="E29" s="204">
        <v>0.04</v>
      </c>
      <c r="G29" s="87">
        <v>4</v>
      </c>
      <c r="H29" s="126">
        <f>J29*L25+J28*L26+J27*L27+J26*L28</f>
        <v>7.542238110192051E-2</v>
      </c>
      <c r="I29" s="138">
        <v>4</v>
      </c>
      <c r="J29" s="86">
        <f t="shared" si="17"/>
        <v>4.7495338460686473E-2</v>
      </c>
      <c r="K29" s="138">
        <v>4</v>
      </c>
      <c r="L29" s="86"/>
      <c r="M29" s="85">
        <v>4</v>
      </c>
      <c r="N29" s="210">
        <f>(($B$24)^M29)*((1-($B$24))^($B$21-M29))*HLOOKUP($B$21,$AV$24:$BF$34,M29+1)</f>
        <v>0.38416753715929314</v>
      </c>
      <c r="O29" s="72">
        <v>4</v>
      </c>
      <c r="P29" s="210">
        <f t="shared" si="18"/>
        <v>0.38416753715929314</v>
      </c>
      <c r="Q29" s="28">
        <v>4</v>
      </c>
      <c r="R29" s="211">
        <f>P25*N29+P26*N28+P27*N27+P28*N26+P29*N25</f>
        <v>9.1013289428529926E-4</v>
      </c>
      <c r="S29" s="72">
        <v>4</v>
      </c>
      <c r="T29" s="212">
        <f t="shared" si="19"/>
        <v>2.5506313051283046E-9</v>
      </c>
      <c r="U29" s="138">
        <v>4</v>
      </c>
      <c r="V29" s="86">
        <f>T29*R25+T28*R26+T27*R27+T26*R28+T25*R29</f>
        <v>9.1056335066779512E-4</v>
      </c>
      <c r="W29" s="214"/>
      <c r="X29" s="28">
        <v>4</v>
      </c>
      <c r="Y29" s="211"/>
      <c r="Z29" s="28">
        <v>4</v>
      </c>
      <c r="AA29" s="213"/>
      <c r="AB29" s="28">
        <v>4</v>
      </c>
      <c r="AC29" s="213"/>
      <c r="AD29" s="28">
        <v>4</v>
      </c>
      <c r="AE29" s="213"/>
      <c r="AF29" s="28">
        <v>4</v>
      </c>
      <c r="AG29" s="213">
        <f>((($W$25)^M29)*((1-($W$25))^($U$29-M29))*HLOOKUP($U$29,$AV$24:$BF$34,M29+1))*V29</f>
        <v>1.0726135065587084E-6</v>
      </c>
      <c r="AH29" s="28">
        <v>4</v>
      </c>
      <c r="AI29" s="213">
        <f>((($W$25)^M29)*((1-($W$25))^($U$30-M29))*HLOOKUP($U$30,$AV$24:$BF$34,M29+1))*V30</f>
        <v>3.1861140664005107E-5</v>
      </c>
      <c r="AJ29" s="28">
        <v>4</v>
      </c>
      <c r="AK29" s="213">
        <f>((($W$25)^M29)*((1-($W$25))^($U$31-M29))*HLOOKUP($U$31,$AV$24:$BF$34,M29+1))*V31</f>
        <v>3.9437181610412533E-4</v>
      </c>
      <c r="AL29" s="28">
        <v>4</v>
      </c>
      <c r="AM29" s="213">
        <f>((($W$25)^Q29)*((1-($W$25))^($U$32-Q29))*HLOOKUP($U$32,$AV$24:$BF$34,Q29+1))*V32</f>
        <v>2.6038455524373511E-3</v>
      </c>
      <c r="AN29" s="28">
        <v>4</v>
      </c>
      <c r="AO29" s="213">
        <f>((($W$25)^Q29)*((1-($W$25))^($U$33-Q29))*HLOOKUP($U$33,$AV$24:$BF$34,Q29+1))*V33</f>
        <v>9.6734040250569427E-3</v>
      </c>
      <c r="AP29" s="28">
        <v>4</v>
      </c>
      <c r="AQ29" s="213">
        <f>((($W$25)^Q29)*((1-($W$25))^($U$34-Q29))*HLOOKUP($U$34,$AV$24:$BF$34,Q29+1))*V34</f>
        <v>1.9181074800530974E-2</v>
      </c>
      <c r="AR29" s="28">
        <v>4</v>
      </c>
      <c r="AS29" s="213">
        <f>((($W$25)^Q29)*((1-($W$25))^($U$35-Q29))*HLOOKUP($U$35,$AV$24:$BF$34,Q29+1))*V35</f>
        <v>1.5609708512386517E-2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0"/>
        <v>252</v>
      </c>
      <c r="BI29" s="31">
        <f t="shared" si="14"/>
        <v>2</v>
      </c>
      <c r="BJ29" s="31">
        <v>9</v>
      </c>
      <c r="BK29" s="107">
        <f t="shared" si="15"/>
        <v>1.9978877302469588E-4</v>
      </c>
      <c r="BQ29" s="31">
        <f>BQ23+1</f>
        <v>7</v>
      </c>
      <c r="BR29" s="31">
        <v>5</v>
      </c>
      <c r="BS29" s="107">
        <f t="shared" si="16"/>
        <v>1.5205320014048676E-4</v>
      </c>
    </row>
    <row r="30" spans="1:71" x14ac:dyDescent="0.25">
      <c r="A30" s="26" t="s">
        <v>119</v>
      </c>
      <c r="B30" s="275">
        <v>0.15</v>
      </c>
      <c r="C30" s="276">
        <v>0.15</v>
      </c>
      <c r="D30" s="204">
        <f>IF(B17="TL",0.875*B32,0.001)</f>
        <v>1E-3</v>
      </c>
      <c r="E30" s="204">
        <f>IF(C17="TL",0.875*C32,0.001)</f>
        <v>1E-3</v>
      </c>
      <c r="G30" s="87">
        <v>5</v>
      </c>
      <c r="H30" s="126">
        <f>J30*L25+J29*L26+J28*L27+J27*L28</f>
        <v>2.6339589178902053E-2</v>
      </c>
      <c r="I30" s="138">
        <v>5</v>
      </c>
      <c r="J30" s="86">
        <f t="shared" si="17"/>
        <v>1.0773087662343032E-2</v>
      </c>
      <c r="K30" s="138">
        <v>5</v>
      </c>
      <c r="L30" s="86"/>
      <c r="M30" s="85">
        <v>5</v>
      </c>
      <c r="N30" s="210">
        <f>(($B$24)^M30)*((1-($B$24))^($B$21-M30))*HLOOKUP($B$21,$AV$24:$BF$34,M30+1)</f>
        <v>0.46677179920992379</v>
      </c>
      <c r="O30" s="72">
        <v>5</v>
      </c>
      <c r="P30" s="210">
        <f t="shared" si="18"/>
        <v>0.46677179920992379</v>
      </c>
      <c r="Q30" s="28">
        <v>5</v>
      </c>
      <c r="R30" s="211">
        <f>P25*N30+P26*N29+P27*N28+P28*N27+P29*N26+P30*N25</f>
        <v>6.6349859500418953E-3</v>
      </c>
      <c r="S30" s="72">
        <v>5</v>
      </c>
      <c r="T30" s="212">
        <f t="shared" si="19"/>
        <v>1.6021553424172769E-11</v>
      </c>
      <c r="U30" s="138">
        <v>5</v>
      </c>
      <c r="V30" s="86">
        <f>T30*R25+T29*R26+T28*R27+T27*R28+T26*R29+T25*R30</f>
        <v>6.6395638076979851E-3</v>
      </c>
      <c r="W30" s="214"/>
      <c r="X30" s="28">
        <v>5</v>
      </c>
      <c r="Y30" s="211"/>
      <c r="Z30" s="28">
        <v>5</v>
      </c>
      <c r="AA30" s="213"/>
      <c r="AB30" s="28">
        <v>5</v>
      </c>
      <c r="AC30" s="213"/>
      <c r="AD30" s="28">
        <v>5</v>
      </c>
      <c r="AE30" s="213"/>
      <c r="AF30" s="28">
        <v>5</v>
      </c>
      <c r="AG30" s="213"/>
      <c r="AH30" s="28">
        <v>5</v>
      </c>
      <c r="AI30" s="213">
        <f>((($W$25)^M30)*((1-($W$25))^($U$30-M30))*HLOOKUP($U$30,$AV$24:$BF$34,M30+1))*V30</f>
        <v>1.4489584025150277E-6</v>
      </c>
      <c r="AJ30" s="28">
        <v>5</v>
      </c>
      <c r="AK30" s="213">
        <f>((($W$25)^M30)*((1-($W$25))^($U$31-M30))*HLOOKUP($U$31,$AV$24:$BF$34,M30+1))*V31</f>
        <v>3.5869924600957597E-5</v>
      </c>
      <c r="AL30" s="28">
        <v>5</v>
      </c>
      <c r="AM30" s="213">
        <f>((($W$25)^Q30)*((1-($W$25))^($U$32-Q30))*HLOOKUP($U$32,$AV$24:$BF$34,Q30+1))*V32</f>
        <v>3.5524753477999448E-4</v>
      </c>
      <c r="AN30" s="28">
        <v>5</v>
      </c>
      <c r="AO30" s="213">
        <f>((($W$25)^Q30)*((1-($W$25))^($U$33-Q30))*HLOOKUP($U$33,$AV$24:$BF$34,Q30+1))*V33</f>
        <v>1.7596808841014065E-3</v>
      </c>
      <c r="AP30" s="28">
        <v>5</v>
      </c>
      <c r="AQ30" s="213">
        <f>((($W$25)^Q30)*((1-($W$25))^($U$34-Q30))*HLOOKUP($U$34,$AV$24:$BF$34,Q30+1))*V34</f>
        <v>4.3615167131943085E-3</v>
      </c>
      <c r="AR30" s="28">
        <v>5</v>
      </c>
      <c r="AS30" s="213">
        <f>((($W$25)^Q30)*((1-($W$25))^($U$35-Q30))*HLOOKUP($U$35,$AV$24:$BF$34,Q30+1))*V35</f>
        <v>4.259323647263849E-3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0"/>
        <v>210</v>
      </c>
      <c r="BI30" s="31">
        <f t="shared" si="14"/>
        <v>2</v>
      </c>
      <c r="BJ30" s="31">
        <v>10</v>
      </c>
      <c r="BK30" s="107">
        <f t="shared" si="15"/>
        <v>3.4120511215445761E-5</v>
      </c>
      <c r="BQ30" s="31">
        <f>BM10+1</f>
        <v>7</v>
      </c>
      <c r="BR30" s="31">
        <v>6</v>
      </c>
      <c r="BS30" s="107">
        <f t="shared" si="16"/>
        <v>6.3258087785175867E-5</v>
      </c>
    </row>
    <row r="31" spans="1:71" x14ac:dyDescent="0.25">
      <c r="A31" s="184" t="s">
        <v>120</v>
      </c>
      <c r="B31" s="60">
        <f>(B25*D25)+(B26*D26)+(B27*D27)+(B28*D28)+(B29*D29)+(B30*D30)/(B25+B26+B27+B28+B29+B30)</f>
        <v>0.18526068851220362</v>
      </c>
      <c r="C31" s="61">
        <f>(C25*E25)+(C26*E26)+(C27*E27)+(C28*E28)+(C29*E29)+(C30*E30)/(C25+C26+C27+C28+C29+C30)</f>
        <v>0.47973075811639737</v>
      </c>
      <c r="G31" s="87">
        <v>6</v>
      </c>
      <c r="H31" s="126">
        <f>J31*L25+J30*L26+J29*L27+J28*L28</f>
        <v>7.6569693543628867E-3</v>
      </c>
      <c r="I31" s="138">
        <v>6</v>
      </c>
      <c r="J31" s="86">
        <f t="shared" si="17"/>
        <v>1.6966096939692839E-3</v>
      </c>
      <c r="K31" s="138">
        <v>6</v>
      </c>
      <c r="L31" s="86"/>
      <c r="M31" s="85"/>
      <c r="N31" s="211"/>
      <c r="O31" s="211"/>
      <c r="P31" s="211"/>
      <c r="Q31" s="28">
        <v>6</v>
      </c>
      <c r="R31" s="211">
        <f>P26*N30+P27*N29+P28*N28+P29*N27+P30*N26</f>
        <v>3.3590209457988116E-2</v>
      </c>
      <c r="S31" s="72">
        <v>6</v>
      </c>
      <c r="T31" s="212">
        <f t="shared" si="19"/>
        <v>9.6612382457323207E-14</v>
      </c>
      <c r="U31" s="138">
        <v>6</v>
      </c>
      <c r="V31" s="86">
        <f>T31*R25+T30*R26+T29*R27+T28*R28+T27*R29+T26*R30+T25*R31</f>
        <v>3.3623597093677848E-2</v>
      </c>
      <c r="W31" s="214"/>
      <c r="X31" s="28">
        <v>6</v>
      </c>
      <c r="Y31" s="211"/>
      <c r="Z31" s="28">
        <v>6</v>
      </c>
      <c r="AA31" s="213"/>
      <c r="AB31" s="28">
        <v>6</v>
      </c>
      <c r="AC31" s="213"/>
      <c r="AD31" s="28">
        <v>6</v>
      </c>
      <c r="AE31" s="213"/>
      <c r="AF31" s="28">
        <v>6</v>
      </c>
      <c r="AG31" s="213"/>
      <c r="AH31" s="28">
        <v>6</v>
      </c>
      <c r="AI31" s="213"/>
      <c r="AJ31" s="28">
        <v>6</v>
      </c>
      <c r="AK31" s="213">
        <f>((($W$25)^Q31)*((1-($W$25))^($U$31-Q31))*HLOOKUP($U$31,$AV$24:$BF$34,Q31+1))*V31</f>
        <v>1.3593892006837685E-6</v>
      </c>
      <c r="AL31" s="28">
        <v>6</v>
      </c>
      <c r="AM31" s="213">
        <f>((($W$25)^Q31)*((1-($W$25))^($U$32-Q31))*HLOOKUP($U$32,$AV$24:$BF$34,Q31+1))*V32</f>
        <v>2.6926159880278293E-5</v>
      </c>
      <c r="AN31" s="28">
        <v>6</v>
      </c>
      <c r="AO31" s="213">
        <f>((($W$25)^Q31)*((1-($W$25))^($U$33-Q31))*HLOOKUP($U$33,$AV$24:$BF$34,Q31+1))*V33</f>
        <v>2.0006380418485109E-4</v>
      </c>
      <c r="AP31" s="28">
        <v>6</v>
      </c>
      <c r="AQ31" s="213">
        <f>((($W$25)^Q31)*((1-($W$25))^($U$34-Q31))*HLOOKUP($U$34,$AV$24:$BF$34,Q31+1))*V34</f>
        <v>6.6116656608303259E-4</v>
      </c>
      <c r="AR31" s="28">
        <v>6</v>
      </c>
      <c r="AS31" s="213">
        <f>((($W$25)^Q31)*((1-($W$25))^($U$35-Q31))*HLOOKUP($U$35,$AV$24:$BF$34,Q31+1))*V35</f>
        <v>8.0709377462043826E-4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0"/>
        <v>120</v>
      </c>
      <c r="BI31" s="31">
        <f t="shared" ref="BI31:BI37" si="21">BI24+1</f>
        <v>3</v>
      </c>
      <c r="BJ31" s="31">
        <v>4</v>
      </c>
      <c r="BK31" s="107">
        <f t="shared" ref="BK31:BK37" si="22">$H$28*H43</f>
        <v>2.7600834881693306E-2</v>
      </c>
      <c r="BQ31" s="31">
        <f t="shared" ref="BQ31:BQ37" si="23">BQ24+1</f>
        <v>8</v>
      </c>
      <c r="BR31" s="31">
        <v>0</v>
      </c>
      <c r="BS31" s="107">
        <f t="shared" ref="BS31:BS38" si="24">$H$33*H39</f>
        <v>1.7380410110237355E-5</v>
      </c>
    </row>
    <row r="32" spans="1:71" x14ac:dyDescent="0.25">
      <c r="A32" s="26" t="s">
        <v>121</v>
      </c>
      <c r="B32" s="215">
        <f>IF(B17&lt;&gt;"TL",0.001,IF(B18&lt;5,0.1,IF(B18&lt;10,0.2,IF(B18&lt;14,0.3,0.35))))</f>
        <v>1E-3</v>
      </c>
      <c r="C32" s="216">
        <f>IF(C17&lt;&gt;"TL",0.001,IF(C18&lt;5,0.1,IF(C18&lt;10,0.2,IF(C18&lt;14,0.3,0.35))))</f>
        <v>1E-3</v>
      </c>
      <c r="G32" s="87">
        <v>7</v>
      </c>
      <c r="H32" s="126">
        <f>J32*L25+J31*L26+J30*L27+J29*L28</f>
        <v>1.8322488499586905E-3</v>
      </c>
      <c r="I32" s="138">
        <v>7</v>
      </c>
      <c r="J32" s="86">
        <f t="shared" si="17"/>
        <v>1.8317371558338523E-4</v>
      </c>
      <c r="K32" s="138">
        <v>7</v>
      </c>
      <c r="L32" s="86"/>
      <c r="M32" s="85"/>
      <c r="N32" s="211"/>
      <c r="O32" s="211"/>
      <c r="P32" s="211"/>
      <c r="Q32" s="28">
        <v>7</v>
      </c>
      <c r="R32" s="211">
        <f>P27*N30+P28*N29+P29*N28+P30*N27</f>
        <v>0.11660807172442512</v>
      </c>
      <c r="S32" s="72">
        <v>7</v>
      </c>
      <c r="T32" s="212">
        <f t="shared" si="19"/>
        <v>5.6640425226236405E-16</v>
      </c>
      <c r="U32" s="138">
        <v>7</v>
      </c>
      <c r="V32" s="86">
        <f>T32*R25+T31*R26+T30*R27+T29*R28+T28*R29+T27*R30+T26*R31+T25*R32</f>
        <v>0.11677720218535506</v>
      </c>
      <c r="W32" s="214"/>
      <c r="X32" s="28">
        <v>7</v>
      </c>
      <c r="Y32" s="211"/>
      <c r="Z32" s="28">
        <v>7</v>
      </c>
      <c r="AA32" s="213"/>
      <c r="AB32" s="28">
        <v>7</v>
      </c>
      <c r="AC32" s="213"/>
      <c r="AD32" s="28">
        <v>7</v>
      </c>
      <c r="AE32" s="213"/>
      <c r="AF32" s="28">
        <v>7</v>
      </c>
      <c r="AG32" s="213"/>
      <c r="AH32" s="28">
        <v>7</v>
      </c>
      <c r="AI32" s="213"/>
      <c r="AJ32" s="28">
        <v>7</v>
      </c>
      <c r="AK32" s="213"/>
      <c r="AL32" s="28">
        <v>7</v>
      </c>
      <c r="AM32" s="213">
        <f>((($W$25)^Q32)*((1-($W$25))^($U$32-Q32))*HLOOKUP($U$32,$AV$24:$BF$34,Q32+1))*V32</f>
        <v>8.7466345686534174E-7</v>
      </c>
      <c r="AN32" s="28">
        <v>7</v>
      </c>
      <c r="AO32" s="213">
        <f>((($W$25)^Q32)*((1-($W$25))^($U$33-Q32))*HLOOKUP($U$33,$AV$24:$BF$34,Q32+1))*V33</f>
        <v>1.2997657247821711E-5</v>
      </c>
      <c r="AP32" s="28">
        <v>7</v>
      </c>
      <c r="AQ32" s="213">
        <f>((($W$25)^Q32)*((1-($W$25))^($U$34-Q32))*HLOOKUP($U$34,$AV$24:$BF$34,Q32+1))*V34</f>
        <v>6.4431568054107056E-5</v>
      </c>
      <c r="AR32" s="28">
        <v>7</v>
      </c>
      <c r="AS32" s="213">
        <f>((($W$25)^Q32)*((1-($W$25))^($U$35-Q32))*HLOOKUP($U$35,$AV$24:$BF$34,Q32+1))*V35</f>
        <v>1.0486982682459112E-4</v>
      </c>
      <c r="AV32" s="14">
        <v>8</v>
      </c>
      <c r="BD32" s="31">
        <v>1</v>
      </c>
      <c r="BE32" s="31">
        <v>9</v>
      </c>
      <c r="BF32" s="31">
        <f t="shared" si="20"/>
        <v>45</v>
      </c>
      <c r="BI32" s="31">
        <f t="shared" si="21"/>
        <v>3</v>
      </c>
      <c r="BJ32" s="31">
        <v>5</v>
      </c>
      <c r="BK32" s="107">
        <f t="shared" si="22"/>
        <v>1.428259542066166E-2</v>
      </c>
      <c r="BQ32" s="31">
        <f t="shared" si="23"/>
        <v>8</v>
      </c>
      <c r="BR32" s="31">
        <v>1</v>
      </c>
      <c r="BS32" s="107">
        <f t="shared" si="24"/>
        <v>5.7341398080093288E-5</v>
      </c>
    </row>
    <row r="33" spans="1:71" x14ac:dyDescent="0.25">
      <c r="A33" s="26" t="s">
        <v>122</v>
      </c>
      <c r="B33" s="215">
        <f>IF(B17&lt;&gt;"CA",0.005,IF((B18-B16)&lt;0,0.1,0.1+0.055*(B18-B16)))</f>
        <v>5.0000000000000001E-3</v>
      </c>
      <c r="C33" s="216">
        <f>IF(C17&lt;&gt;"CA",0.005,IF((C18-C16)&lt;0,0.1,0.1+0.055*(C18-C16)))</f>
        <v>0.54</v>
      </c>
      <c r="G33" s="87">
        <v>8</v>
      </c>
      <c r="H33" s="126">
        <f>J33*L25+J32*L26+J31*L27+J30*L28</f>
        <v>3.4612167562220902E-4</v>
      </c>
      <c r="I33" s="138">
        <v>8</v>
      </c>
      <c r="J33" s="86">
        <f t="shared" si="17"/>
        <v>1.2974395003206381E-5</v>
      </c>
      <c r="K33" s="138">
        <v>8</v>
      </c>
      <c r="L33" s="86"/>
      <c r="M33" s="85"/>
      <c r="N33" s="211"/>
      <c r="O33" s="211"/>
      <c r="P33" s="211"/>
      <c r="Q33" s="28">
        <v>8</v>
      </c>
      <c r="R33" s="211">
        <f>P28*N30+P29*N29+P30*N28</f>
        <v>0.26565245389266634</v>
      </c>
      <c r="S33" s="72">
        <v>8</v>
      </c>
      <c r="T33" s="212">
        <f t="shared" si="19"/>
        <v>3.2528600273502595E-18</v>
      </c>
      <c r="U33" s="138">
        <v>8</v>
      </c>
      <c r="V33" s="86">
        <f>T33*R25+T32*R26+T31*R27+T30*R28+T29*R29+T28*R30+T27*R31+T26*R32+T25*R33</f>
        <v>0.26624012306286343</v>
      </c>
      <c r="W33" s="214"/>
      <c r="X33" s="28">
        <v>8</v>
      </c>
      <c r="Y33" s="211"/>
      <c r="Z33" s="28">
        <v>8</v>
      </c>
      <c r="AA33" s="213"/>
      <c r="AB33" s="28">
        <v>8</v>
      </c>
      <c r="AC33" s="213"/>
      <c r="AD33" s="28">
        <v>8</v>
      </c>
      <c r="AE33" s="213"/>
      <c r="AF33" s="28">
        <v>8</v>
      </c>
      <c r="AG33" s="213"/>
      <c r="AH33" s="28">
        <v>8</v>
      </c>
      <c r="AI33" s="213"/>
      <c r="AJ33" s="28">
        <v>8</v>
      </c>
      <c r="AK33" s="213"/>
      <c r="AL33" s="28">
        <v>8</v>
      </c>
      <c r="AM33" s="213"/>
      <c r="AN33" s="28">
        <v>8</v>
      </c>
      <c r="AO33" s="213">
        <f>((($W$25)^Q33)*((1-($W$25))^($U$33-Q33))*HLOOKUP($U$33,$AV$24:$BF$34,Q33+1))*V33</f>
        <v>3.6943641003094519E-7</v>
      </c>
      <c r="AP33" s="28">
        <v>8</v>
      </c>
      <c r="AQ33" s="213">
        <f>((($W$25)^Q33)*((1-($W$25))^($U$34-Q33))*HLOOKUP($U$34,$AV$24:$BF$34,Q33+1))*V34</f>
        <v>3.6627165558721086E-6</v>
      </c>
      <c r="AR33" s="28">
        <v>8</v>
      </c>
      <c r="AS33" s="213">
        <f>((($W$25)^Q33)*((1-($W$25))^($U$35-Q33))*HLOOKUP($U$35,$AV$24:$BF$34,Q33+1))*V35</f>
        <v>8.942242037303328E-6</v>
      </c>
      <c r="AV33" s="29">
        <v>9</v>
      </c>
      <c r="BE33" s="31">
        <v>1</v>
      </c>
      <c r="BF33" s="31">
        <f t="shared" si="20"/>
        <v>10</v>
      </c>
      <c r="BI33" s="31">
        <f t="shared" si="21"/>
        <v>3</v>
      </c>
      <c r="BJ33" s="31">
        <v>6</v>
      </c>
      <c r="BK33" s="107">
        <f t="shared" si="22"/>
        <v>5.9419313377528614E-3</v>
      </c>
      <c r="BQ33" s="31">
        <f t="shared" si="23"/>
        <v>8</v>
      </c>
      <c r="BR33" s="31">
        <v>2</v>
      </c>
      <c r="BS33" s="107">
        <f t="shared" si="24"/>
        <v>8.7232736958596993E-5</v>
      </c>
    </row>
    <row r="34" spans="1:71" x14ac:dyDescent="0.25">
      <c r="A34" s="40" t="s">
        <v>123</v>
      </c>
      <c r="B34" s="56">
        <f>B23*2</f>
        <v>8.5865938670372604</v>
      </c>
      <c r="C34" s="57">
        <f>C23*2</f>
        <v>1.4134061329627396</v>
      </c>
      <c r="G34" s="87">
        <v>9</v>
      </c>
      <c r="H34" s="126">
        <f>J34*L25+J33*L26+J32*L27+J31*L28</f>
        <v>4.922802272296935E-5</v>
      </c>
      <c r="I34" s="138">
        <v>9</v>
      </c>
      <c r="J34" s="86">
        <f t="shared" si="17"/>
        <v>5.4439352127431652E-7</v>
      </c>
      <c r="K34" s="138">
        <v>9</v>
      </c>
      <c r="L34" s="86"/>
      <c r="M34" s="85"/>
      <c r="N34" s="211"/>
      <c r="O34" s="211"/>
      <c r="P34" s="211"/>
      <c r="Q34" s="28">
        <v>9</v>
      </c>
      <c r="R34" s="211">
        <f>P29*N30+P30*N29</f>
        <v>0.35863714503577704</v>
      </c>
      <c r="S34" s="72">
        <v>9</v>
      </c>
      <c r="T34" s="212">
        <f t="shared" si="19"/>
        <v>1.8389284074216291E-20</v>
      </c>
      <c r="U34" s="138">
        <v>9</v>
      </c>
      <c r="V34" s="86">
        <f>T34*R25+T33*R26+T32*R27+T31*R28+T30*R29+T29*R30+T28*R31+T27*R32+T26*R33+T25*R34</f>
        <v>0.35997798394196423</v>
      </c>
      <c r="W34" s="214"/>
      <c r="X34" s="28">
        <v>9</v>
      </c>
      <c r="Y34" s="211"/>
      <c r="Z34" s="28">
        <v>9</v>
      </c>
      <c r="AA34" s="213"/>
      <c r="AB34" s="28">
        <v>9</v>
      </c>
      <c r="AC34" s="213"/>
      <c r="AD34" s="28">
        <v>9</v>
      </c>
      <c r="AE34" s="213"/>
      <c r="AF34" s="28">
        <v>9</v>
      </c>
      <c r="AG34" s="213"/>
      <c r="AH34" s="28">
        <v>9</v>
      </c>
      <c r="AI34" s="213"/>
      <c r="AJ34" s="28">
        <v>9</v>
      </c>
      <c r="AK34" s="213"/>
      <c r="AL34" s="28">
        <v>9</v>
      </c>
      <c r="AM34" s="213"/>
      <c r="AN34" s="28">
        <v>9</v>
      </c>
      <c r="AO34" s="213"/>
      <c r="AP34" s="28">
        <v>9</v>
      </c>
      <c r="AQ34" s="213">
        <f>((($W$25)^Q34)*((1-($W$25))^($U$34-Q34))*HLOOKUP($U$34,$AV$24:$BF$34,Q34+1))*V34</f>
        <v>9.2539128282885916E-8</v>
      </c>
      <c r="AR34" s="28">
        <v>9</v>
      </c>
      <c r="AS34" s="213">
        <f>((($W$25)^Q34)*((1-($W$25))^($U$35-Q34))*HLOOKUP($U$35,$AV$24:$BF$34,Q34+1))*V35</f>
        <v>4.5185439299143063E-7</v>
      </c>
      <c r="AV34" s="14">
        <v>10</v>
      </c>
      <c r="BF34" s="31">
        <f t="shared" si="20"/>
        <v>1</v>
      </c>
      <c r="BI34" s="31">
        <f t="shared" si="21"/>
        <v>3</v>
      </c>
      <c r="BJ34" s="31">
        <v>7</v>
      </c>
      <c r="BK34" s="107">
        <f t="shared" si="22"/>
        <v>2.0149688881615693E-3</v>
      </c>
      <c r="BQ34" s="31">
        <f t="shared" si="23"/>
        <v>8</v>
      </c>
      <c r="BR34" s="31">
        <v>3</v>
      </c>
      <c r="BS34" s="107">
        <f t="shared" si="24"/>
        <v>8.253068323861511E-5</v>
      </c>
    </row>
    <row r="35" spans="1:71" ht="15.75" thickBot="1" x14ac:dyDescent="0.3">
      <c r="G35" s="88">
        <v>10</v>
      </c>
      <c r="H35" s="127">
        <f>J35*L25+J34*L26+J33*L27+J32*L28</f>
        <v>5.0192734830137177E-6</v>
      </c>
      <c r="I35" s="94">
        <v>10</v>
      </c>
      <c r="J35" s="89">
        <f t="shared" si="17"/>
        <v>1.027455712183469E-8</v>
      </c>
      <c r="K35" s="94">
        <v>10</v>
      </c>
      <c r="L35" s="89"/>
      <c r="M35" s="85"/>
      <c r="N35" s="211"/>
      <c r="O35" s="211"/>
      <c r="P35" s="211"/>
      <c r="Q35" s="28">
        <v>10</v>
      </c>
      <c r="R35" s="211">
        <f>P30*N30</f>
        <v>0.21787591253766941</v>
      </c>
      <c r="S35" s="72">
        <v>10</v>
      </c>
      <c r="T35" s="212">
        <f t="shared" si="19"/>
        <v>1.0267606964944888E-22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0.21573985049894095</v>
      </c>
      <c r="W35" s="214"/>
      <c r="X35" s="28">
        <v>10</v>
      </c>
      <c r="Y35" s="211"/>
      <c r="Z35" s="28">
        <v>10</v>
      </c>
      <c r="AA35" s="213"/>
      <c r="AB35" s="28">
        <v>10</v>
      </c>
      <c r="AC35" s="213"/>
      <c r="AD35" s="28">
        <v>10</v>
      </c>
      <c r="AE35" s="213"/>
      <c r="AF35" s="28">
        <v>10</v>
      </c>
      <c r="AG35" s="213"/>
      <c r="AH35" s="28">
        <v>10</v>
      </c>
      <c r="AI35" s="213"/>
      <c r="AJ35" s="28">
        <v>10</v>
      </c>
      <c r="AK35" s="213"/>
      <c r="AL35" s="28">
        <v>10</v>
      </c>
      <c r="AM35" s="213"/>
      <c r="AN35" s="28">
        <v>10</v>
      </c>
      <c r="AO35" s="213"/>
      <c r="AP35" s="28">
        <v>10</v>
      </c>
      <c r="AQ35" s="213"/>
      <c r="AR35" s="28">
        <v>10</v>
      </c>
      <c r="AS35" s="213">
        <f>((($W$25)^Q35)*((1-($W$25))^($U$35-Q35))*HLOOKUP($U$35,$AV$24:$BF$34,Q35+1))*V35</f>
        <v>1.027455712183469E-8</v>
      </c>
      <c r="BI35" s="31">
        <f t="shared" si="21"/>
        <v>3</v>
      </c>
      <c r="BJ35" s="31">
        <v>8</v>
      </c>
      <c r="BK35" s="107">
        <f t="shared" si="22"/>
        <v>5.5303762775505739E-4</v>
      </c>
      <c r="BQ35" s="31">
        <f t="shared" si="23"/>
        <v>8</v>
      </c>
      <c r="BR35" s="31">
        <v>4</v>
      </c>
      <c r="BS35" s="107">
        <f t="shared" si="24"/>
        <v>5.5507924555315366E-5</v>
      </c>
    </row>
    <row r="36" spans="1:71" ht="15.75" x14ac:dyDescent="0.25">
      <c r="A36" s="109" t="s">
        <v>124</v>
      </c>
      <c r="B36" s="219">
        <f>SUM(BO4:BO14)</f>
        <v>0.18281526694085615</v>
      </c>
      <c r="C36" s="1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208">
        <f>SUM(V39:V49)</f>
        <v>1</v>
      </c>
      <c r="W36" s="158"/>
      <c r="X36" s="158"/>
      <c r="AS36" s="82">
        <f>Y37+AA37+AC37+AE37+AG37+AI37+AK37+AM37+AO37+AQ37+AS37</f>
        <v>0.99999999999999967</v>
      </c>
      <c r="BI36" s="31">
        <f t="shared" si="21"/>
        <v>3</v>
      </c>
      <c r="BJ36" s="31">
        <v>9</v>
      </c>
      <c r="BK36" s="107">
        <f t="shared" si="22"/>
        <v>1.209003489226945E-4</v>
      </c>
      <c r="BQ36" s="31">
        <f t="shared" si="23"/>
        <v>8</v>
      </c>
      <c r="BR36" s="31">
        <v>5</v>
      </c>
      <c r="BS36" s="107">
        <f t="shared" si="24"/>
        <v>2.8723668413016575E-5</v>
      </c>
    </row>
    <row r="37" spans="1:71" ht="16.5" thickBot="1" x14ac:dyDescent="0.3">
      <c r="A37" s="110" t="s">
        <v>125</v>
      </c>
      <c r="B37" s="219">
        <f>SUM(BK4:BK59)</f>
        <v>0.57532347395102368</v>
      </c>
      <c r="G37" s="158"/>
      <c r="H37" s="266">
        <f>SUM(H39:H49)</f>
        <v>0.99998299205307106</v>
      </c>
      <c r="I37" s="267"/>
      <c r="J37" s="266">
        <f>SUM(J39:J49)</f>
        <v>0.99999999999999956</v>
      </c>
      <c r="K37" s="266"/>
      <c r="L37" s="266">
        <f>SUM(L39:L49)</f>
        <v>0.99999999999999989</v>
      </c>
      <c r="M37" s="267"/>
      <c r="N37" s="268">
        <f>SUM(N39:N49)</f>
        <v>0.99999999999999967</v>
      </c>
      <c r="O37" s="267"/>
      <c r="P37" s="268">
        <f>SUM(P39:P49)</f>
        <v>0.99999999999999967</v>
      </c>
      <c r="Q37" s="267"/>
      <c r="R37" s="266">
        <f>SUM(R39:R49)</f>
        <v>0.99999999999999967</v>
      </c>
      <c r="S37" s="267"/>
      <c r="T37" s="266">
        <f>SUM(T39:T49)</f>
        <v>0.99999999999999989</v>
      </c>
      <c r="U37" s="267"/>
      <c r="V37" s="208">
        <f>SUM(V39:V48)</f>
        <v>0.99771083627601931</v>
      </c>
      <c r="W37" s="158"/>
      <c r="X37" s="158"/>
      <c r="Y37" s="205">
        <f>SUM(Y39:Y49)</f>
        <v>2.0642210818688075E-3</v>
      </c>
      <c r="Z37" s="81"/>
      <c r="AA37" s="205">
        <f>SUM(AA39:AA49)</f>
        <v>1.7937131105774363E-2</v>
      </c>
      <c r="AB37" s="81"/>
      <c r="AC37" s="205">
        <f>SUM(AC39:AC49)</f>
        <v>6.9119119666940079E-2</v>
      </c>
      <c r="AD37" s="81"/>
      <c r="AE37" s="205">
        <f>SUM(AE39:AE49)</f>
        <v>0.15585652223911206</v>
      </c>
      <c r="AF37" s="81"/>
      <c r="AG37" s="205">
        <f>SUM(AG39:AG49)</f>
        <v>0.22886405641475061</v>
      </c>
      <c r="AH37" s="81"/>
      <c r="AI37" s="205">
        <f>SUM(AI39:AI49)</f>
        <v>0.23097686060115871</v>
      </c>
      <c r="AJ37" s="81"/>
      <c r="AK37" s="205">
        <f>SUM(AK39:AK49)</f>
        <v>0.165322949298737</v>
      </c>
      <c r="AL37" s="81"/>
      <c r="AM37" s="205">
        <f>SUM(AM39:AM49)</f>
        <v>8.5687047664738669E-2</v>
      </c>
      <c r="AN37" s="81"/>
      <c r="AO37" s="205">
        <f>SUM(AO39:AO49)</f>
        <v>3.2647962136970389E-2</v>
      </c>
      <c r="AP37" s="81"/>
      <c r="AQ37" s="205">
        <f>SUM(AQ39:AQ49)</f>
        <v>9.2349660659681778E-3</v>
      </c>
      <c r="AR37" s="81"/>
      <c r="AS37" s="205">
        <f>SUM(AS39:AS49)</f>
        <v>2.2891637239806908E-3</v>
      </c>
      <c r="BI37" s="31">
        <f t="shared" si="21"/>
        <v>3</v>
      </c>
      <c r="BJ37" s="31">
        <v>10</v>
      </c>
      <c r="BK37" s="107">
        <f t="shared" si="22"/>
        <v>2.0647715329120069E-5</v>
      </c>
      <c r="BQ37" s="31">
        <f t="shared" si="23"/>
        <v>8</v>
      </c>
      <c r="BR37" s="31">
        <v>6</v>
      </c>
      <c r="BS37" s="107">
        <f t="shared" si="24"/>
        <v>1.1949793469023327E-5</v>
      </c>
    </row>
    <row r="38" spans="1:71" ht="16.5" thickBot="1" x14ac:dyDescent="0.3">
      <c r="A38" s="111" t="s">
        <v>126</v>
      </c>
      <c r="B38" s="219">
        <f>SUM(BS4:BS47)</f>
        <v>0.24183887409515664</v>
      </c>
      <c r="G38" s="103" t="str">
        <f t="shared" ref="G38:AS38" si="25">G24</f>
        <v>G</v>
      </c>
      <c r="H38" s="104" t="str">
        <f t="shared" si="25"/>
        <v>p</v>
      </c>
      <c r="I38" s="103" t="str">
        <f t="shared" si="25"/>
        <v>GT</v>
      </c>
      <c r="J38" s="105" t="str">
        <f t="shared" si="25"/>
        <v>p(x)</v>
      </c>
      <c r="K38" s="106" t="str">
        <f t="shared" si="25"/>
        <v>EE(x)</v>
      </c>
      <c r="L38" s="105" t="str">
        <f t="shared" si="25"/>
        <v>p</v>
      </c>
      <c r="M38" s="90" t="str">
        <f t="shared" si="25"/>
        <v>OcaS</v>
      </c>
      <c r="N38" s="30" t="str">
        <f t="shared" si="25"/>
        <v>P</v>
      </c>
      <c r="O38" s="30" t="str">
        <f t="shared" si="25"/>
        <v>O_CA</v>
      </c>
      <c r="P38" s="30" t="str">
        <f t="shared" si="25"/>
        <v>p</v>
      </c>
      <c r="Q38" s="30" t="str">
        <f t="shared" si="25"/>
        <v>TotalN</v>
      </c>
      <c r="R38" s="30" t="str">
        <f t="shared" si="25"/>
        <v>p</v>
      </c>
      <c r="S38" s="30" t="str">
        <f t="shared" si="25"/>
        <v>OcaCA</v>
      </c>
      <c r="T38" s="139" t="str">
        <f t="shared" si="25"/>
        <v>p</v>
      </c>
      <c r="U38" s="140" t="str">
        <f t="shared" si="25"/>
        <v>Total</v>
      </c>
      <c r="V38" s="141" t="str">
        <f t="shared" si="25"/>
        <v>P</v>
      </c>
      <c r="W38" s="90" t="str">
        <f t="shared" si="25"/>
        <v>E(x)</v>
      </c>
      <c r="X38" s="30" t="str">
        <f t="shared" si="25"/>
        <v>G0</v>
      </c>
      <c r="Y38" s="30" t="str">
        <f t="shared" si="25"/>
        <v>p</v>
      </c>
      <c r="Z38" s="30" t="str">
        <f t="shared" si="25"/>
        <v>G1</v>
      </c>
      <c r="AA38" s="30" t="str">
        <f t="shared" si="25"/>
        <v>p</v>
      </c>
      <c r="AB38" s="30" t="str">
        <f t="shared" si="25"/>
        <v>G2</v>
      </c>
      <c r="AC38" s="30" t="str">
        <f t="shared" si="25"/>
        <v>p</v>
      </c>
      <c r="AD38" s="30" t="str">
        <f t="shared" si="25"/>
        <v>G3</v>
      </c>
      <c r="AE38" s="30" t="str">
        <f t="shared" si="25"/>
        <v>p</v>
      </c>
      <c r="AF38" s="30" t="str">
        <f t="shared" si="25"/>
        <v>G4</v>
      </c>
      <c r="AG38" s="30" t="str">
        <f t="shared" si="25"/>
        <v>p</v>
      </c>
      <c r="AH38" s="30" t="str">
        <f t="shared" si="25"/>
        <v>G5</v>
      </c>
      <c r="AI38" s="30" t="str">
        <f t="shared" si="25"/>
        <v>p</v>
      </c>
      <c r="AJ38" s="30" t="str">
        <f t="shared" si="25"/>
        <v>G6</v>
      </c>
      <c r="AK38" s="30" t="str">
        <f t="shared" si="25"/>
        <v>p</v>
      </c>
      <c r="AL38" s="30" t="str">
        <f t="shared" si="25"/>
        <v>G7</v>
      </c>
      <c r="AM38" s="30" t="str">
        <f t="shared" si="25"/>
        <v>p</v>
      </c>
      <c r="AN38" s="30" t="str">
        <f t="shared" si="25"/>
        <v>G8</v>
      </c>
      <c r="AO38" s="30" t="str">
        <f t="shared" si="25"/>
        <v>p</v>
      </c>
      <c r="AP38" s="30" t="str">
        <f t="shared" si="25"/>
        <v>G9</v>
      </c>
      <c r="AQ38" s="30" t="str">
        <f t="shared" si="25"/>
        <v>p</v>
      </c>
      <c r="AR38" s="30" t="str">
        <f t="shared" si="25"/>
        <v>G10</v>
      </c>
      <c r="AS38" s="30" t="str">
        <f t="shared" si="25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6">BI32+1</f>
        <v>4</v>
      </c>
      <c r="BJ38" s="31">
        <v>5</v>
      </c>
      <c r="BK38" s="107">
        <f t="shared" ref="BK38:BK43" si="27">$H$29*H44</f>
        <v>6.2590921582627518E-3</v>
      </c>
      <c r="BQ38" s="31">
        <f>BM11+1</f>
        <v>8</v>
      </c>
      <c r="BR38" s="31">
        <v>7</v>
      </c>
      <c r="BS38" s="107">
        <f t="shared" si="24"/>
        <v>4.0522955738402026E-6</v>
      </c>
    </row>
    <row r="39" spans="1:71" x14ac:dyDescent="0.25">
      <c r="G39" s="128">
        <v>0</v>
      </c>
      <c r="H39" s="129">
        <f>L39*J39</f>
        <v>5.0214740463720715E-2</v>
      </c>
      <c r="I39" s="97">
        <v>0</v>
      </c>
      <c r="J39" s="98">
        <f t="shared" ref="J39:J49" si="28">Y39+AA39+AC39+AE39+AG39+AI39+AK39+AM39+AO39+AQ39+AS39</f>
        <v>8.1994399286427266E-2</v>
      </c>
      <c r="K39" s="102">
        <v>0</v>
      </c>
      <c r="L39" s="98">
        <f>AH18</f>
        <v>0.6124167126136002</v>
      </c>
      <c r="M39" s="85">
        <v>0</v>
      </c>
      <c r="N39" s="210">
        <f>(1-$C$24)^$B$21</f>
        <v>0.46677179920992379</v>
      </c>
      <c r="O39" s="72">
        <v>0</v>
      </c>
      <c r="P39" s="210">
        <f t="shared" ref="P39:P44" si="29">N39</f>
        <v>0.46677179920992379</v>
      </c>
      <c r="Q39" s="28">
        <v>0</v>
      </c>
      <c r="R39" s="211">
        <f>P39*N39</f>
        <v>0.21787591253766941</v>
      </c>
      <c r="S39" s="72">
        <v>0</v>
      </c>
      <c r="T39" s="212">
        <f>(1-$C$33)^(INT(B23*2*(1-B31)))</f>
        <v>9.4742968959999948E-3</v>
      </c>
      <c r="U39" s="138">
        <v>0</v>
      </c>
      <c r="V39" s="86">
        <f>R39*T39</f>
        <v>2.0642210818688075E-3</v>
      </c>
      <c r="W39" s="134">
        <f>C31</f>
        <v>0.47973075811639737</v>
      </c>
      <c r="X39" s="28">
        <v>0</v>
      </c>
      <c r="Y39" s="213">
        <f>V39</f>
        <v>2.0642210818688075E-3</v>
      </c>
      <c r="Z39" s="28">
        <v>0</v>
      </c>
      <c r="AA39" s="213">
        <f>((1-W39)^Z40)*V40</f>
        <v>9.3321376019680144E-3</v>
      </c>
      <c r="AB39" s="28">
        <v>0</v>
      </c>
      <c r="AC39" s="213">
        <f>(((1-$W$39)^AB41))*V41</f>
        <v>1.8709169120918929E-2</v>
      </c>
      <c r="AD39" s="28">
        <v>0</v>
      </c>
      <c r="AE39" s="213">
        <f>(((1-$W$39)^AB42))*V42</f>
        <v>2.1948731976926181E-2</v>
      </c>
      <c r="AF39" s="28">
        <v>0</v>
      </c>
      <c r="AG39" s="213">
        <f>(((1-$W$39)^AB43))*V43</f>
        <v>1.6768344834523212E-2</v>
      </c>
      <c r="AH39" s="28">
        <v>0</v>
      </c>
      <c r="AI39" s="213">
        <f>(((1-$W$39)^AB44))*V44</f>
        <v>8.8045918998208936E-3</v>
      </c>
      <c r="AJ39" s="28">
        <v>0</v>
      </c>
      <c r="AK39" s="213">
        <f>(((1-$W$39)^AB45))*V45</f>
        <v>3.2787028057315692E-3</v>
      </c>
      <c r="AL39" s="28">
        <v>0</v>
      </c>
      <c r="AM39" s="213">
        <f>(((1-$W$39)^AB46))*V46</f>
        <v>8.8412208431824519E-4</v>
      </c>
      <c r="AN39" s="28">
        <v>0</v>
      </c>
      <c r="AO39" s="213">
        <f>(((1-$W$39)^AB47))*V47</f>
        <v>1.7525938717094915E-4</v>
      </c>
      <c r="AP39" s="28">
        <v>0</v>
      </c>
      <c r="AQ39" s="213">
        <f>(((1-$W$39)^AB48))*V48</f>
        <v>2.5792216520480022E-5</v>
      </c>
      <c r="AR39" s="28">
        <v>0</v>
      </c>
      <c r="AS39" s="213">
        <f>(((1-$W$39)^AB49))*V49</f>
        <v>3.3262766599682967E-6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6"/>
        <v>4</v>
      </c>
      <c r="BJ39" s="31">
        <v>6</v>
      </c>
      <c r="BK39" s="107">
        <f t="shared" si="27"/>
        <v>2.6039452036331441E-3</v>
      </c>
      <c r="BQ39" s="31">
        <f t="shared" ref="BQ39:BQ46" si="30">BQ31+1</f>
        <v>9</v>
      </c>
      <c r="BR39" s="31">
        <v>0</v>
      </c>
      <c r="BS39" s="107">
        <f t="shared" ref="BS39:BS47" si="31">$H$34*H39</f>
        <v>2.4719723845760519E-6</v>
      </c>
    </row>
    <row r="40" spans="1:71" x14ac:dyDescent="0.25">
      <c r="G40" s="91">
        <v>1</v>
      </c>
      <c r="H40" s="130">
        <f>L39*J40+L40*J39</f>
        <v>0.16566832451915345</v>
      </c>
      <c r="I40" s="138">
        <v>1</v>
      </c>
      <c r="J40" s="86">
        <f t="shared" si="28"/>
        <v>0.23164679912256736</v>
      </c>
      <c r="K40" s="95">
        <v>1</v>
      </c>
      <c r="L40" s="86">
        <f>AI18</f>
        <v>0.29031194228150264</v>
      </c>
      <c r="M40" s="85">
        <v>1</v>
      </c>
      <c r="N40" s="210">
        <f>(($C$24)^M26)*((1-($C$24))^($B$21-M26))*HLOOKUP($B$21,$AV$24:$BF$34,M26+1)</f>
        <v>0.38416753715929292</v>
      </c>
      <c r="O40" s="72">
        <v>1</v>
      </c>
      <c r="P40" s="210">
        <f t="shared" si="29"/>
        <v>0.38416753715929292</v>
      </c>
      <c r="Q40" s="28">
        <v>1</v>
      </c>
      <c r="R40" s="211">
        <f>P40*N39+P39*N40</f>
        <v>0.35863714503577682</v>
      </c>
      <c r="S40" s="72">
        <v>1</v>
      </c>
      <c r="T40" s="212">
        <f t="shared" ref="T40:T49" si="32">(($C$33)^S40)*((1-($C$33))^(INT($B$23*2*(1-$B$31))-S40))*HLOOKUP(INT($B$23*2*(1-$B$31)),$AV$24:$BF$34,S40+1)</f>
        <v>6.6732004223999969E-2</v>
      </c>
      <c r="U40" s="138">
        <v>1</v>
      </c>
      <c r="V40" s="86">
        <f>R40*T39+T40*R39</f>
        <v>1.7937131105774363E-2</v>
      </c>
      <c r="W40" s="214"/>
      <c r="X40" s="28">
        <v>1</v>
      </c>
      <c r="Y40" s="211"/>
      <c r="Z40" s="28">
        <v>1</v>
      </c>
      <c r="AA40" s="213">
        <f>(1-((1-W39)^Z40))*V40</f>
        <v>8.6049935038063491E-3</v>
      </c>
      <c r="AB40" s="28">
        <v>1</v>
      </c>
      <c r="AC40" s="213">
        <f>((($W$39)^M40)*((1-($W$39))^($U$27-M40))*HLOOKUP($U$27,$AV$24:$BF$34,M40+1))*V41</f>
        <v>3.4502765735723986E-2</v>
      </c>
      <c r="AD40" s="28">
        <v>1</v>
      </c>
      <c r="AE40" s="213">
        <f>((($W$39)^M40)*((1-($W$39))^($U$28-M40))*HLOOKUP($U$28,$AV$24:$BF$34,M40+1))*V42</f>
        <v>6.0715573687556888E-2</v>
      </c>
      <c r="AF40" s="28">
        <v>1</v>
      </c>
      <c r="AG40" s="213">
        <f>((($W$39)^M40)*((1-($W$39))^($U$29-M40))*HLOOKUP($U$29,$AV$24:$BF$34,M40+1))*V43</f>
        <v>6.184713707617339E-2</v>
      </c>
      <c r="AH40" s="28">
        <v>1</v>
      </c>
      <c r="AI40" s="213">
        <f>((($W$39)^M40)*((1-($W$39))^($U$30-M40))*HLOOKUP($U$30,$AV$24:$BF$34,M40+1))*V44</f>
        <v>4.0592766273424508E-2</v>
      </c>
      <c r="AJ40" s="28">
        <v>1</v>
      </c>
      <c r="AK40" s="213">
        <f>((($W$39)^M40)*((1-($W$39))^($U$31-M40))*HLOOKUP($U$31,$AV$24:$BF$34,M40+1))*V45</f>
        <v>1.8139391561231615E-2</v>
      </c>
      <c r="AL40" s="28">
        <v>1</v>
      </c>
      <c r="AM40" s="213">
        <f>((($W$39)^Q40)*((1-($W$39))^($U$32-Q40))*HLOOKUP($U$32,$AV$24:$BF$34,Q40+1))*V46</f>
        <v>5.7066296936814217E-3</v>
      </c>
      <c r="AN40" s="28">
        <v>1</v>
      </c>
      <c r="AO40" s="213">
        <f>((($W$39)^Q40)*((1-($W$39))^($U$33-Q40))*HLOOKUP($U$33,$AV$24:$BF$34,Q40+1))*V47</f>
        <v>1.2928278192289502E-3</v>
      </c>
      <c r="AP40" s="28">
        <v>1</v>
      </c>
      <c r="AQ40" s="213">
        <f>((($W$39)^Q40)*((1-($W$39))^($U$34-Q40))*HLOOKUP($U$34,$AV$24:$BF$34,Q40+1))*V48</f>
        <v>2.1404278265745215E-4</v>
      </c>
      <c r="AR40" s="28">
        <v>1</v>
      </c>
      <c r="AS40" s="213">
        <f>((($W$39)^Q40)*((1-($W$39))^($U$35-Q40))*HLOOKUP($U$35,$AV$24:$BF$34,Q40+1))*V49</f>
        <v>3.0670989082773254E-5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6"/>
        <v>4</v>
      </c>
      <c r="BJ40" s="31">
        <v>7</v>
      </c>
      <c r="BK40" s="107">
        <f t="shared" si="27"/>
        <v>8.8302410000291333E-4</v>
      </c>
      <c r="BQ40" s="31">
        <f t="shared" si="30"/>
        <v>9</v>
      </c>
      <c r="BR40" s="31">
        <v>1</v>
      </c>
      <c r="BS40" s="107">
        <f t="shared" si="31"/>
        <v>8.1555240439051455E-6</v>
      </c>
    </row>
    <row r="41" spans="1:71" x14ac:dyDescent="0.25">
      <c r="G41" s="91">
        <v>2</v>
      </c>
      <c r="H41" s="130">
        <f>L39*J41+J40*L40+J39*L41</f>
        <v>0.25202910739924683</v>
      </c>
      <c r="I41" s="138">
        <v>2</v>
      </c>
      <c r="J41" s="86">
        <f t="shared" si="28"/>
        <v>0.29498376342591537</v>
      </c>
      <c r="K41" s="95">
        <v>2</v>
      </c>
      <c r="L41" s="86">
        <f>AJ18</f>
        <v>5.0324029286195421E-2</v>
      </c>
      <c r="M41" s="85">
        <v>2</v>
      </c>
      <c r="N41" s="210">
        <f>(($C$24)^M27)*((1-($C$24))^($B$21-M27))*HLOOKUP($B$21,$AV$24:$BF$34,M27+1)</f>
        <v>0.12647267624723205</v>
      </c>
      <c r="O41" s="72">
        <v>2</v>
      </c>
      <c r="P41" s="210">
        <f t="shared" si="29"/>
        <v>0.12647267624723205</v>
      </c>
      <c r="Q41" s="28">
        <v>2</v>
      </c>
      <c r="R41" s="211">
        <f>P41*N39+P40*N40+P39*N41</f>
        <v>0.26565245389266612</v>
      </c>
      <c r="S41" s="72">
        <v>2</v>
      </c>
      <c r="T41" s="212">
        <f t="shared" si="32"/>
        <v>0.19584392543999996</v>
      </c>
      <c r="U41" s="138">
        <v>2</v>
      </c>
      <c r="V41" s="86">
        <f>R41*T39+T40*R40+R39*T41</f>
        <v>6.9119119666940093E-2</v>
      </c>
      <c r="W41" s="214"/>
      <c r="X41" s="28">
        <v>2</v>
      </c>
      <c r="Y41" s="211"/>
      <c r="Z41" s="28">
        <v>2</v>
      </c>
      <c r="AA41" s="213"/>
      <c r="AB41" s="28">
        <v>2</v>
      </c>
      <c r="AC41" s="213">
        <f>((($W$39)^M41)*((1-($W$39))^($U$27-M41))*HLOOKUP($U$27,$AV$24:$BF$34,M41+1))*V41</f>
        <v>1.5907184810297167E-2</v>
      </c>
      <c r="AD41" s="28">
        <v>2</v>
      </c>
      <c r="AE41" s="213">
        <f>((($W$39)^M41)*((1-($W$39))^($U$28-M41))*HLOOKUP($U$28,$AV$24:$BF$34,M41+1))*V42</f>
        <v>5.598472069798071E-2</v>
      </c>
      <c r="AF41" s="28">
        <v>2</v>
      </c>
      <c r="AG41" s="213">
        <f>((($W$39)^M41)*((1-($W$39))^($U$29-M41))*HLOOKUP($U$29,$AV$24:$BF$34,M41+1))*V43</f>
        <v>8.554217192274266E-2</v>
      </c>
      <c r="AH41" s="28">
        <v>2</v>
      </c>
      <c r="AI41" s="213">
        <f>((($W$39)^M41)*((1-($W$39))^($U$30-M41))*HLOOKUP($U$30,$AV$24:$BF$34,M41+1))*V44</f>
        <v>7.4859695598720036E-2</v>
      </c>
      <c r="AJ41" s="28">
        <v>2</v>
      </c>
      <c r="AK41" s="213">
        <f>((($W$39)^M41)*((1-($W$39))^($U$31-M41))*HLOOKUP($U$31,$AV$24:$BF$34,M41+1))*V45</f>
        <v>4.181500348711123E-2</v>
      </c>
      <c r="AL41" s="28">
        <v>2</v>
      </c>
      <c r="AM41" s="213">
        <f>((($W$39)^Q41)*((1-($W$39))^($U$32-Q41))*HLOOKUP($U$32,$AV$24:$BF$34,Q41+1))*V46</f>
        <v>1.578593679300273E-2</v>
      </c>
      <c r="AN41" s="28">
        <v>2</v>
      </c>
      <c r="AO41" s="213">
        <f>((($W$39)^Q41)*((1-($W$39))^($U$33-Q41))*HLOOKUP($U$33,$AV$24:$BF$34,Q41+1))*V47</f>
        <v>4.1723251533289834E-3</v>
      </c>
      <c r="AP41" s="28">
        <v>2</v>
      </c>
      <c r="AQ41" s="213">
        <f>((($W$39)^Q41)*((1-($W$39))^($U$34-Q41))*HLOOKUP($U$34,$AV$24:$BF$34,Q41+1))*V48</f>
        <v>7.8945974989292624E-4</v>
      </c>
      <c r="AR41" s="28">
        <v>2</v>
      </c>
      <c r="AS41" s="213">
        <f>((($W$39)^Q41)*((1-($W$39))^($U$35-Q41))*HLOOKUP($U$35,$AV$24:$BF$34,Q41+1))*V49</f>
        <v>1.2726521283892633E-4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6"/>
        <v>4</v>
      </c>
      <c r="BJ41" s="31">
        <v>8</v>
      </c>
      <c r="BK41" s="107">
        <f t="shared" si="27"/>
        <v>2.4235885545692754E-4</v>
      </c>
      <c r="BQ41" s="31">
        <f t="shared" si="30"/>
        <v>9</v>
      </c>
      <c r="BR41" s="31">
        <v>2</v>
      </c>
      <c r="BS41" s="107">
        <f t="shared" si="31"/>
        <v>1.2406894625899806E-5</v>
      </c>
    </row>
    <row r="42" spans="1:71" ht="15" customHeight="1" x14ac:dyDescent="0.25">
      <c r="G42" s="91">
        <v>3</v>
      </c>
      <c r="H42" s="130">
        <f>J42*L39+J41*L40+L42*J39+L41*J40</f>
        <v>0.23844413410472784</v>
      </c>
      <c r="I42" s="138">
        <v>3</v>
      </c>
      <c r="J42" s="86">
        <f t="shared" si="28"/>
        <v>0.22419376335326976</v>
      </c>
      <c r="K42" s="95">
        <v>3</v>
      </c>
      <c r="L42" s="86">
        <f>AK18</f>
        <v>4.6947315818701735E-2</v>
      </c>
      <c r="M42" s="85">
        <v>3</v>
      </c>
      <c r="N42" s="210">
        <f>(($C$24)^M28)*((1-($C$24))^($B$21-M28))*HLOOKUP($B$21,$AV$24:$BF$34,M28+1)</f>
        <v>2.0818179947496178E-2</v>
      </c>
      <c r="O42" s="72">
        <v>3</v>
      </c>
      <c r="P42" s="210">
        <f t="shared" si="29"/>
        <v>2.0818179947496178E-2</v>
      </c>
      <c r="Q42" s="28">
        <v>3</v>
      </c>
      <c r="R42" s="211">
        <f>P42*N39+P41*N40+P40*N41+P39*N42</f>
        <v>0.11660807172442499</v>
      </c>
      <c r="S42" s="72">
        <v>3</v>
      </c>
      <c r="T42" s="212">
        <f t="shared" si="32"/>
        <v>0.30653831807999998</v>
      </c>
      <c r="U42" s="138">
        <v>3</v>
      </c>
      <c r="V42" s="86">
        <f>R42*T39+R41*T40+R40*T41+R39*T42</f>
        <v>0.15585652223911209</v>
      </c>
      <c r="W42" s="214"/>
      <c r="X42" s="28">
        <v>3</v>
      </c>
      <c r="Y42" s="211"/>
      <c r="Z42" s="28">
        <v>3</v>
      </c>
      <c r="AA42" s="213"/>
      <c r="AB42" s="28">
        <v>3</v>
      </c>
      <c r="AC42" s="213"/>
      <c r="AD42" s="28">
        <v>3</v>
      </c>
      <c r="AE42" s="213">
        <f>((($W$39)^M42)*((1-($W$39))^($U$28-M42))*HLOOKUP($U$28,$AV$24:$BF$34,M42+1))*V42</f>
        <v>1.7207495876648278E-2</v>
      </c>
      <c r="AF42" s="28">
        <v>3</v>
      </c>
      <c r="AG42" s="213">
        <f>((($W$39)^M42)*((1-($W$39))^($U$29-M42))*HLOOKUP($U$29,$AV$24:$BF$34,M42+1))*V43</f>
        <v>5.2584582089135051E-2</v>
      </c>
      <c r="AH42" s="28">
        <v>3</v>
      </c>
      <c r="AI42" s="213">
        <f>((($W$39)^M42)*((1-($W$39))^($U$30-M42))*HLOOKUP($U$30,$AV$24:$BF$34,M42+1))*V44</f>
        <v>6.902675697667178E-2</v>
      </c>
      <c r="AJ42" s="28">
        <v>3</v>
      </c>
      <c r="AK42" s="213">
        <f>((($W$39)^M42)*((1-($W$39))^($U$31-M42))*HLOOKUP($U$31,$AV$24:$BF$34,M42+1))*V45</f>
        <v>5.1409133857656428E-2</v>
      </c>
      <c r="AL42" s="28">
        <v>3</v>
      </c>
      <c r="AM42" s="213">
        <f>((($W$39)^Q42)*((1-($W$39))^($U$32-Q42))*HLOOKUP($U$32,$AV$24:$BF$34,Q42+1))*V46</f>
        <v>2.4259872951766133E-2</v>
      </c>
      <c r="AN42" s="28">
        <v>3</v>
      </c>
      <c r="AO42" s="213">
        <f>((($W$39)^Q42)*((1-($W$39))^($U$33-Q42))*HLOOKUP($U$33,$AV$24:$BF$34,Q42+1))*V47</f>
        <v>7.6944495187452732E-3</v>
      </c>
      <c r="AP42" s="28">
        <v>3</v>
      </c>
      <c r="AQ42" s="213">
        <f>((($W$39)^Q42)*((1-($W$39))^($U$34-Q42))*HLOOKUP($U$34,$AV$24:$BF$34,Q42+1))*V48</f>
        <v>1.698541611923519E-3</v>
      </c>
      <c r="AR42" s="28">
        <v>3</v>
      </c>
      <c r="AS42" s="213">
        <f>((($W$39)^Q42)*((1-($W$39))^($U$35-Q42))*HLOOKUP($U$35,$AV$24:$BF$34,Q42+1))*V49</f>
        <v>3.129304707233204E-4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3">BE41+BE42</f>
        <v>210</v>
      </c>
      <c r="BI42" s="31">
        <f t="shared" si="26"/>
        <v>4</v>
      </c>
      <c r="BJ42" s="31">
        <v>9</v>
      </c>
      <c r="BK42" s="107">
        <f t="shared" si="27"/>
        <v>5.298241696173533E-5</v>
      </c>
      <c r="BQ42" s="31">
        <f t="shared" si="30"/>
        <v>9</v>
      </c>
      <c r="BR42" s="31">
        <v>3</v>
      </c>
      <c r="BS42" s="107">
        <f t="shared" si="31"/>
        <v>1.1738133251866293E-5</v>
      </c>
    </row>
    <row r="43" spans="1:71" ht="15" customHeight="1" x14ac:dyDescent="0.25">
      <c r="G43" s="91">
        <v>4</v>
      </c>
      <c r="H43" s="130">
        <f>J43*L39+J42*L40+J41*L41+J40*L42</f>
        <v>0.16037113091958485</v>
      </c>
      <c r="I43" s="138">
        <v>4</v>
      </c>
      <c r="J43" s="86">
        <f t="shared" si="28"/>
        <v>0.1135910167275149</v>
      </c>
      <c r="K43" s="95">
        <v>4</v>
      </c>
      <c r="L43" s="86"/>
      <c r="M43" s="85">
        <v>4</v>
      </c>
      <c r="N43" s="210">
        <f>(($C$24)^M29)*((1-($C$24))^($B$21-M29))*HLOOKUP($B$21,$AV$24:$BF$34,M29+1)</f>
        <v>1.7134001951501253E-3</v>
      </c>
      <c r="O43" s="72">
        <v>4</v>
      </c>
      <c r="P43" s="210">
        <f t="shared" si="29"/>
        <v>1.7134001951501253E-3</v>
      </c>
      <c r="Q43" s="28">
        <v>4</v>
      </c>
      <c r="R43" s="211">
        <f>P43*N39+P42*N40+P41*N41+P40*N42+P39*N43</f>
        <v>3.359020945798806E-2</v>
      </c>
      <c r="S43" s="72">
        <v>4</v>
      </c>
      <c r="T43" s="212">
        <f t="shared" si="32"/>
        <v>0.26988699744</v>
      </c>
      <c r="U43" s="138">
        <v>4</v>
      </c>
      <c r="V43" s="86">
        <f>T43*R39+T42*R40+T41*R41+T40*R42+T39*R43</f>
        <v>0.22886405641475066</v>
      </c>
      <c r="W43" s="214"/>
      <c r="X43" s="28">
        <v>4</v>
      </c>
      <c r="Y43" s="211"/>
      <c r="Z43" s="28">
        <v>4</v>
      </c>
      <c r="AA43" s="213"/>
      <c r="AB43" s="28">
        <v>4</v>
      </c>
      <c r="AC43" s="213"/>
      <c r="AD43" s="28">
        <v>4</v>
      </c>
      <c r="AE43" s="213"/>
      <c r="AF43" s="28">
        <v>4</v>
      </c>
      <c r="AG43" s="213">
        <f>((($W$39)^M43)*((1-($W$39))^($U$29-M43))*HLOOKUP($U$29,$AV$24:$BF$34,M43+1))*V43</f>
        <v>1.2121820492176283E-2</v>
      </c>
      <c r="AH43" s="28">
        <v>4</v>
      </c>
      <c r="AI43" s="213">
        <f>((($W$39)^M43)*((1-($W$39))^($U$30-M43))*HLOOKUP($U$30,$AV$24:$BF$34,M43+1))*V44</f>
        <v>3.1824155445790869E-2</v>
      </c>
      <c r="AJ43" s="28">
        <v>4</v>
      </c>
      <c r="AK43" s="213">
        <f>((($W$39)^M43)*((1-($W$39))^($U$31-M43))*HLOOKUP($U$31,$AV$24:$BF$34,M43+1))*V45</f>
        <v>3.5552566980057765E-2</v>
      </c>
      <c r="AL43" s="28">
        <v>4</v>
      </c>
      <c r="AM43" s="213">
        <f>((($W$39)^Q43)*((1-($W$39))^($U$32-Q43))*HLOOKUP($U$32,$AV$24:$BF$34,Q43+1))*V46</f>
        <v>2.2369585410859275E-2</v>
      </c>
      <c r="AN43" s="28">
        <v>4</v>
      </c>
      <c r="AO43" s="213">
        <f>((($W$39)^Q43)*((1-($W$39))^($U$33-Q43))*HLOOKUP($U$33,$AV$24:$BF$34,Q43+1))*V47</f>
        <v>8.8686390712624727E-3</v>
      </c>
      <c r="AP43" s="28">
        <v>4</v>
      </c>
      <c r="AQ43" s="213">
        <f>((($W$39)^Q43)*((1-($W$39))^($U$34-Q43))*HLOOKUP($U$34,$AV$24:$BF$34,Q43+1))*V48</f>
        <v>2.3492912599356154E-3</v>
      </c>
      <c r="AR43" s="28">
        <v>4</v>
      </c>
      <c r="AS43" s="213">
        <f>((($W$39)^Q43)*((1-($W$39))^($U$35-Q43))*HLOOKUP($U$35,$AV$24:$BF$34,Q43+1))*V49</f>
        <v>5.0495806743263165E-4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3"/>
        <v>252</v>
      </c>
      <c r="BI43" s="31">
        <f t="shared" si="26"/>
        <v>4</v>
      </c>
      <c r="BJ43" s="31">
        <v>10</v>
      </c>
      <c r="BK43" s="107">
        <f t="shared" si="27"/>
        <v>9.0484921890022999E-6</v>
      </c>
      <c r="BQ43" s="31">
        <f t="shared" si="30"/>
        <v>9</v>
      </c>
      <c r="BR43" s="31">
        <v>4</v>
      </c>
      <c r="BS43" s="107">
        <f t="shared" si="31"/>
        <v>7.8947536770176164E-6</v>
      </c>
    </row>
    <row r="44" spans="1:71" ht="15" customHeight="1" thickBot="1" x14ac:dyDescent="0.3">
      <c r="G44" s="91">
        <v>5</v>
      </c>
      <c r="H44" s="130">
        <f>J44*L39+J43*L40+J42*L41+J41*L42</f>
        <v>8.2987199115401228E-2</v>
      </c>
      <c r="I44" s="138">
        <v>5</v>
      </c>
      <c r="J44" s="86">
        <f t="shared" si="28"/>
        <v>4.0624856401469886E-2</v>
      </c>
      <c r="K44" s="95">
        <v>5</v>
      </c>
      <c r="L44" s="86"/>
      <c r="M44" s="85">
        <v>5</v>
      </c>
      <c r="N44" s="210">
        <f>(($C$24)^M30)*((1-($C$24))^($B$21-M30))*HLOOKUP($B$21,$AV$24:$BF$34,M30+1)</f>
        <v>5.6407240904718419E-5</v>
      </c>
      <c r="O44" s="72">
        <v>5</v>
      </c>
      <c r="P44" s="210">
        <f t="shared" si="29"/>
        <v>5.6407240904718419E-5</v>
      </c>
      <c r="Q44" s="28">
        <v>5</v>
      </c>
      <c r="R44" s="211">
        <f>P44*N39+P43*N40+P42*N41+P41*N42+P40*N43+P39*N44</f>
        <v>6.6349859500418823E-3</v>
      </c>
      <c r="S44" s="72">
        <v>5</v>
      </c>
      <c r="T44" s="212">
        <f t="shared" si="32"/>
        <v>0.12672954662400002</v>
      </c>
      <c r="U44" s="138">
        <v>5</v>
      </c>
      <c r="V44" s="86">
        <f>T44*R39+T43*R40+T42*R41+T41*R42+T40*R43+T39*R44</f>
        <v>0.2309768606011588</v>
      </c>
      <c r="W44" s="214"/>
      <c r="X44" s="28">
        <v>5</v>
      </c>
      <c r="Y44" s="211"/>
      <c r="Z44" s="28">
        <v>5</v>
      </c>
      <c r="AA44" s="213"/>
      <c r="AB44" s="28">
        <v>5</v>
      </c>
      <c r="AC44" s="213"/>
      <c r="AD44" s="28">
        <v>5</v>
      </c>
      <c r="AE44" s="213"/>
      <c r="AF44" s="28">
        <v>5</v>
      </c>
      <c r="AG44" s="213"/>
      <c r="AH44" s="28">
        <v>5</v>
      </c>
      <c r="AI44" s="213">
        <f>((($W$39)^M44)*((1-($W$39))^($U$30-M44))*HLOOKUP($U$30,$AV$24:$BF$34,M44+1))*V44</f>
        <v>5.8688944067306409E-3</v>
      </c>
      <c r="AJ44" s="28">
        <v>5</v>
      </c>
      <c r="AK44" s="213">
        <f>((($W$39)^M44)*((1-($W$39))^($U$31-M44))*HLOOKUP($U$31,$AV$24:$BF$34,M44+1))*V45</f>
        <v>1.3112948863613886E-2</v>
      </c>
      <c r="AL44" s="28">
        <v>5</v>
      </c>
      <c r="AM44" s="213">
        <f>((($W$39)^Q44)*((1-($W$39))^($U$32-Q44))*HLOOKUP($U$32,$AV$24:$BF$34,Q44+1))*V46</f>
        <v>1.2375951492787156E-2</v>
      </c>
      <c r="AN44" s="28">
        <v>5</v>
      </c>
      <c r="AO44" s="213">
        <f>((($W$39)^Q44)*((1-($W$39))^($U$33-Q44))*HLOOKUP($U$33,$AV$24:$BF$34,Q44+1))*V47</f>
        <v>6.5420879846197792E-3</v>
      </c>
      <c r="AP44" s="28">
        <v>5</v>
      </c>
      <c r="AQ44" s="213">
        <f>((($W$39)^Q44)*((1-($W$39))^($U$34-Q44))*HLOOKUP($U$34,$AV$24:$BF$34,Q44+1))*V48</f>
        <v>2.1662385288909389E-3</v>
      </c>
      <c r="AR44" s="28">
        <v>5</v>
      </c>
      <c r="AS44" s="213">
        <f>((($W$39)^Q44)*((1-($W$39))^($U$35-Q44))*HLOOKUP($U$35,$AV$24:$BF$34,Q44+1))*V49</f>
        <v>5.5873512482748698E-4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3"/>
        <v>210</v>
      </c>
      <c r="BI44" s="31">
        <f>BI39+1</f>
        <v>5</v>
      </c>
      <c r="BJ44" s="31">
        <v>6</v>
      </c>
      <c r="BK44" s="107">
        <f>$H$30*H45</f>
        <v>9.0936994968888627E-4</v>
      </c>
      <c r="BQ44" s="31">
        <f t="shared" si="30"/>
        <v>9</v>
      </c>
      <c r="BR44" s="31">
        <v>5</v>
      </c>
      <c r="BS44" s="107">
        <f t="shared" si="31"/>
        <v>4.085295723768554E-6</v>
      </c>
    </row>
    <row r="45" spans="1:71" ht="15" customHeight="1" thickBot="1" x14ac:dyDescent="0.3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>
        <f>J45*L39+J44*L40+J43*L41+J42*L42</f>
        <v>3.4524834214851363E-2</v>
      </c>
      <c r="I45" s="138">
        <v>6</v>
      </c>
      <c r="J45" s="86">
        <f t="shared" si="28"/>
        <v>1.0596216676004515E-2</v>
      </c>
      <c r="K45" s="95">
        <v>6</v>
      </c>
      <c r="L45" s="86"/>
      <c r="M45" s="85"/>
      <c r="N45" s="211"/>
      <c r="O45" s="211"/>
      <c r="P45" s="211"/>
      <c r="Q45" s="28">
        <v>6</v>
      </c>
      <c r="R45" s="211">
        <f>P44*N40+P43*N41+P42*N42+P41*N43+P40*N44</f>
        <v>9.101328942852972E-4</v>
      </c>
      <c r="S45" s="72">
        <v>6</v>
      </c>
      <c r="T45" s="212">
        <f t="shared" si="32"/>
        <v>2.4794911296000009E-2</v>
      </c>
      <c r="U45" s="138">
        <v>6</v>
      </c>
      <c r="V45" s="86">
        <f>T45*R39+T44*R40+T43*R41+T42*R42+T41*R43+T40*R44+T39*R45</f>
        <v>0.16532294929873709</v>
      </c>
      <c r="W45" s="214"/>
      <c r="X45" s="28">
        <v>6</v>
      </c>
      <c r="Y45" s="211"/>
      <c r="Z45" s="28">
        <v>6</v>
      </c>
      <c r="AA45" s="213"/>
      <c r="AB45" s="28">
        <v>6</v>
      </c>
      <c r="AC45" s="213"/>
      <c r="AD45" s="28">
        <v>6</v>
      </c>
      <c r="AE45" s="213"/>
      <c r="AF45" s="28">
        <v>6</v>
      </c>
      <c r="AG45" s="213"/>
      <c r="AH45" s="28">
        <v>6</v>
      </c>
      <c r="AI45" s="213"/>
      <c r="AJ45" s="28">
        <v>6</v>
      </c>
      <c r="AK45" s="213">
        <f>((($W$39)^Q45)*((1-($W$39))^($U$31-Q45))*HLOOKUP($U$31,$AV$24:$BF$34,Q45+1))*V45</f>
        <v>2.0152017433345366E-3</v>
      </c>
      <c r="AL45" s="28">
        <v>6</v>
      </c>
      <c r="AM45" s="213">
        <f>((($W$39)^Q45)*((1-($W$39))^($U$32-Q45))*HLOOKUP($U$32,$AV$24:$BF$34,Q45+1))*V46</f>
        <v>3.8038795518973672E-3</v>
      </c>
      <c r="AN45" s="28">
        <v>6</v>
      </c>
      <c r="AO45" s="213">
        <f>((($W$39)^Q45)*((1-($W$39))^($U$33-Q45))*HLOOKUP($U$33,$AV$24:$BF$34,Q45+1))*V47</f>
        <v>3.0161698750086506E-3</v>
      </c>
      <c r="AP45" s="28">
        <v>6</v>
      </c>
      <c r="AQ45" s="213">
        <f>((($W$39)^Q45)*((1-($W$39))^($U$34-Q45))*HLOOKUP($U$34,$AV$24:$BF$34,Q45+1))*V48</f>
        <v>1.3316326343688245E-3</v>
      </c>
      <c r="AR45" s="28">
        <v>6</v>
      </c>
      <c r="AS45" s="213">
        <f>((($W$39)^Q45)*((1-($W$39))^($U$35-Q45))*HLOOKUP($U$35,$AV$24:$BF$34,Q45+1))*V49</f>
        <v>4.2933287139513773E-4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3"/>
        <v>120</v>
      </c>
      <c r="BI45" s="31">
        <f>BI40+1</f>
        <v>5</v>
      </c>
      <c r="BJ45" s="31">
        <v>7</v>
      </c>
      <c r="BK45" s="107">
        <f>$H$30*H46</f>
        <v>3.0837652815172419E-4</v>
      </c>
      <c r="BQ45" s="31">
        <f t="shared" si="30"/>
        <v>9</v>
      </c>
      <c r="BR45" s="31">
        <v>6</v>
      </c>
      <c r="BS45" s="107">
        <f t="shared" si="31"/>
        <v>1.6995893232354526E-6</v>
      </c>
    </row>
    <row r="46" spans="1:71" ht="15" customHeight="1" thickBot="1" x14ac:dyDescent="0.3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>
        <f>J46*L39+J45*L40+J44*L41+J43*L42</f>
        <v>1.1707719739180026E-2</v>
      </c>
      <c r="I46" s="138">
        <v>7</v>
      </c>
      <c r="J46" s="86">
        <f t="shared" si="28"/>
        <v>2.0481343332571307E-3</v>
      </c>
      <c r="K46" s="95">
        <v>7</v>
      </c>
      <c r="L46" s="86"/>
      <c r="M46" s="85"/>
      <c r="N46" s="211"/>
      <c r="O46" s="211"/>
      <c r="P46" s="211"/>
      <c r="Q46" s="28">
        <v>7</v>
      </c>
      <c r="R46" s="211">
        <f>P44*N41+P43*N42+P42*N43+P41*N44</f>
        <v>8.5607696603304901E-5</v>
      </c>
      <c r="S46" s="72">
        <v>7</v>
      </c>
      <c r="T46" s="212">
        <f t="shared" si="32"/>
        <v>0</v>
      </c>
      <c r="U46" s="138">
        <v>7</v>
      </c>
      <c r="V46" s="86">
        <f>T46*R39+T45*R40+T44*R41+T43*R42+T42*R43+T41*R44+T40*R45+T39*R46</f>
        <v>8.5687047664738697E-2</v>
      </c>
      <c r="W46" s="214"/>
      <c r="X46" s="28">
        <v>7</v>
      </c>
      <c r="Y46" s="211"/>
      <c r="Z46" s="28">
        <v>7</v>
      </c>
      <c r="AA46" s="213"/>
      <c r="AB46" s="28">
        <v>7</v>
      </c>
      <c r="AC46" s="213"/>
      <c r="AD46" s="28">
        <v>7</v>
      </c>
      <c r="AE46" s="213"/>
      <c r="AF46" s="28">
        <v>7</v>
      </c>
      <c r="AG46" s="213"/>
      <c r="AH46" s="28">
        <v>7</v>
      </c>
      <c r="AI46" s="213"/>
      <c r="AJ46" s="28">
        <v>7</v>
      </c>
      <c r="AK46" s="213"/>
      <c r="AL46" s="28">
        <v>7</v>
      </c>
      <c r="AM46" s="213">
        <f>((($W$39)^Q46)*((1-($W$39))^($U$32-Q46))*HLOOKUP($U$32,$AV$24:$BF$34,Q46+1))*V46</f>
        <v>5.0106968642633486E-4</v>
      </c>
      <c r="AN46" s="28">
        <v>7</v>
      </c>
      <c r="AO46" s="213">
        <f>((($W$39)^Q46)*((1-($W$39))^($U$33-Q46))*HLOOKUP($U$33,$AV$24:$BF$34,Q46+1))*V47</f>
        <v>7.946157457721305E-4</v>
      </c>
      <c r="AP46" s="28">
        <v>7</v>
      </c>
      <c r="AQ46" s="213">
        <f>((($W$39)^Q46)*((1-($W$39))^($U$34-Q46))*HLOOKUP($U$34,$AV$24:$BF$34,Q46+1))*V48</f>
        <v>5.2623176215354367E-4</v>
      </c>
      <c r="AR46" s="28">
        <v>7</v>
      </c>
      <c r="AS46" s="213">
        <f>((($W$39)^Q46)*((1-($W$39))^($U$35-Q46))*HLOOKUP($U$35,$AV$24:$BF$34,Q46+1))*V49</f>
        <v>2.2621713890512158E-4</v>
      </c>
      <c r="AV46" s="14">
        <v>8</v>
      </c>
      <c r="BD46" s="31">
        <v>1</v>
      </c>
      <c r="BE46" s="31">
        <v>9</v>
      </c>
      <c r="BF46" s="31">
        <f t="shared" si="33"/>
        <v>45</v>
      </c>
      <c r="BI46" s="31">
        <f>BI41+1</f>
        <v>5</v>
      </c>
      <c r="BJ46" s="31">
        <v>8</v>
      </c>
      <c r="BK46" s="107">
        <f>$H$30*H47</f>
        <v>8.4638440120021969E-5</v>
      </c>
      <c r="BQ46" s="31">
        <f t="shared" si="30"/>
        <v>9</v>
      </c>
      <c r="BR46" s="31">
        <v>7</v>
      </c>
      <c r="BS46" s="107">
        <f t="shared" si="31"/>
        <v>5.7634789335451111E-7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>
        <f>J47*L39+J46*L40+J45*L41+J44*L42</f>
        <v>3.2133546026533E-3</v>
      </c>
      <c r="I47" s="138">
        <v>8</v>
      </c>
      <c r="J47" s="86">
        <f t="shared" si="28"/>
        <v>2.9111626241516686E-4</v>
      </c>
      <c r="K47" s="95">
        <v>8</v>
      </c>
      <c r="L47" s="86"/>
      <c r="M47" s="85"/>
      <c r="N47" s="211"/>
      <c r="O47" s="211"/>
      <c r="P47" s="211"/>
      <c r="Q47" s="28">
        <v>8</v>
      </c>
      <c r="R47" s="211">
        <f>P44*N42+P43*N43+P42*N44</f>
        <v>5.2843324117328769E-6</v>
      </c>
      <c r="S47" s="72">
        <v>8</v>
      </c>
      <c r="T47" s="212">
        <f t="shared" si="32"/>
        <v>0</v>
      </c>
      <c r="U47" s="138">
        <v>8</v>
      </c>
      <c r="V47" s="86">
        <f>T47*R39+T46*R40+T45*R41+T44*R42+T43*R43+T42*R44+T41*R45+T40*R46+T39*R47</f>
        <v>3.2647962136970403E-2</v>
      </c>
      <c r="W47" s="214"/>
      <c r="X47" s="28">
        <v>8</v>
      </c>
      <c r="Y47" s="211"/>
      <c r="Z47" s="28">
        <v>8</v>
      </c>
      <c r="AA47" s="213"/>
      <c r="AB47" s="28">
        <v>8</v>
      </c>
      <c r="AC47" s="213"/>
      <c r="AD47" s="28">
        <v>8</v>
      </c>
      <c r="AE47" s="213"/>
      <c r="AF47" s="28">
        <v>8</v>
      </c>
      <c r="AG47" s="213"/>
      <c r="AH47" s="28">
        <v>8</v>
      </c>
      <c r="AI47" s="213"/>
      <c r="AJ47" s="28">
        <v>8</v>
      </c>
      <c r="AK47" s="213"/>
      <c r="AL47" s="28">
        <v>8</v>
      </c>
      <c r="AM47" s="213"/>
      <c r="AN47" s="28">
        <v>8</v>
      </c>
      <c r="AO47" s="213">
        <f>((($W$39)^Q47)*((1-($W$39))^($U$33-Q47))*HLOOKUP($U$33,$AV$24:$BF$34,Q47+1))*V47</f>
        <v>9.1587581833199922E-5</v>
      </c>
      <c r="AP47" s="28">
        <v>8</v>
      </c>
      <c r="AQ47" s="213">
        <f>((($W$39)^Q47)*((1-($W$39))^($U$34-Q47))*HLOOKUP($U$34,$AV$24:$BF$34,Q47+1))*V48</f>
        <v>1.2130717226760763E-4</v>
      </c>
      <c r="AR47" s="28">
        <v>8</v>
      </c>
      <c r="AS47" s="213">
        <f>((($W$39)^Q47)*((1-($W$39))^($U$35-Q47))*HLOOKUP($U$35,$AV$24:$BF$34,Q47+1))*V49</f>
        <v>7.8221508314359295E-5</v>
      </c>
      <c r="AV47" s="29">
        <v>9</v>
      </c>
      <c r="BE47" s="31">
        <v>1</v>
      </c>
      <c r="BF47" s="31">
        <f t="shared" si="33"/>
        <v>10</v>
      </c>
      <c r="BI47" s="31">
        <f>BI42+1</f>
        <v>5</v>
      </c>
      <c r="BJ47" s="31">
        <v>9</v>
      </c>
      <c r="BK47" s="107">
        <f>$H$30*H48</f>
        <v>1.8502930775833933E-5</v>
      </c>
      <c r="BQ47" s="31">
        <f>BM12+1</f>
        <v>9</v>
      </c>
      <c r="BR47" s="31">
        <v>8</v>
      </c>
      <c r="BS47" s="107">
        <f t="shared" si="31"/>
        <v>1.5818709339637479E-7</v>
      </c>
    </row>
    <row r="48" spans="1:71" ht="15" customHeight="1" thickBot="1" x14ac:dyDescent="0.3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>
        <f>J48*L39+J47*L40+J46*L41+J45*L42</f>
        <v>7.024760580037723E-4</v>
      </c>
      <c r="I48" s="138">
        <v>9</v>
      </c>
      <c r="J48" s="86">
        <f t="shared" si="28"/>
        <v>2.8456485808899165E-5</v>
      </c>
      <c r="K48" s="95">
        <v>9</v>
      </c>
      <c r="L48" s="86"/>
      <c r="M48" s="85"/>
      <c r="N48" s="211"/>
      <c r="O48" s="211"/>
      <c r="P48" s="211"/>
      <c r="Q48" s="28">
        <v>9</v>
      </c>
      <c r="R48" s="211">
        <f>P44*N43+P43*N44</f>
        <v>1.9329635514804935E-7</v>
      </c>
      <c r="S48" s="72">
        <v>9</v>
      </c>
      <c r="T48" s="212">
        <f t="shared" si="32"/>
        <v>0</v>
      </c>
      <c r="U48" s="138">
        <v>9</v>
      </c>
      <c r="V48" s="86">
        <f>T48*R39+T47*R40+T46*R41+T45*R42+T44*R43+T43*R44+T42*R45+T41*R46+T40*R47+T39*R48</f>
        <v>9.2349660659681813E-3</v>
      </c>
      <c r="W48" s="214"/>
      <c r="X48" s="28">
        <v>9</v>
      </c>
      <c r="Y48" s="211"/>
      <c r="Z48" s="28">
        <v>9</v>
      </c>
      <c r="AA48" s="213"/>
      <c r="AB48" s="28">
        <v>9</v>
      </c>
      <c r="AC48" s="213"/>
      <c r="AD48" s="28">
        <v>9</v>
      </c>
      <c r="AE48" s="213"/>
      <c r="AF48" s="28">
        <v>9</v>
      </c>
      <c r="AG48" s="213"/>
      <c r="AH48" s="28">
        <v>9</v>
      </c>
      <c r="AI48" s="213"/>
      <c r="AJ48" s="28">
        <v>9</v>
      </c>
      <c r="AK48" s="213"/>
      <c r="AL48" s="28">
        <v>9</v>
      </c>
      <c r="AM48" s="213"/>
      <c r="AN48" s="28">
        <v>9</v>
      </c>
      <c r="AO48" s="213"/>
      <c r="AP48" s="28">
        <v>9</v>
      </c>
      <c r="AQ48" s="213">
        <f>((($W$39)^Q48)*((1-($W$39))^($U$34-Q48))*HLOOKUP($U$34,$AV$24:$BF$34,Q48+1))*V48</f>
        <v>1.2428347357269867E-5</v>
      </c>
      <c r="AR48" s="28">
        <v>9</v>
      </c>
      <c r="AS48" s="213">
        <f>((($W$39)^Q48)*((1-($W$39))^($U$35-Q48))*HLOOKUP($U$35,$AV$24:$BF$34,Q48+1))*V49</f>
        <v>1.6028138451629298E-5</v>
      </c>
      <c r="AV48" s="14">
        <v>10</v>
      </c>
      <c r="BF48" s="31">
        <f t="shared" si="33"/>
        <v>1</v>
      </c>
      <c r="BI48" s="31">
        <f>BI43+1</f>
        <v>5</v>
      </c>
      <c r="BJ48" s="31">
        <v>10</v>
      </c>
      <c r="BK48" s="107">
        <f>$H$30*H49</f>
        <v>3.1599846552810029E-6</v>
      </c>
    </row>
    <row r="49" spans="1:63" ht="15" customHeight="1" thickBot="1" x14ac:dyDescent="0.3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>
        <f>J49*L39+J48*L40+J47*L41+J46*L42</f>
        <v>1.1997091654763329E-4</v>
      </c>
      <c r="I49" s="94">
        <v>10</v>
      </c>
      <c r="J49" s="89">
        <f t="shared" si="28"/>
        <v>1.4779253493357522E-6</v>
      </c>
      <c r="K49" s="96">
        <v>10</v>
      </c>
      <c r="L49" s="89"/>
      <c r="M49" s="85"/>
      <c r="N49" s="211"/>
      <c r="O49" s="211"/>
      <c r="P49" s="211"/>
      <c r="Q49" s="28">
        <v>10</v>
      </c>
      <c r="R49" s="211">
        <f>P44*N44</f>
        <v>3.1817768264829388E-9</v>
      </c>
      <c r="S49" s="72">
        <v>10</v>
      </c>
      <c r="T49" s="212">
        <f t="shared" si="32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2.2891637239806917E-3</v>
      </c>
      <c r="W49" s="214"/>
      <c r="X49" s="28">
        <v>10</v>
      </c>
      <c r="Y49" s="211"/>
      <c r="Z49" s="28">
        <v>10</v>
      </c>
      <c r="AA49" s="213"/>
      <c r="AB49" s="28">
        <v>10</v>
      </c>
      <c r="AC49" s="213"/>
      <c r="AD49" s="28">
        <v>10</v>
      </c>
      <c r="AE49" s="213"/>
      <c r="AF49" s="28">
        <v>10</v>
      </c>
      <c r="AG49" s="213"/>
      <c r="AH49" s="28">
        <v>10</v>
      </c>
      <c r="AI49" s="213"/>
      <c r="AJ49" s="28">
        <v>10</v>
      </c>
      <c r="AK49" s="213"/>
      <c r="AL49" s="28">
        <v>10</v>
      </c>
      <c r="AM49" s="213"/>
      <c r="AN49" s="28">
        <v>10</v>
      </c>
      <c r="AO49" s="213"/>
      <c r="AP49" s="28">
        <v>10</v>
      </c>
      <c r="AQ49" s="213"/>
      <c r="AR49" s="28">
        <v>10</v>
      </c>
      <c r="AS49" s="213">
        <f>((($W$39)^Q49)*((1-($W$39))^($U$35-Q49))*HLOOKUP($U$35,$AV$24:$BF$34,Q49+1))*V49</f>
        <v>1.4779253493357522E-6</v>
      </c>
      <c r="BI49" s="31">
        <f>BQ14+1</f>
        <v>6</v>
      </c>
      <c r="BJ49" s="31">
        <v>0</v>
      </c>
      <c r="BK49" s="107">
        <f>$H$31*H39</f>
        <v>3.8449272886799553E-4</v>
      </c>
    </row>
    <row r="50" spans="1:63" ht="15.75" thickBot="1" x14ac:dyDescent="0.3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217"/>
      <c r="H50" s="77"/>
      <c r="I50" s="293"/>
      <c r="J50" s="293"/>
      <c r="K50" s="77"/>
      <c r="L50" s="77"/>
      <c r="O50" s="204"/>
      <c r="P50" s="204"/>
      <c r="Q50" s="204"/>
      <c r="R50" s="204"/>
      <c r="S50" s="217"/>
      <c r="T50" s="217"/>
      <c r="U50" s="217"/>
      <c r="V50" s="77"/>
      <c r="W50" s="293"/>
      <c r="X50" s="158"/>
      <c r="Y50" s="158"/>
      <c r="BI50" s="31">
        <f>BI45+1</f>
        <v>6</v>
      </c>
      <c r="BJ50" s="31">
        <v>7</v>
      </c>
      <c r="BK50" s="107">
        <f>$H$31*H46</f>
        <v>8.9645651252370906E-5</v>
      </c>
    </row>
    <row r="51" spans="1:63" ht="15.75" thickBot="1" x14ac:dyDescent="0.3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I51" s="31">
        <f>BI46+1</f>
        <v>6</v>
      </c>
      <c r="BJ51" s="31">
        <v>8</v>
      </c>
      <c r="BK51" s="107">
        <f>$H$31*H47</f>
        <v>2.4604557717217248E-5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5.3788376483085303E-6</v>
      </c>
    </row>
    <row r="53" spans="1:63" x14ac:dyDescent="0.25">
      <c r="BI53" s="31">
        <f>BI48+1</f>
        <v>6</v>
      </c>
      <c r="BJ53" s="31">
        <v>10</v>
      </c>
      <c r="BK53" s="107">
        <f>$H$31*H49</f>
        <v>9.1861363142005537E-7</v>
      </c>
    </row>
    <row r="54" spans="1:63" x14ac:dyDescent="0.25">
      <c r="BI54" s="31">
        <f>BI51+1</f>
        <v>7</v>
      </c>
      <c r="BJ54" s="31">
        <v>8</v>
      </c>
      <c r="BK54" s="107">
        <f>$H$32*H47</f>
        <v>5.8876652752209739E-6</v>
      </c>
    </row>
    <row r="55" spans="1:63" x14ac:dyDescent="0.25">
      <c r="BI55" s="31">
        <f>BI52+1</f>
        <v>7</v>
      </c>
      <c r="BJ55" s="31">
        <v>9</v>
      </c>
      <c r="BK55" s="107">
        <f>$H$32*H48</f>
        <v>1.2871109494009263E-6</v>
      </c>
    </row>
    <row r="56" spans="1:63" x14ac:dyDescent="0.25">
      <c r="BI56" s="31">
        <f>BI53+1</f>
        <v>7</v>
      </c>
      <c r="BJ56" s="31">
        <v>10</v>
      </c>
      <c r="BK56" s="107">
        <f>$H$32*H49</f>
        <v>2.1981657387289112E-7</v>
      </c>
    </row>
    <row r="57" spans="1:63" x14ac:dyDescent="0.25">
      <c r="BI57" s="31">
        <f>BI55+1</f>
        <v>8</v>
      </c>
      <c r="BJ57" s="31">
        <v>9</v>
      </c>
      <c r="BK57" s="107">
        <f>$H$33*H48</f>
        <v>2.4314219028074975E-7</v>
      </c>
    </row>
    <row r="58" spans="1:63" x14ac:dyDescent="0.25">
      <c r="BI58" s="31">
        <f>BI56+1</f>
        <v>8</v>
      </c>
      <c r="BJ58" s="31">
        <v>10</v>
      </c>
      <c r="BK58" s="107">
        <f>$H$33*H49</f>
        <v>4.152453466139904E-8</v>
      </c>
    </row>
    <row r="59" spans="1:63" x14ac:dyDescent="0.25">
      <c r="BI59" s="31">
        <f>BI58+1</f>
        <v>9</v>
      </c>
      <c r="BJ59" s="31">
        <v>10</v>
      </c>
      <c r="BK59" s="107">
        <f>$H$34*H49</f>
        <v>5.905931005902351E-9</v>
      </c>
    </row>
  </sheetData>
  <mergeCells count="2">
    <mergeCell ref="Q1:R1"/>
    <mergeCell ref="B3:C3"/>
  </mergeCells>
  <conditionalFormatting sqref="H49">
    <cfRule type="cellIs" dxfId="111" priority="1" operator="greaterThan">
      <formula>0.15</formula>
    </cfRule>
  </conditionalFormatting>
  <conditionalFormatting sqref="H39:H49">
    <cfRule type="cellIs" dxfId="110" priority="2" operator="greaterThan">
      <formula>0.15</formula>
    </cfRule>
  </conditionalFormatting>
  <conditionalFormatting sqref="H49">
    <cfRule type="cellIs" dxfId="109" priority="3" operator="greaterThan">
      <formula>0.15</formula>
    </cfRule>
  </conditionalFormatting>
  <conditionalFormatting sqref="H39:H49">
    <cfRule type="cellIs" dxfId="108" priority="4" operator="greaterThan">
      <formula>0.15</formula>
    </cfRule>
  </conditionalFormatting>
  <conditionalFormatting sqref="H35">
    <cfRule type="cellIs" dxfId="107" priority="5" operator="greaterThan">
      <formula>0.15</formula>
    </cfRule>
  </conditionalFormatting>
  <conditionalFormatting sqref="H25:H35">
    <cfRule type="cellIs" dxfId="106" priority="6" operator="greaterThan">
      <formula>0.15</formula>
    </cfRule>
  </conditionalFormatting>
  <conditionalFormatting sqref="H35">
    <cfRule type="cellIs" dxfId="105" priority="7" operator="greaterThan">
      <formula>0.15</formula>
    </cfRule>
  </conditionalFormatting>
  <conditionalFormatting sqref="H25:H35">
    <cfRule type="cellIs" dxfId="104" priority="8" operator="greaterThan">
      <formula>0.15</formula>
    </cfRule>
  </conditionalFormatting>
  <conditionalFormatting sqref="V49">
    <cfRule type="cellIs" dxfId="103" priority="9" operator="greaterThan">
      <formula>0.15</formula>
    </cfRule>
  </conditionalFormatting>
  <conditionalFormatting sqref="V35">
    <cfRule type="cellIs" dxfId="102" priority="10" operator="greaterThan">
      <formula>0.15</formula>
    </cfRule>
  </conditionalFormatting>
  <conditionalFormatting sqref="V25:V35 V39:V49">
    <cfRule type="cellIs" dxfId="101" priority="11" operator="greaterThan">
      <formula>0.15</formula>
    </cfRule>
  </conditionalFormatting>
  <conditionalFormatting sqref="V49">
    <cfRule type="cellIs" dxfId="100" priority="12" operator="greaterThan">
      <formula>0.15</formula>
    </cfRule>
  </conditionalFormatting>
  <conditionalFormatting sqref="V35">
    <cfRule type="cellIs" dxfId="99" priority="13" operator="greaterThan">
      <formula>0.15</formula>
    </cfRule>
  </conditionalFormatting>
  <conditionalFormatting sqref="V25:V35 V39:V49">
    <cfRule type="cellIs" dxfId="98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4B147-E97F-4CDB-A428-92AEBAF026C4}">
  <dimension ref="A1:Y26"/>
  <sheetViews>
    <sheetView workbookViewId="0">
      <selection activeCell="E1" sqref="E1"/>
    </sheetView>
  </sheetViews>
  <sheetFormatPr baseColWidth="10" defaultRowHeight="15" x14ac:dyDescent="0.25"/>
  <cols>
    <col min="1" max="1" width="21.42578125" bestFit="1" customWidth="1"/>
    <col min="2" max="2" width="7.42578125" style="158" customWidth="1"/>
    <col min="3" max="3" width="5.28515625" style="158" bestFit="1" customWidth="1"/>
    <col min="4" max="4" width="6.5703125" style="158" bestFit="1" customWidth="1"/>
    <col min="5" max="5" width="11.42578125" style="158"/>
    <col min="6" max="6" width="7.42578125" style="158" bestFit="1" customWidth="1"/>
    <col min="7" max="7" width="3.5703125" style="158" bestFit="1" customWidth="1"/>
    <col min="8" max="8" width="4.140625" style="158" bestFit="1" customWidth="1"/>
    <col min="9" max="9" width="3.140625" style="158" bestFit="1" customWidth="1"/>
    <col min="10" max="10" width="4.140625" style="158" bestFit="1" customWidth="1"/>
    <col min="11" max="11" width="3" style="158" bestFit="1" customWidth="1"/>
    <col min="12" max="12" width="4" style="158" bestFit="1" customWidth="1"/>
    <col min="13" max="13" width="10.7109375" style="158" bestFit="1" customWidth="1"/>
    <col min="14" max="14" width="4.5703125" style="158" bestFit="1" customWidth="1"/>
    <col min="15" max="15" width="4.140625" style="158" bestFit="1" customWidth="1"/>
    <col min="16" max="16" width="6.42578125" style="158" bestFit="1" customWidth="1"/>
    <col min="17" max="17" width="8.28515625" style="158" bestFit="1" customWidth="1"/>
    <col min="18" max="18" width="5" style="158" bestFit="1" customWidth="1"/>
    <col min="19" max="19" width="8.140625" style="158" bestFit="1" customWidth="1"/>
    <col min="20" max="20" width="4" style="158" bestFit="1" customWidth="1"/>
    <col min="21" max="21" width="3.28515625" style="158" bestFit="1" customWidth="1"/>
    <col min="22" max="23" width="4" style="158" bestFit="1" customWidth="1"/>
    <col min="24" max="24" width="3.28515625" style="158" bestFit="1" customWidth="1"/>
    <col min="25" max="25" width="3.42578125" style="158" bestFit="1" customWidth="1"/>
  </cols>
  <sheetData>
    <row r="1" spans="1:25" x14ac:dyDescent="0.25">
      <c r="A1" s="293" t="s">
        <v>190</v>
      </c>
    </row>
    <row r="2" spans="1:25" x14ac:dyDescent="0.25">
      <c r="A2" s="295" t="s">
        <v>191</v>
      </c>
      <c r="B2" s="295" t="s">
        <v>192</v>
      </c>
      <c r="C2" s="295" t="s">
        <v>193</v>
      </c>
      <c r="D2" s="295" t="s">
        <v>194</v>
      </c>
      <c r="E2" s="295" t="s">
        <v>242</v>
      </c>
      <c r="F2" s="295" t="s">
        <v>243</v>
      </c>
      <c r="G2" s="295" t="s">
        <v>244</v>
      </c>
      <c r="H2" s="295" t="s">
        <v>13</v>
      </c>
      <c r="I2" s="295" t="s">
        <v>245</v>
      </c>
      <c r="J2" s="295" t="s">
        <v>246</v>
      </c>
      <c r="K2" s="295" t="s">
        <v>247</v>
      </c>
      <c r="L2" s="295" t="s">
        <v>248</v>
      </c>
      <c r="M2" s="295" t="s">
        <v>249</v>
      </c>
      <c r="N2" s="295"/>
      <c r="O2" s="295" t="s">
        <v>250</v>
      </c>
      <c r="P2" s="295" t="s">
        <v>251</v>
      </c>
      <c r="Q2" s="295" t="s">
        <v>252</v>
      </c>
      <c r="R2" s="295" t="s">
        <v>253</v>
      </c>
      <c r="S2" s="295" t="s">
        <v>254</v>
      </c>
      <c r="T2" s="295" t="s">
        <v>255</v>
      </c>
      <c r="U2" s="295" t="s">
        <v>256</v>
      </c>
      <c r="V2" s="295" t="s">
        <v>257</v>
      </c>
      <c r="W2" s="295" t="s">
        <v>92</v>
      </c>
      <c r="X2" s="295" t="s">
        <v>258</v>
      </c>
      <c r="Y2" s="295" t="s">
        <v>259</v>
      </c>
    </row>
    <row r="3" spans="1:25" x14ac:dyDescent="0.25">
      <c r="A3" s="220" t="s">
        <v>195</v>
      </c>
      <c r="B3" s="294" t="s">
        <v>2</v>
      </c>
      <c r="C3" s="294"/>
      <c r="D3" s="294" t="s">
        <v>196</v>
      </c>
      <c r="E3" s="295" t="s">
        <v>260</v>
      </c>
      <c r="F3" s="294" t="s">
        <v>261</v>
      </c>
      <c r="G3" s="294">
        <v>2</v>
      </c>
      <c r="H3" s="294">
        <v>5</v>
      </c>
      <c r="I3" s="294">
        <v>7</v>
      </c>
      <c r="J3" s="294">
        <v>8</v>
      </c>
      <c r="K3" s="294">
        <v>5</v>
      </c>
      <c r="L3" s="294"/>
      <c r="M3" s="296">
        <v>44079</v>
      </c>
      <c r="N3" s="294">
        <v>10</v>
      </c>
      <c r="O3" s="294" t="s">
        <v>262</v>
      </c>
      <c r="P3" s="294" t="s">
        <v>263</v>
      </c>
      <c r="Q3" s="294" t="s">
        <v>264</v>
      </c>
      <c r="R3" s="294" t="s">
        <v>265</v>
      </c>
      <c r="S3" s="294"/>
      <c r="T3" s="294">
        <v>4</v>
      </c>
      <c r="U3" s="294">
        <v>0</v>
      </c>
      <c r="V3" s="294">
        <v>0</v>
      </c>
      <c r="W3" s="294">
        <v>1</v>
      </c>
      <c r="X3" s="294">
        <v>0</v>
      </c>
      <c r="Y3" s="294"/>
    </row>
    <row r="4" spans="1:25" x14ac:dyDescent="0.25">
      <c r="A4" s="220" t="s">
        <v>197</v>
      </c>
      <c r="B4" s="294" t="s">
        <v>37</v>
      </c>
      <c r="C4" s="294"/>
      <c r="D4" s="294" t="s">
        <v>198</v>
      </c>
      <c r="E4" s="295" t="s">
        <v>266</v>
      </c>
      <c r="F4" s="294" t="s">
        <v>267</v>
      </c>
      <c r="G4" s="294">
        <v>2</v>
      </c>
      <c r="H4" s="294">
        <v>7</v>
      </c>
      <c r="I4" s="294">
        <v>8</v>
      </c>
      <c r="J4" s="294">
        <v>7</v>
      </c>
      <c r="K4" s="294">
        <v>12</v>
      </c>
      <c r="L4" s="294"/>
      <c r="M4" s="296">
        <v>44079</v>
      </c>
      <c r="N4" s="294" t="s">
        <v>268</v>
      </c>
      <c r="O4" s="294" t="s">
        <v>36</v>
      </c>
      <c r="P4" s="294" t="s">
        <v>269</v>
      </c>
      <c r="Q4" s="294" t="s">
        <v>270</v>
      </c>
      <c r="R4" s="294" t="s">
        <v>265</v>
      </c>
      <c r="S4" s="294"/>
      <c r="T4" s="294">
        <v>19</v>
      </c>
      <c r="U4" s="294">
        <v>1</v>
      </c>
      <c r="V4" s="294">
        <v>1</v>
      </c>
      <c r="W4" s="294">
        <v>5</v>
      </c>
      <c r="X4" s="294">
        <v>0</v>
      </c>
      <c r="Y4" s="294"/>
    </row>
    <row r="5" spans="1:25" x14ac:dyDescent="0.25">
      <c r="A5" s="220" t="s">
        <v>199</v>
      </c>
      <c r="B5" s="294"/>
      <c r="C5" s="294"/>
      <c r="D5" s="294" t="s">
        <v>200</v>
      </c>
      <c r="E5" s="295" t="s">
        <v>271</v>
      </c>
      <c r="F5" s="294" t="s">
        <v>272</v>
      </c>
      <c r="G5" s="294">
        <v>1</v>
      </c>
      <c r="H5" s="294">
        <v>6</v>
      </c>
      <c r="I5" s="294">
        <v>7</v>
      </c>
      <c r="J5" s="294">
        <v>7</v>
      </c>
      <c r="K5" s="294">
        <v>11</v>
      </c>
      <c r="L5" s="294"/>
      <c r="M5" s="296">
        <v>44079</v>
      </c>
      <c r="N5" s="294">
        <v>9</v>
      </c>
      <c r="O5" s="294" t="s">
        <v>36</v>
      </c>
      <c r="P5" s="294" t="s">
        <v>273</v>
      </c>
      <c r="Q5" s="294" t="s">
        <v>274</v>
      </c>
      <c r="R5" s="294" t="s">
        <v>265</v>
      </c>
      <c r="S5" s="294"/>
      <c r="T5" s="294">
        <v>16</v>
      </c>
      <c r="U5" s="294">
        <v>4</v>
      </c>
      <c r="V5" s="294">
        <v>5</v>
      </c>
      <c r="W5" s="294">
        <v>17</v>
      </c>
      <c r="X5" s="294">
        <v>0</v>
      </c>
      <c r="Y5" s="294"/>
    </row>
    <row r="6" spans="1:25" x14ac:dyDescent="0.25">
      <c r="A6" s="220" t="s">
        <v>201</v>
      </c>
      <c r="B6" s="294" t="s">
        <v>144</v>
      </c>
      <c r="C6" s="294"/>
      <c r="D6" s="294" t="s">
        <v>202</v>
      </c>
      <c r="E6" s="295" t="s">
        <v>275</v>
      </c>
      <c r="F6" s="294" t="s">
        <v>276</v>
      </c>
      <c r="G6" s="294">
        <v>1</v>
      </c>
      <c r="H6" s="294">
        <v>8</v>
      </c>
      <c r="I6" s="294">
        <v>7</v>
      </c>
      <c r="J6" s="294">
        <v>6</v>
      </c>
      <c r="K6" s="294">
        <v>2</v>
      </c>
      <c r="L6" s="294"/>
      <c r="M6" s="296">
        <v>44072</v>
      </c>
      <c r="N6" s="294" t="s">
        <v>277</v>
      </c>
      <c r="O6" s="294" t="s">
        <v>41</v>
      </c>
      <c r="P6" s="294" t="s">
        <v>278</v>
      </c>
      <c r="Q6" s="294" t="s">
        <v>279</v>
      </c>
      <c r="R6" s="294" t="s">
        <v>265</v>
      </c>
      <c r="S6" s="294"/>
      <c r="T6" s="294">
        <v>0</v>
      </c>
      <c r="U6" s="294">
        <v>2</v>
      </c>
      <c r="V6" s="294">
        <v>0</v>
      </c>
      <c r="W6" s="294">
        <v>28</v>
      </c>
      <c r="X6" s="294">
        <v>0</v>
      </c>
      <c r="Y6" s="294"/>
    </row>
    <row r="7" spans="1:25" x14ac:dyDescent="0.25">
      <c r="A7" s="220" t="s">
        <v>203</v>
      </c>
      <c r="B7" s="294"/>
      <c r="C7" s="294"/>
      <c r="D7" s="294" t="s">
        <v>204</v>
      </c>
      <c r="E7" s="295" t="s">
        <v>280</v>
      </c>
      <c r="F7" s="294" t="s">
        <v>281</v>
      </c>
      <c r="G7" s="294">
        <v>5</v>
      </c>
      <c r="H7" s="294">
        <v>9</v>
      </c>
      <c r="I7" s="294">
        <v>8</v>
      </c>
      <c r="J7" s="294">
        <v>7</v>
      </c>
      <c r="K7" s="294">
        <v>20</v>
      </c>
      <c r="L7" s="294"/>
      <c r="M7" s="296">
        <v>44079</v>
      </c>
      <c r="N7" s="294" t="s">
        <v>282</v>
      </c>
      <c r="O7" s="294" t="s">
        <v>255</v>
      </c>
      <c r="P7" s="294" t="s">
        <v>283</v>
      </c>
      <c r="Q7" s="294" t="s">
        <v>284</v>
      </c>
      <c r="R7" s="294" t="s">
        <v>265</v>
      </c>
      <c r="S7" s="294"/>
      <c r="T7" s="294">
        <v>142</v>
      </c>
      <c r="U7" s="294">
        <v>1</v>
      </c>
      <c r="V7" s="294">
        <v>31</v>
      </c>
      <c r="W7" s="294">
        <v>59</v>
      </c>
      <c r="X7" s="294">
        <v>2</v>
      </c>
      <c r="Y7" s="294"/>
    </row>
    <row r="8" spans="1:25" x14ac:dyDescent="0.25">
      <c r="A8" s="220" t="s">
        <v>205</v>
      </c>
      <c r="B8" s="294"/>
      <c r="C8" s="294"/>
      <c r="D8" s="294" t="s">
        <v>206</v>
      </c>
      <c r="E8" s="295" t="s">
        <v>275</v>
      </c>
      <c r="F8" s="294" t="s">
        <v>285</v>
      </c>
      <c r="G8" s="294">
        <v>5</v>
      </c>
      <c r="H8" s="294">
        <v>9</v>
      </c>
      <c r="I8" s="294">
        <v>6</v>
      </c>
      <c r="J8" s="294">
        <v>6</v>
      </c>
      <c r="K8" s="294">
        <v>2</v>
      </c>
      <c r="L8" s="294"/>
      <c r="M8" s="296">
        <v>44079</v>
      </c>
      <c r="N8" s="294">
        <v>9</v>
      </c>
      <c r="O8" s="294" t="s">
        <v>255</v>
      </c>
      <c r="P8" s="294" t="s">
        <v>286</v>
      </c>
      <c r="Q8" s="294" t="s">
        <v>287</v>
      </c>
      <c r="R8" s="294" t="s">
        <v>265</v>
      </c>
      <c r="S8" s="294"/>
      <c r="T8" s="294">
        <v>1</v>
      </c>
      <c r="U8" s="294">
        <v>0</v>
      </c>
      <c r="V8" s="294">
        <v>0</v>
      </c>
      <c r="W8" s="294">
        <v>34</v>
      </c>
      <c r="X8" s="294">
        <v>1</v>
      </c>
      <c r="Y8" s="294"/>
    </row>
    <row r="9" spans="1:25" x14ac:dyDescent="0.25">
      <c r="A9" s="220" t="s">
        <v>207</v>
      </c>
      <c r="B9" s="294"/>
      <c r="C9" s="294"/>
      <c r="D9" s="294" t="s">
        <v>208</v>
      </c>
      <c r="E9" s="295" t="s">
        <v>288</v>
      </c>
      <c r="F9" s="294" t="s">
        <v>289</v>
      </c>
      <c r="G9" s="294">
        <v>5</v>
      </c>
      <c r="H9" s="294">
        <v>2</v>
      </c>
      <c r="I9" s="294">
        <v>8</v>
      </c>
      <c r="J9" s="294">
        <v>7</v>
      </c>
      <c r="K9" s="294">
        <v>12</v>
      </c>
      <c r="L9" s="294"/>
      <c r="M9" s="296">
        <v>44076</v>
      </c>
      <c r="N9" s="294" t="s">
        <v>290</v>
      </c>
      <c r="O9" s="294" t="s">
        <v>64</v>
      </c>
      <c r="P9" s="294">
        <v>588</v>
      </c>
      <c r="Q9" s="294">
        <v>490</v>
      </c>
      <c r="R9" s="294" t="s">
        <v>265</v>
      </c>
      <c r="S9" s="294" t="s">
        <v>291</v>
      </c>
      <c r="T9" s="294">
        <v>21</v>
      </c>
      <c r="U9" s="294">
        <v>0</v>
      </c>
      <c r="V9" s="294">
        <v>2</v>
      </c>
      <c r="W9" s="294">
        <v>2</v>
      </c>
      <c r="X9" s="294">
        <v>0</v>
      </c>
      <c r="Y9" s="294"/>
    </row>
    <row r="10" spans="1:25" x14ac:dyDescent="0.25">
      <c r="A10" s="220" t="s">
        <v>209</v>
      </c>
      <c r="B10" s="294" t="s">
        <v>2</v>
      </c>
      <c r="C10" s="294"/>
      <c r="D10" s="294" t="s">
        <v>210</v>
      </c>
      <c r="E10" s="295" t="s">
        <v>292</v>
      </c>
      <c r="F10" s="294" t="s">
        <v>293</v>
      </c>
      <c r="G10" s="294">
        <v>5</v>
      </c>
      <c r="H10" s="294">
        <v>11</v>
      </c>
      <c r="I10" s="294">
        <v>8</v>
      </c>
      <c r="J10" s="294">
        <v>6</v>
      </c>
      <c r="K10" s="294">
        <v>20</v>
      </c>
      <c r="L10" s="294" t="s">
        <v>265</v>
      </c>
      <c r="M10" s="296">
        <v>44079</v>
      </c>
      <c r="N10" s="294" t="s">
        <v>282</v>
      </c>
      <c r="O10" s="294" t="s">
        <v>64</v>
      </c>
      <c r="P10" s="294" t="s">
        <v>294</v>
      </c>
      <c r="Q10" s="294" t="s">
        <v>294</v>
      </c>
      <c r="R10" s="294" t="s">
        <v>295</v>
      </c>
      <c r="S10" s="294"/>
      <c r="T10" s="294">
        <v>310</v>
      </c>
      <c r="U10" s="294">
        <v>6</v>
      </c>
      <c r="V10" s="294">
        <v>100</v>
      </c>
      <c r="W10" s="294">
        <v>100</v>
      </c>
      <c r="X10" s="294">
        <v>8</v>
      </c>
      <c r="Y10" s="294"/>
    </row>
    <row r="11" spans="1:25" x14ac:dyDescent="0.25">
      <c r="A11" s="220" t="s">
        <v>211</v>
      </c>
      <c r="B11" s="294"/>
      <c r="C11" s="294"/>
      <c r="D11" s="297">
        <v>18109</v>
      </c>
      <c r="E11" s="295" t="s">
        <v>296</v>
      </c>
      <c r="F11" s="294" t="s">
        <v>297</v>
      </c>
      <c r="G11" s="294">
        <v>3</v>
      </c>
      <c r="H11" s="294">
        <v>2</v>
      </c>
      <c r="I11" s="294">
        <v>7</v>
      </c>
      <c r="J11" s="294">
        <v>7</v>
      </c>
      <c r="K11" s="294">
        <v>20</v>
      </c>
      <c r="L11" s="294" t="s">
        <v>265</v>
      </c>
      <c r="M11" s="296">
        <v>44072</v>
      </c>
      <c r="N11" s="294" t="s">
        <v>298</v>
      </c>
      <c r="O11" s="294" t="s">
        <v>64</v>
      </c>
      <c r="P11" s="294">
        <v>390</v>
      </c>
      <c r="Q11" s="294">
        <v>390</v>
      </c>
      <c r="R11" s="294" t="s">
        <v>295</v>
      </c>
      <c r="S11" s="294" t="s">
        <v>299</v>
      </c>
      <c r="T11" s="294">
        <v>28</v>
      </c>
      <c r="U11" s="294">
        <v>1</v>
      </c>
      <c r="V11" s="294">
        <v>3</v>
      </c>
      <c r="W11" s="294">
        <v>3</v>
      </c>
      <c r="X11" s="294">
        <v>0</v>
      </c>
      <c r="Y11" s="294"/>
    </row>
    <row r="12" spans="1:25" x14ac:dyDescent="0.25">
      <c r="A12" s="220" t="s">
        <v>212</v>
      </c>
      <c r="B12" s="294"/>
      <c r="C12" s="294"/>
      <c r="D12" s="294" t="s">
        <v>213</v>
      </c>
      <c r="E12" s="295" t="s">
        <v>300</v>
      </c>
      <c r="F12" s="294" t="s">
        <v>301</v>
      </c>
      <c r="G12" s="294">
        <v>3</v>
      </c>
      <c r="H12" s="294">
        <v>8</v>
      </c>
      <c r="I12" s="294">
        <v>8</v>
      </c>
      <c r="J12" s="294">
        <v>7</v>
      </c>
      <c r="K12" s="294">
        <v>5</v>
      </c>
      <c r="L12" s="294"/>
      <c r="M12" s="296">
        <v>44079</v>
      </c>
      <c r="N12" s="294">
        <v>9</v>
      </c>
      <c r="O12" s="294" t="s">
        <v>255</v>
      </c>
      <c r="P12" s="294" t="s">
        <v>302</v>
      </c>
      <c r="Q12" s="294" t="s">
        <v>303</v>
      </c>
      <c r="R12" s="294" t="s">
        <v>265</v>
      </c>
      <c r="S12" s="294"/>
      <c r="T12" s="294">
        <v>3</v>
      </c>
      <c r="U12" s="294">
        <v>2</v>
      </c>
      <c r="V12" s="294">
        <v>1</v>
      </c>
      <c r="W12" s="294">
        <v>31</v>
      </c>
      <c r="X12" s="294">
        <v>0</v>
      </c>
      <c r="Y12" s="294"/>
    </row>
    <row r="13" spans="1:25" x14ac:dyDescent="0.25">
      <c r="A13" s="220" t="s">
        <v>214</v>
      </c>
      <c r="B13" s="294"/>
      <c r="C13" s="294"/>
      <c r="D13" s="294" t="s">
        <v>215</v>
      </c>
      <c r="E13" s="295" t="s">
        <v>304</v>
      </c>
      <c r="F13" s="294" t="s">
        <v>305</v>
      </c>
      <c r="G13" s="294">
        <v>2</v>
      </c>
      <c r="H13" s="294">
        <v>4</v>
      </c>
      <c r="I13" s="294">
        <v>8</v>
      </c>
      <c r="J13" s="294">
        <v>8</v>
      </c>
      <c r="K13" s="294">
        <v>20</v>
      </c>
      <c r="L13" s="294" t="s">
        <v>265</v>
      </c>
      <c r="M13" s="296">
        <v>44079</v>
      </c>
      <c r="N13" s="294" t="s">
        <v>277</v>
      </c>
      <c r="O13" s="294" t="s">
        <v>64</v>
      </c>
      <c r="P13" s="294" t="s">
        <v>306</v>
      </c>
      <c r="Q13" s="294" t="s">
        <v>306</v>
      </c>
      <c r="R13" s="294" t="s">
        <v>295</v>
      </c>
      <c r="S13" s="294"/>
      <c r="T13" s="294">
        <v>77</v>
      </c>
      <c r="U13" s="294">
        <v>0</v>
      </c>
      <c r="V13" s="294">
        <v>13</v>
      </c>
      <c r="W13" s="294">
        <v>13</v>
      </c>
      <c r="X13" s="294">
        <v>0</v>
      </c>
      <c r="Y13" s="294"/>
    </row>
    <row r="14" spans="1:25" x14ac:dyDescent="0.25">
      <c r="A14" s="220" t="s">
        <v>216</v>
      </c>
      <c r="B14" s="294"/>
      <c r="C14" s="294"/>
      <c r="D14" s="294" t="s">
        <v>217</v>
      </c>
      <c r="E14" s="295" t="s">
        <v>307</v>
      </c>
      <c r="F14" s="294" t="s">
        <v>308</v>
      </c>
      <c r="G14" s="294">
        <v>4</v>
      </c>
      <c r="H14" s="294">
        <v>2</v>
      </c>
      <c r="I14" s="294">
        <v>7</v>
      </c>
      <c r="J14" s="294">
        <v>8</v>
      </c>
      <c r="K14" s="294">
        <v>20</v>
      </c>
      <c r="L14" s="294" t="s">
        <v>265</v>
      </c>
      <c r="M14" s="296">
        <v>44076</v>
      </c>
      <c r="N14" s="294" t="s">
        <v>290</v>
      </c>
      <c r="O14" s="294" t="s">
        <v>255</v>
      </c>
      <c r="P14" s="294">
        <v>390</v>
      </c>
      <c r="Q14" s="294">
        <v>390</v>
      </c>
      <c r="R14" s="294" t="s">
        <v>295</v>
      </c>
      <c r="S14" s="294" t="s">
        <v>309</v>
      </c>
      <c r="T14" s="294">
        <v>35</v>
      </c>
      <c r="U14" s="294">
        <v>0</v>
      </c>
      <c r="V14" s="294">
        <v>2</v>
      </c>
      <c r="W14" s="294">
        <v>2</v>
      </c>
      <c r="X14" s="294">
        <v>0</v>
      </c>
      <c r="Y14" s="294"/>
    </row>
    <row r="15" spans="1:25" x14ac:dyDescent="0.25">
      <c r="A15" s="220" t="s">
        <v>218</v>
      </c>
      <c r="B15" s="294"/>
      <c r="C15" s="294"/>
      <c r="D15" s="294" t="s">
        <v>219</v>
      </c>
      <c r="E15" s="295" t="s">
        <v>310</v>
      </c>
      <c r="F15" s="294" t="s">
        <v>311</v>
      </c>
      <c r="G15" s="294">
        <v>1</v>
      </c>
      <c r="H15" s="294">
        <v>3</v>
      </c>
      <c r="I15" s="294">
        <v>6</v>
      </c>
      <c r="J15" s="294">
        <v>8</v>
      </c>
      <c r="K15" s="294">
        <v>20</v>
      </c>
      <c r="L15" s="294" t="s">
        <v>265</v>
      </c>
      <c r="M15" s="296">
        <v>44076</v>
      </c>
      <c r="N15" s="294">
        <v>3</v>
      </c>
      <c r="O15" s="294" t="s">
        <v>41</v>
      </c>
      <c r="P15" s="294" t="s">
        <v>312</v>
      </c>
      <c r="Q15" s="294" t="s">
        <v>312</v>
      </c>
      <c r="R15" s="294" t="s">
        <v>295</v>
      </c>
      <c r="S15" s="294"/>
      <c r="T15" s="294">
        <v>83</v>
      </c>
      <c r="U15" s="294">
        <v>0</v>
      </c>
      <c r="V15" s="294">
        <v>0</v>
      </c>
      <c r="W15" s="294">
        <v>0</v>
      </c>
      <c r="X15" s="294">
        <v>0</v>
      </c>
      <c r="Y15" s="294"/>
    </row>
    <row r="16" spans="1:25" x14ac:dyDescent="0.25">
      <c r="A16" s="220" t="s">
        <v>220</v>
      </c>
      <c r="B16" s="294" t="s">
        <v>37</v>
      </c>
      <c r="C16" s="294"/>
      <c r="D16" s="294" t="s">
        <v>221</v>
      </c>
      <c r="E16" s="295" t="s">
        <v>313</v>
      </c>
      <c r="F16" s="294" t="s">
        <v>314</v>
      </c>
      <c r="G16" s="294">
        <v>3</v>
      </c>
      <c r="H16" s="294">
        <v>3</v>
      </c>
      <c r="I16" s="294">
        <v>7</v>
      </c>
      <c r="J16" s="294">
        <v>8</v>
      </c>
      <c r="K16" s="294">
        <v>8</v>
      </c>
      <c r="L16" s="294"/>
      <c r="M16" s="296">
        <v>44079</v>
      </c>
      <c r="N16" s="294">
        <v>9</v>
      </c>
      <c r="O16" s="294" t="s">
        <v>71</v>
      </c>
      <c r="P16" s="294" t="s">
        <v>315</v>
      </c>
      <c r="Q16" s="294" t="s">
        <v>316</v>
      </c>
      <c r="R16" s="294" t="s">
        <v>265</v>
      </c>
      <c r="S16" s="294"/>
      <c r="T16" s="294">
        <v>16</v>
      </c>
      <c r="U16" s="294">
        <v>5</v>
      </c>
      <c r="V16" s="294">
        <v>1</v>
      </c>
      <c r="W16" s="294">
        <v>9</v>
      </c>
      <c r="X16" s="294">
        <v>0</v>
      </c>
      <c r="Y16" s="294"/>
    </row>
    <row r="17" spans="1:25" x14ac:dyDescent="0.25">
      <c r="A17" s="220" t="s">
        <v>222</v>
      </c>
      <c r="B17" s="294" t="s">
        <v>6</v>
      </c>
      <c r="C17" s="294"/>
      <c r="D17" s="294" t="s">
        <v>223</v>
      </c>
      <c r="E17" s="295" t="s">
        <v>317</v>
      </c>
      <c r="F17" s="294" t="s">
        <v>318</v>
      </c>
      <c r="G17" s="294">
        <v>4</v>
      </c>
      <c r="H17" s="294">
        <v>4</v>
      </c>
      <c r="I17" s="294">
        <v>8</v>
      </c>
      <c r="J17" s="294">
        <v>8</v>
      </c>
      <c r="K17" s="294">
        <v>11</v>
      </c>
      <c r="L17" s="294"/>
      <c r="M17" s="296">
        <v>44079</v>
      </c>
      <c r="N17" s="294" t="s">
        <v>277</v>
      </c>
      <c r="O17" s="294" t="s">
        <v>71</v>
      </c>
      <c r="P17" s="294" t="s">
        <v>319</v>
      </c>
      <c r="Q17" s="294" t="s">
        <v>320</v>
      </c>
      <c r="R17" s="294" t="s">
        <v>265</v>
      </c>
      <c r="S17" s="294"/>
      <c r="T17" s="294">
        <v>26</v>
      </c>
      <c r="U17" s="294">
        <v>3</v>
      </c>
      <c r="V17" s="294">
        <v>5</v>
      </c>
      <c r="W17" s="294">
        <v>20</v>
      </c>
      <c r="X17" s="294">
        <v>1</v>
      </c>
      <c r="Y17" s="294"/>
    </row>
    <row r="18" spans="1:25" x14ac:dyDescent="0.25">
      <c r="A18" s="220" t="s">
        <v>224</v>
      </c>
      <c r="B18" s="294"/>
      <c r="C18" s="294"/>
      <c r="D18" s="294" t="s">
        <v>225</v>
      </c>
      <c r="E18" s="295" t="s">
        <v>321</v>
      </c>
      <c r="F18" s="294">
        <v>870</v>
      </c>
      <c r="G18" s="294">
        <v>3</v>
      </c>
      <c r="H18" s="294">
        <v>2</v>
      </c>
      <c r="I18" s="294">
        <v>7</v>
      </c>
      <c r="J18" s="294">
        <v>5</v>
      </c>
      <c r="K18" s="294">
        <v>20</v>
      </c>
      <c r="L18" s="294" t="s">
        <v>265</v>
      </c>
      <c r="M18" s="296">
        <v>44076</v>
      </c>
      <c r="N18" s="294">
        <v>4</v>
      </c>
      <c r="O18" s="294" t="s">
        <v>71</v>
      </c>
      <c r="P18" s="294">
        <v>350</v>
      </c>
      <c r="Q18" s="294">
        <v>350</v>
      </c>
      <c r="R18" s="294" t="s">
        <v>295</v>
      </c>
      <c r="S18" s="294" t="s">
        <v>322</v>
      </c>
      <c r="T18" s="294">
        <v>2</v>
      </c>
      <c r="U18" s="294">
        <v>0</v>
      </c>
      <c r="V18" s="294">
        <v>0</v>
      </c>
      <c r="W18" s="294">
        <v>0</v>
      </c>
      <c r="X18" s="294">
        <v>0</v>
      </c>
      <c r="Y18" s="294"/>
    </row>
    <row r="19" spans="1:25" x14ac:dyDescent="0.25">
      <c r="A19" s="220" t="s">
        <v>226</v>
      </c>
      <c r="B19" s="294"/>
      <c r="C19" s="294"/>
      <c r="D19" s="294" t="s">
        <v>227</v>
      </c>
      <c r="E19" s="295" t="s">
        <v>323</v>
      </c>
      <c r="F19" s="294">
        <v>560</v>
      </c>
      <c r="G19" s="294">
        <v>4</v>
      </c>
      <c r="H19" s="294">
        <v>2</v>
      </c>
      <c r="I19" s="294">
        <v>7</v>
      </c>
      <c r="J19" s="294">
        <v>7</v>
      </c>
      <c r="K19" s="294">
        <v>20</v>
      </c>
      <c r="L19" s="294" t="s">
        <v>265</v>
      </c>
      <c r="M19" s="296">
        <v>44076</v>
      </c>
      <c r="N19" s="294">
        <v>4</v>
      </c>
      <c r="O19" s="294" t="s">
        <v>71</v>
      </c>
      <c r="P19" s="294">
        <v>270</v>
      </c>
      <c r="Q19" s="294">
        <v>270</v>
      </c>
      <c r="R19" s="294" t="s">
        <v>295</v>
      </c>
      <c r="S19" s="294" t="s">
        <v>324</v>
      </c>
      <c r="T19" s="294">
        <v>9</v>
      </c>
      <c r="U19" s="294">
        <v>0</v>
      </c>
      <c r="V19" s="294">
        <v>0</v>
      </c>
      <c r="W19" s="294">
        <v>0</v>
      </c>
      <c r="X19" s="294">
        <v>0</v>
      </c>
      <c r="Y19" s="294"/>
    </row>
    <row r="20" spans="1:25" x14ac:dyDescent="0.25">
      <c r="A20" s="220" t="s">
        <v>228</v>
      </c>
      <c r="B20" s="294"/>
      <c r="C20" s="294"/>
      <c r="D20" s="294" t="s">
        <v>229</v>
      </c>
      <c r="E20" s="295" t="s">
        <v>325</v>
      </c>
      <c r="F20" s="294">
        <v>840</v>
      </c>
      <c r="G20" s="294">
        <v>4</v>
      </c>
      <c r="H20" s="294">
        <v>2</v>
      </c>
      <c r="I20" s="294">
        <v>6</v>
      </c>
      <c r="J20" s="294">
        <v>7</v>
      </c>
      <c r="K20" s="294">
        <v>20</v>
      </c>
      <c r="L20" s="294" t="s">
        <v>265</v>
      </c>
      <c r="M20" s="296">
        <v>44076</v>
      </c>
      <c r="N20" s="294">
        <v>2</v>
      </c>
      <c r="O20" s="294" t="s">
        <v>41</v>
      </c>
      <c r="P20" s="294">
        <v>330</v>
      </c>
      <c r="Q20" s="294">
        <v>330</v>
      </c>
      <c r="R20" s="294" t="s">
        <v>295</v>
      </c>
      <c r="S20" s="294" t="s">
        <v>291</v>
      </c>
      <c r="T20" s="294">
        <v>14</v>
      </c>
      <c r="U20" s="294">
        <v>0</v>
      </c>
      <c r="V20" s="294">
        <v>0</v>
      </c>
      <c r="W20" s="294">
        <v>0</v>
      </c>
      <c r="X20" s="294">
        <v>0</v>
      </c>
      <c r="Y20" s="294"/>
    </row>
    <row r="21" spans="1:25" x14ac:dyDescent="0.25">
      <c r="A21" s="220" t="s">
        <v>230</v>
      </c>
      <c r="B21" s="294"/>
      <c r="C21" s="294"/>
      <c r="D21" s="294" t="s">
        <v>231</v>
      </c>
      <c r="E21" s="295" t="s">
        <v>326</v>
      </c>
      <c r="F21" s="294">
        <v>980</v>
      </c>
      <c r="G21" s="294">
        <v>1</v>
      </c>
      <c r="H21" s="294">
        <v>2</v>
      </c>
      <c r="I21" s="294">
        <v>7</v>
      </c>
      <c r="J21" s="294">
        <v>7</v>
      </c>
      <c r="K21" s="294">
        <v>20</v>
      </c>
      <c r="L21" s="294" t="s">
        <v>265</v>
      </c>
      <c r="M21" s="296">
        <v>44076</v>
      </c>
      <c r="N21" s="294">
        <v>3</v>
      </c>
      <c r="O21" s="294" t="s">
        <v>41</v>
      </c>
      <c r="P21" s="294">
        <v>290</v>
      </c>
      <c r="Q21" s="294">
        <v>290</v>
      </c>
      <c r="R21" s="294" t="s">
        <v>295</v>
      </c>
      <c r="S21" s="294" t="s">
        <v>291</v>
      </c>
      <c r="T21" s="294">
        <v>27</v>
      </c>
      <c r="U21" s="294">
        <v>0</v>
      </c>
      <c r="V21" s="294">
        <v>0</v>
      </c>
      <c r="W21" s="294">
        <v>0</v>
      </c>
      <c r="X21" s="294">
        <v>0</v>
      </c>
      <c r="Y21" s="294"/>
    </row>
    <row r="22" spans="1:25" x14ac:dyDescent="0.25">
      <c r="A22" s="220" t="s">
        <v>232</v>
      </c>
      <c r="B22" s="294"/>
      <c r="C22" s="294"/>
      <c r="D22" s="294" t="s">
        <v>233</v>
      </c>
      <c r="E22" s="295" t="s">
        <v>327</v>
      </c>
      <c r="F22" s="294" t="s">
        <v>328</v>
      </c>
      <c r="G22" s="294">
        <v>1</v>
      </c>
      <c r="H22" s="294">
        <v>3</v>
      </c>
      <c r="I22" s="294">
        <v>8</v>
      </c>
      <c r="J22" s="294">
        <v>8</v>
      </c>
      <c r="K22" s="294">
        <v>20</v>
      </c>
      <c r="L22" s="294" t="s">
        <v>265</v>
      </c>
      <c r="M22" s="296">
        <v>44079</v>
      </c>
      <c r="N22" s="294">
        <v>4</v>
      </c>
      <c r="O22" s="294" t="s">
        <v>41</v>
      </c>
      <c r="P22" s="294">
        <v>330</v>
      </c>
      <c r="Q22" s="294">
        <v>330</v>
      </c>
      <c r="R22" s="294" t="s">
        <v>295</v>
      </c>
      <c r="S22" s="294"/>
      <c r="T22" s="294">
        <v>54</v>
      </c>
      <c r="U22" s="294">
        <v>1</v>
      </c>
      <c r="V22" s="294">
        <v>2</v>
      </c>
      <c r="W22" s="294">
        <v>2</v>
      </c>
      <c r="X22" s="294">
        <v>0</v>
      </c>
      <c r="Y22" s="294"/>
    </row>
    <row r="23" spans="1:25" x14ac:dyDescent="0.25">
      <c r="A23" s="220" t="s">
        <v>234</v>
      </c>
      <c r="B23" s="294" t="s">
        <v>1</v>
      </c>
      <c r="C23" s="294"/>
      <c r="D23" s="294" t="s">
        <v>235</v>
      </c>
      <c r="E23" s="295" t="s">
        <v>329</v>
      </c>
      <c r="F23" s="294">
        <v>310</v>
      </c>
      <c r="G23" s="294">
        <v>3</v>
      </c>
      <c r="H23" s="294">
        <v>1</v>
      </c>
      <c r="I23" s="294">
        <v>6</v>
      </c>
      <c r="J23" s="294">
        <v>6</v>
      </c>
      <c r="K23" s="294">
        <v>20</v>
      </c>
      <c r="L23" s="294" t="s">
        <v>265</v>
      </c>
      <c r="M23" s="296">
        <v>44069</v>
      </c>
      <c r="N23" s="294">
        <v>4</v>
      </c>
      <c r="O23" s="294" t="s">
        <v>71</v>
      </c>
      <c r="P23" s="294">
        <v>270</v>
      </c>
      <c r="Q23" s="294">
        <v>270</v>
      </c>
      <c r="R23" s="294" t="s">
        <v>295</v>
      </c>
      <c r="S23" s="294" t="s">
        <v>330</v>
      </c>
      <c r="T23" s="294">
        <v>5</v>
      </c>
      <c r="U23" s="294">
        <v>0</v>
      </c>
      <c r="V23" s="294">
        <v>0</v>
      </c>
      <c r="W23" s="294">
        <v>0</v>
      </c>
      <c r="X23" s="294">
        <v>0</v>
      </c>
      <c r="Y23" s="294"/>
    </row>
    <row r="24" spans="1:25" x14ac:dyDescent="0.25">
      <c r="A24" s="220" t="s">
        <v>236</v>
      </c>
      <c r="B24" s="294"/>
      <c r="C24" s="294"/>
      <c r="D24" s="294" t="s">
        <v>237</v>
      </c>
      <c r="E24" s="295" t="s">
        <v>331</v>
      </c>
      <c r="F24" s="294" t="s">
        <v>332</v>
      </c>
      <c r="G24" s="294">
        <v>3</v>
      </c>
      <c r="H24" s="294">
        <v>2</v>
      </c>
      <c r="I24" s="294">
        <v>7</v>
      </c>
      <c r="J24" s="294">
        <v>7</v>
      </c>
      <c r="K24" s="294">
        <v>20</v>
      </c>
      <c r="L24" s="294" t="s">
        <v>265</v>
      </c>
      <c r="M24" s="296">
        <v>44076</v>
      </c>
      <c r="N24" s="294">
        <v>3</v>
      </c>
      <c r="O24" s="294" t="s">
        <v>262</v>
      </c>
      <c r="P24" s="294">
        <v>650</v>
      </c>
      <c r="Q24" s="294">
        <v>650</v>
      </c>
      <c r="R24" s="294" t="s">
        <v>295</v>
      </c>
      <c r="S24" s="294" t="s">
        <v>333</v>
      </c>
      <c r="T24" s="294">
        <v>11</v>
      </c>
      <c r="U24" s="294">
        <v>0</v>
      </c>
      <c r="V24" s="294">
        <v>0</v>
      </c>
      <c r="W24" s="294">
        <v>0</v>
      </c>
      <c r="X24" s="294">
        <v>0</v>
      </c>
      <c r="Y24" s="294"/>
    </row>
    <row r="25" spans="1:25" x14ac:dyDescent="0.25">
      <c r="A25" s="220" t="s">
        <v>238</v>
      </c>
      <c r="B25" s="294"/>
      <c r="C25" s="294"/>
      <c r="D25" s="294" t="s">
        <v>239</v>
      </c>
      <c r="E25" s="295" t="s">
        <v>334</v>
      </c>
      <c r="F25" s="294">
        <v>0</v>
      </c>
      <c r="G25" s="294">
        <v>4</v>
      </c>
      <c r="H25" s="294">
        <v>13</v>
      </c>
      <c r="I25" s="294">
        <v>2</v>
      </c>
      <c r="J25" s="294">
        <v>1</v>
      </c>
      <c r="K25" s="294">
        <v>20</v>
      </c>
      <c r="L25" s="294"/>
      <c r="M25" s="296">
        <v>43467</v>
      </c>
      <c r="N25" s="294" t="s">
        <v>335</v>
      </c>
      <c r="O25" s="294" t="s">
        <v>36</v>
      </c>
      <c r="P25" s="294">
        <v>300</v>
      </c>
      <c r="Q25" s="294">
        <v>250</v>
      </c>
      <c r="R25" s="294" t="s">
        <v>265</v>
      </c>
      <c r="S25" s="294"/>
      <c r="T25" s="294">
        <v>41</v>
      </c>
      <c r="U25" s="294">
        <v>0</v>
      </c>
      <c r="V25" s="294">
        <v>4</v>
      </c>
      <c r="W25" s="294">
        <v>65</v>
      </c>
      <c r="X25" s="294">
        <v>2</v>
      </c>
      <c r="Y25" s="294"/>
    </row>
    <row r="26" spans="1:25" x14ac:dyDescent="0.25">
      <c r="A26" s="220" t="s">
        <v>240</v>
      </c>
      <c r="B26" s="294"/>
      <c r="C26" s="294">
        <v>2</v>
      </c>
      <c r="D26" s="294" t="s">
        <v>241</v>
      </c>
      <c r="E26" s="295" t="s">
        <v>336</v>
      </c>
      <c r="F26" s="294">
        <v>50</v>
      </c>
      <c r="G26" s="294">
        <v>6</v>
      </c>
      <c r="H26" s="294">
        <v>9</v>
      </c>
      <c r="I26" s="294">
        <v>3</v>
      </c>
      <c r="J26" s="294">
        <v>3</v>
      </c>
      <c r="K26" s="294">
        <v>12</v>
      </c>
      <c r="L26" s="294"/>
      <c r="M26" s="296">
        <v>44033</v>
      </c>
      <c r="N26" s="294" t="s">
        <v>290</v>
      </c>
      <c r="O26" s="294" t="s">
        <v>255</v>
      </c>
      <c r="P26" s="294">
        <v>384</v>
      </c>
      <c r="Q26" s="294">
        <v>320</v>
      </c>
      <c r="R26" s="294" t="s">
        <v>265</v>
      </c>
      <c r="S26" s="294"/>
      <c r="T26" s="294">
        <v>12</v>
      </c>
      <c r="U26" s="294">
        <v>0</v>
      </c>
      <c r="V26" s="294">
        <v>0</v>
      </c>
      <c r="W26" s="294">
        <v>28</v>
      </c>
      <c r="X26" s="294">
        <v>0</v>
      </c>
      <c r="Y26" s="29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99220-2215-4765-AB1A-90F33EB0F82F}">
  <sheetPr>
    <tabColor theme="9" tint="-0.249977111117893"/>
  </sheetPr>
  <dimension ref="A1:BS59"/>
  <sheetViews>
    <sheetView tabSelected="1" zoomScale="90" zoomScaleNormal="90" workbookViewId="0">
      <selection activeCell="J5" sqref="J5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570312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6.28515625" style="31" bestFit="1" customWidth="1"/>
    <col min="29" max="29" width="7.7109375" style="31" bestFit="1" customWidth="1"/>
    <col min="30" max="30" width="6.285156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303" t="s">
        <v>339</v>
      </c>
      <c r="B1" s="31" t="s">
        <v>0</v>
      </c>
      <c r="E1" s="285">
        <v>1.5</v>
      </c>
      <c r="F1" s="285">
        <v>2.5</v>
      </c>
      <c r="G1" s="285">
        <v>3.5</v>
      </c>
      <c r="H1" s="221"/>
      <c r="I1" s="220"/>
      <c r="J1" s="222"/>
      <c r="K1" s="221"/>
      <c r="L1" s="221"/>
      <c r="M1" s="221"/>
      <c r="N1" s="221">
        <f>COUNTIF(B17:C17,"JC")</f>
        <v>0</v>
      </c>
      <c r="O1" s="220"/>
      <c r="P1" s="220"/>
      <c r="Q1" s="304"/>
      <c r="R1" s="304"/>
      <c r="S1" s="223"/>
      <c r="T1" s="223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4"/>
      <c r="AK1" s="220"/>
      <c r="AL1" s="220"/>
      <c r="AM1" s="220"/>
      <c r="AN1" s="220"/>
      <c r="AO1" s="220"/>
      <c r="AP1" s="220"/>
      <c r="AQ1" s="220"/>
      <c r="AR1" s="220"/>
      <c r="AS1" s="220"/>
      <c r="AT1" s="220"/>
      <c r="AU1" s="220"/>
      <c r="AV1" s="220"/>
      <c r="AW1" s="220"/>
      <c r="AX1" s="220"/>
      <c r="AY1" s="220"/>
      <c r="AZ1" s="220"/>
    </row>
    <row r="2" spans="1:71" ht="15.75" x14ac:dyDescent="0.25">
      <c r="A2" s="303" t="s">
        <v>143</v>
      </c>
      <c r="B2" s="31" t="s">
        <v>0</v>
      </c>
      <c r="E2" s="245"/>
      <c r="F2" s="245"/>
      <c r="G2" s="245"/>
      <c r="H2" s="245"/>
      <c r="I2" s="245"/>
      <c r="J2" s="245"/>
      <c r="K2" s="245"/>
      <c r="L2" s="245"/>
      <c r="M2" s="245"/>
      <c r="N2" s="261">
        <f>SUM(N4:N15)</f>
        <v>3.5750000000000002</v>
      </c>
      <c r="O2" s="245"/>
      <c r="P2" s="247"/>
      <c r="Q2" s="247"/>
      <c r="R2" s="198">
        <f>SUM(R4:R15)</f>
        <v>2.6</v>
      </c>
      <c r="S2" s="198">
        <f>SUM(S4:S15)</f>
        <v>3.5750000000000002</v>
      </c>
      <c r="T2" s="256">
        <f t="shared" ref="T2:U2" si="0">SUM(T4:T15)</f>
        <v>1.1187649204244032</v>
      </c>
      <c r="U2" s="256">
        <f t="shared" si="0"/>
        <v>0.80319421419098147</v>
      </c>
      <c r="V2" s="158"/>
      <c r="W2" s="158"/>
      <c r="X2" s="290">
        <f t="shared" ref="X2:Y2" si="1">SUM(X4:X15)</f>
        <v>0.6525700762599469</v>
      </c>
      <c r="Y2" s="291">
        <f t="shared" si="1"/>
        <v>0.41073825845490713</v>
      </c>
      <c r="Z2" s="220"/>
      <c r="AA2" s="226" t="s">
        <v>19</v>
      </c>
      <c r="AB2" s="226" t="s">
        <v>20</v>
      </c>
      <c r="AC2" s="226" t="s">
        <v>21</v>
      </c>
      <c r="AD2" s="226" t="s">
        <v>22</v>
      </c>
      <c r="AE2" s="302"/>
      <c r="AF2" s="220"/>
      <c r="AG2" s="227" t="s">
        <v>24</v>
      </c>
      <c r="AH2" s="227" t="s">
        <v>20</v>
      </c>
      <c r="AI2" s="227" t="s">
        <v>21</v>
      </c>
      <c r="AJ2" s="227" t="s">
        <v>22</v>
      </c>
      <c r="AK2" s="229"/>
      <c r="AL2" s="220"/>
      <c r="AM2" s="220"/>
      <c r="AN2" s="220"/>
      <c r="AO2" s="220"/>
      <c r="AP2" s="220"/>
      <c r="AQ2" s="220"/>
      <c r="AR2" s="220"/>
      <c r="AS2" s="220"/>
      <c r="AT2" s="220"/>
      <c r="AU2" s="220"/>
      <c r="AV2" s="220"/>
      <c r="AW2" s="220"/>
      <c r="AX2" s="220"/>
      <c r="AY2" s="220"/>
      <c r="AZ2" s="220"/>
    </row>
    <row r="3" spans="1:71" ht="15.75" x14ac:dyDescent="0.25">
      <c r="A3" s="157" t="s">
        <v>4</v>
      </c>
      <c r="B3" s="305" t="s">
        <v>5</v>
      </c>
      <c r="C3" s="305"/>
      <c r="D3" s="31" t="str">
        <f>IF(B3="Sol","SI",IF(B3="Lluvia","SI","NO"))</f>
        <v>SI</v>
      </c>
      <c r="E3" s="248"/>
      <c r="F3" s="249"/>
      <c r="G3" s="279" t="s">
        <v>163</v>
      </c>
      <c r="H3" s="248"/>
      <c r="I3" s="248"/>
      <c r="J3" s="245"/>
      <c r="K3" s="257" t="s">
        <v>167</v>
      </c>
      <c r="L3" s="257" t="s">
        <v>168</v>
      </c>
      <c r="M3" s="257" t="s">
        <v>28</v>
      </c>
      <c r="N3" s="257" t="s">
        <v>28</v>
      </c>
      <c r="O3" s="257" t="s">
        <v>169</v>
      </c>
      <c r="P3" s="262" t="s">
        <v>170</v>
      </c>
      <c r="Q3" s="264" t="s">
        <v>171</v>
      </c>
      <c r="R3" s="257" t="s">
        <v>28</v>
      </c>
      <c r="S3" s="257" t="s">
        <v>172</v>
      </c>
      <c r="T3" s="262" t="s">
        <v>173</v>
      </c>
      <c r="U3" s="264" t="s">
        <v>174</v>
      </c>
      <c r="V3" s="262" t="s">
        <v>175</v>
      </c>
      <c r="W3" s="264" t="s">
        <v>176</v>
      </c>
      <c r="X3" s="286" t="s">
        <v>177</v>
      </c>
      <c r="Y3" s="287" t="s">
        <v>178</v>
      </c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5"/>
      <c r="AO3" s="225"/>
      <c r="AP3" s="220"/>
      <c r="AQ3" s="220"/>
      <c r="AR3" s="220"/>
      <c r="AS3" s="220"/>
      <c r="AT3" s="220"/>
      <c r="AU3" s="220"/>
      <c r="AV3" s="220"/>
      <c r="AW3" s="220"/>
      <c r="AX3" s="220"/>
      <c r="AY3" s="220"/>
      <c r="AZ3" s="220"/>
    </row>
    <row r="4" spans="1:71" ht="15.75" x14ac:dyDescent="0.25">
      <c r="A4" s="122"/>
      <c r="B4" s="8" t="s">
        <v>9</v>
      </c>
      <c r="C4" s="9" t="s">
        <v>10</v>
      </c>
      <c r="D4" s="158"/>
      <c r="E4" s="279" t="s">
        <v>37</v>
      </c>
      <c r="F4" s="279" t="s">
        <v>37</v>
      </c>
      <c r="G4" s="279" t="s">
        <v>37</v>
      </c>
      <c r="H4" s="279" t="s">
        <v>144</v>
      </c>
      <c r="I4" s="279" t="s">
        <v>1</v>
      </c>
      <c r="J4" s="245"/>
      <c r="K4" s="246">
        <v>5</v>
      </c>
      <c r="L4" s="246">
        <v>6</v>
      </c>
      <c r="M4" s="259">
        <v>0.45</v>
      </c>
      <c r="N4" s="259">
        <f>IF($N$1=2,M4*$G$1/$E$1,IF($N$1=1,M4*$F$1/$E$1,M4))</f>
        <v>0.45</v>
      </c>
      <c r="O4" s="246" t="s">
        <v>179</v>
      </c>
      <c r="P4" s="249">
        <f>COUNTIF(E3:I4,"IMP")</f>
        <v>3</v>
      </c>
      <c r="Q4" s="251">
        <f>COUNTIF(E8:I9,"IMP")</f>
        <v>2</v>
      </c>
      <c r="R4" s="258">
        <f t="shared" ref="R4:R15" si="2">IF(P4+Q4=0,0,N4)</f>
        <v>0.45</v>
      </c>
      <c r="S4" s="258">
        <f t="shared" ref="S4:S15" si="3">R4*$N$2/$R$2</f>
        <v>0.61875000000000002</v>
      </c>
      <c r="T4" s="263">
        <f t="shared" ref="T4:T9" si="4">IF(S4=0,0,IF(Q4=0,S4*P4/L4,S4*P4/(L4*2)))</f>
        <v>0.15468750000000001</v>
      </c>
      <c r="U4" s="265">
        <f t="shared" ref="U4:U9" si="5">IF(S4=0,0,IF(P4=0,S4*Q4/L4,S4*Q4/(L4*2)))</f>
        <v>0.10312500000000001</v>
      </c>
      <c r="V4" s="255">
        <f>$G$17</f>
        <v>0.56999999999999995</v>
      </c>
      <c r="W4" s="253">
        <f>$H$17</f>
        <v>0.56999999999999995</v>
      </c>
      <c r="X4" s="288">
        <f>V4*T4</f>
        <v>8.8171874999999997E-2</v>
      </c>
      <c r="Y4" s="289">
        <f>W4*U4</f>
        <v>5.878125E-2</v>
      </c>
      <c r="Z4" s="227"/>
      <c r="AA4" s="281">
        <f t="shared" ref="AA4:AA14" si="6">X5</f>
        <v>0</v>
      </c>
      <c r="AB4" s="282">
        <f t="shared" ref="AB4:AB15" si="7">(1-AA4)</f>
        <v>1</v>
      </c>
      <c r="AC4" s="282">
        <f>AA4*AB3*PRODUCT(AB5:AB17)</f>
        <v>0</v>
      </c>
      <c r="AD4" s="282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220"/>
      <c r="AF4" s="227"/>
      <c r="AG4" s="283">
        <f>Y4</f>
        <v>5.878125E-2</v>
      </c>
      <c r="AH4" s="284">
        <f t="shared" ref="AH4:AH15" si="8">(1-AG4)</f>
        <v>0.94121874999999999</v>
      </c>
      <c r="AI4" s="284">
        <f>AG4*AH3*PRODUCT(AH5:AH17)</f>
        <v>0</v>
      </c>
      <c r="AJ4" s="284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220"/>
      <c r="AL4" s="227"/>
      <c r="AM4" s="227"/>
      <c r="AN4" s="221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0"/>
      <c r="AZ4" s="220"/>
      <c r="BI4" s="31">
        <v>0</v>
      </c>
      <c r="BJ4" s="31">
        <v>1</v>
      </c>
      <c r="BK4" s="107">
        <f t="shared" ref="BK4:BK13" si="9">$H$25*H40</f>
        <v>2.26128387598972E-2</v>
      </c>
      <c r="BM4" s="31">
        <v>0</v>
      </c>
      <c r="BN4" s="31">
        <v>0</v>
      </c>
      <c r="BO4" s="107">
        <f>H25*H39</f>
        <v>1.4758829836009442E-2</v>
      </c>
      <c r="BQ4" s="31">
        <v>1</v>
      </c>
      <c r="BR4" s="31">
        <v>0</v>
      </c>
      <c r="BS4" s="107">
        <f>$H$26*H39</f>
        <v>4.4135114349856203E-2</v>
      </c>
    </row>
    <row r="5" spans="1:71" ht="15.75" x14ac:dyDescent="0.25">
      <c r="A5" s="40" t="s">
        <v>30</v>
      </c>
      <c r="B5" s="154">
        <v>352</v>
      </c>
      <c r="C5" s="154">
        <v>352</v>
      </c>
      <c r="E5" s="279" t="s">
        <v>1</v>
      </c>
      <c r="F5" s="279" t="s">
        <v>144</v>
      </c>
      <c r="G5" s="279" t="s">
        <v>144</v>
      </c>
      <c r="H5" s="279" t="s">
        <v>163</v>
      </c>
      <c r="I5" s="279" t="s">
        <v>1</v>
      </c>
      <c r="J5" s="245"/>
      <c r="K5" s="246">
        <v>6</v>
      </c>
      <c r="L5" s="246">
        <v>8</v>
      </c>
      <c r="M5" s="259">
        <v>0.35</v>
      </c>
      <c r="N5" s="259">
        <f t="shared" ref="N5:N15" si="10">IF($N$1=2,M5*$G$1/$E$1,IF($N$1=1,M5*$F$1/$E$1,M5))</f>
        <v>0.35</v>
      </c>
      <c r="O5" s="246" t="s">
        <v>180</v>
      </c>
      <c r="P5" s="249">
        <f>COUNTIF(E5:I6,"IMP")</f>
        <v>0</v>
      </c>
      <c r="Q5" s="251">
        <f>COUNTIF(E10:I11,"IMP")</f>
        <v>0</v>
      </c>
      <c r="R5" s="258">
        <f t="shared" si="2"/>
        <v>0</v>
      </c>
      <c r="S5" s="258">
        <f t="shared" si="3"/>
        <v>0</v>
      </c>
      <c r="T5" s="263">
        <f t="shared" si="4"/>
        <v>0</v>
      </c>
      <c r="U5" s="265">
        <f t="shared" si="5"/>
        <v>0</v>
      </c>
      <c r="V5" s="255">
        <f>$G$17</f>
        <v>0.56999999999999995</v>
      </c>
      <c r="W5" s="253">
        <f>$H$17</f>
        <v>0.56999999999999995</v>
      </c>
      <c r="X5" s="288">
        <f t="shared" ref="X5:Y15" si="11">V5*T5</f>
        <v>0</v>
      </c>
      <c r="Y5" s="289">
        <f t="shared" si="11"/>
        <v>0</v>
      </c>
      <c r="Z5" s="236"/>
      <c r="AA5" s="281">
        <f t="shared" si="6"/>
        <v>3.2127403846153854E-2</v>
      </c>
      <c r="AB5" s="282">
        <f t="shared" si="7"/>
        <v>0.96787259615384613</v>
      </c>
      <c r="AC5" s="282">
        <f>AA5*PRODUCT(AB3:AB4)*PRODUCT(AB6:AB17)</f>
        <v>1.8224785898659942E-2</v>
      </c>
      <c r="AD5" s="282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1.1033554907927835E-2</v>
      </c>
      <c r="AE5" s="220"/>
      <c r="AF5" s="234"/>
      <c r="AG5" s="283">
        <f t="shared" ref="AG5:AG15" si="12">Y5</f>
        <v>0</v>
      </c>
      <c r="AH5" s="284">
        <f t="shared" si="8"/>
        <v>1</v>
      </c>
      <c r="AI5" s="284">
        <f>AG5*PRODUCT(AH3:AH4)*PRODUCT(AH6:AH17)</f>
        <v>0</v>
      </c>
      <c r="AJ5" s="284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0</v>
      </c>
      <c r="AK5" s="220"/>
      <c r="AL5" s="237"/>
      <c r="AM5" s="220"/>
      <c r="AN5" s="225"/>
      <c r="AO5" s="239"/>
      <c r="AP5" s="220"/>
      <c r="AQ5" s="220"/>
      <c r="AR5" s="220"/>
      <c r="AS5" s="220"/>
      <c r="AT5" s="220"/>
      <c r="AU5" s="220"/>
      <c r="AV5" s="220"/>
      <c r="AW5" s="220"/>
      <c r="AX5" s="220"/>
      <c r="AY5" s="220"/>
      <c r="AZ5" s="220"/>
      <c r="BI5" s="31">
        <v>0</v>
      </c>
      <c r="BJ5" s="31">
        <v>2</v>
      </c>
      <c r="BK5" s="107">
        <f t="shared" si="9"/>
        <v>1.5893929992401579E-2</v>
      </c>
      <c r="BM5" s="31">
        <v>1</v>
      </c>
      <c r="BN5" s="31">
        <v>1</v>
      </c>
      <c r="BO5" s="107">
        <f>$H$26*H40</f>
        <v>6.7621907395930284E-2</v>
      </c>
      <c r="BQ5" s="31">
        <f>BQ4+1</f>
        <v>2</v>
      </c>
      <c r="BR5" s="31">
        <v>0</v>
      </c>
      <c r="BS5" s="107">
        <f>$H$27*H39</f>
        <v>6.1268942406366135E-2</v>
      </c>
    </row>
    <row r="6" spans="1:71" ht="15.75" x14ac:dyDescent="0.25">
      <c r="A6" s="2" t="s">
        <v>35</v>
      </c>
      <c r="B6" s="269">
        <v>10.75</v>
      </c>
      <c r="C6" s="270">
        <v>3.75</v>
      </c>
      <c r="E6" s="248"/>
      <c r="F6" s="279" t="s">
        <v>163</v>
      </c>
      <c r="G6" s="279" t="s">
        <v>163</v>
      </c>
      <c r="H6" s="279" t="s">
        <v>163</v>
      </c>
      <c r="I6" s="248"/>
      <c r="J6" s="245"/>
      <c r="K6" s="246">
        <v>8</v>
      </c>
      <c r="L6" s="246">
        <v>13</v>
      </c>
      <c r="M6" s="259">
        <v>0.45</v>
      </c>
      <c r="N6" s="259">
        <f t="shared" si="10"/>
        <v>0.45</v>
      </c>
      <c r="O6" s="246" t="s">
        <v>37</v>
      </c>
      <c r="P6" s="249">
        <f>COUNTIF(E4:I6,"IMP")</f>
        <v>3</v>
      </c>
      <c r="Q6" s="251">
        <f>COUNTIF(E9:I11,"IMP")</f>
        <v>2</v>
      </c>
      <c r="R6" s="258">
        <f t="shared" si="2"/>
        <v>0.45</v>
      </c>
      <c r="S6" s="258">
        <f t="shared" si="3"/>
        <v>0.61875000000000002</v>
      </c>
      <c r="T6" s="263">
        <f t="shared" si="4"/>
        <v>7.1394230769230779E-2</v>
      </c>
      <c r="U6" s="265">
        <f t="shared" si="5"/>
        <v>4.7596153846153851E-2</v>
      </c>
      <c r="V6" s="255">
        <f>$G$18</f>
        <v>0.45</v>
      </c>
      <c r="W6" s="253">
        <f>$H$18</f>
        <v>0.45</v>
      </c>
      <c r="X6" s="288">
        <f t="shared" si="11"/>
        <v>3.2127403846153854E-2</v>
      </c>
      <c r="Y6" s="289">
        <f t="shared" si="11"/>
        <v>2.1418269230769234E-2</v>
      </c>
      <c r="Z6" s="236"/>
      <c r="AA6" s="281">
        <f t="shared" si="6"/>
        <v>1.5468750000000003E-3</v>
      </c>
      <c r="AB6" s="282">
        <f t="shared" si="7"/>
        <v>0.99845312500000005</v>
      </c>
      <c r="AC6" s="282">
        <f>AA6*PRODUCT(AB3:AB5)*PRODUCT(AB7:AB17)</f>
        <v>8.5061401929106156E-4</v>
      </c>
      <c r="AD6" s="282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5.1365647485789067E-4</v>
      </c>
      <c r="AE6" s="220"/>
      <c r="AF6" s="234"/>
      <c r="AG6" s="283">
        <f t="shared" si="12"/>
        <v>2.1418269230769234E-2</v>
      </c>
      <c r="AH6" s="284">
        <f t="shared" si="8"/>
        <v>0.97858173076923072</v>
      </c>
      <c r="AI6" s="284">
        <f>AG6*PRODUCT(AH3:AH5)*PRODUCT(AH7:AH17)</f>
        <v>1.4228786391588222E-2</v>
      </c>
      <c r="AJ6" s="284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5.2331521435409539E-3</v>
      </c>
      <c r="AK6" s="220"/>
      <c r="AL6" s="237"/>
      <c r="AM6" s="220"/>
      <c r="AN6" s="225"/>
      <c r="AO6" s="239"/>
      <c r="AP6" s="220"/>
      <c r="AQ6" s="220"/>
      <c r="AR6" s="220"/>
      <c r="AS6" s="220"/>
      <c r="AT6" s="220"/>
      <c r="AU6" s="220"/>
      <c r="AV6" s="220"/>
      <c r="AW6" s="220"/>
      <c r="AX6" s="220"/>
      <c r="AY6" s="220"/>
      <c r="AZ6" s="220"/>
      <c r="BI6" s="31">
        <v>0</v>
      </c>
      <c r="BJ6" s="31">
        <v>3</v>
      </c>
      <c r="BK6" s="107">
        <f t="shared" si="9"/>
        <v>8.1286081937728526E-3</v>
      </c>
      <c r="BM6" s="31">
        <f>BI14+1</f>
        <v>2</v>
      </c>
      <c r="BN6" s="31">
        <v>2</v>
      </c>
      <c r="BO6" s="107">
        <f>$H$27*H41</f>
        <v>6.5981130762773899E-2</v>
      </c>
      <c r="BQ6" s="31">
        <f>BM5+1</f>
        <v>2</v>
      </c>
      <c r="BR6" s="31">
        <v>1</v>
      </c>
      <c r="BS6" s="107">
        <f>$H$27*H40</f>
        <v>9.3873615389497136E-2</v>
      </c>
    </row>
    <row r="7" spans="1:71" ht="15.75" x14ac:dyDescent="0.25">
      <c r="A7" s="5" t="s">
        <v>40</v>
      </c>
      <c r="B7" s="269">
        <v>20.5</v>
      </c>
      <c r="C7" s="270">
        <v>14.5</v>
      </c>
      <c r="E7" s="247"/>
      <c r="F7" s="247"/>
      <c r="G7" s="247"/>
      <c r="H7" s="247"/>
      <c r="I7" s="247"/>
      <c r="J7" s="245"/>
      <c r="K7" s="246">
        <v>9</v>
      </c>
      <c r="L7" s="246">
        <v>8</v>
      </c>
      <c r="M7" s="259">
        <v>0.02</v>
      </c>
      <c r="N7" s="259">
        <f t="shared" si="10"/>
        <v>0.02</v>
      </c>
      <c r="O7" s="246" t="s">
        <v>181</v>
      </c>
      <c r="P7" s="249">
        <f>COUNTIF(E9:I9,"IMP")+COUNTIF(F10:H10,"IMP")</f>
        <v>2</v>
      </c>
      <c r="Q7" s="251">
        <f>COUNTIF(E4:I4,"IMP")+COUNTIF(F5:H5,"IMP")</f>
        <v>3</v>
      </c>
      <c r="R7" s="258">
        <f t="shared" si="2"/>
        <v>0.02</v>
      </c>
      <c r="S7" s="258">
        <f t="shared" si="3"/>
        <v>2.7500000000000004E-2</v>
      </c>
      <c r="T7" s="263">
        <f t="shared" si="4"/>
        <v>3.4375000000000005E-3</v>
      </c>
      <c r="U7" s="265">
        <f t="shared" si="5"/>
        <v>5.1562500000000011E-3</v>
      </c>
      <c r="V7" s="255">
        <f>$G$18</f>
        <v>0.45</v>
      </c>
      <c r="W7" s="253">
        <f>$H$18</f>
        <v>0.45</v>
      </c>
      <c r="X7" s="288">
        <f t="shared" si="11"/>
        <v>1.5468750000000003E-3</v>
      </c>
      <c r="Y7" s="289">
        <f t="shared" si="11"/>
        <v>2.3203125000000008E-3</v>
      </c>
      <c r="Z7" s="236"/>
      <c r="AA7" s="281">
        <f t="shared" si="6"/>
        <v>4.8984374999999997E-2</v>
      </c>
      <c r="AB7" s="282">
        <f t="shared" si="7"/>
        <v>0.95101562500000003</v>
      </c>
      <c r="AC7" s="282">
        <f>AA7*PRODUCT(AB3:AB6)*PRODUCT(AB8:AB17)</f>
        <v>2.8279707617613958E-2</v>
      </c>
      <c r="AD7" s="282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1.5620525084730007E-2</v>
      </c>
      <c r="AE7" s="220"/>
      <c r="AF7" s="234"/>
      <c r="AG7" s="283">
        <f t="shared" si="12"/>
        <v>2.3203125000000008E-3</v>
      </c>
      <c r="AH7" s="284">
        <f t="shared" si="8"/>
        <v>0.99767968750000002</v>
      </c>
      <c r="AI7" s="284">
        <f>AG7*PRODUCT(AH3:AH6)*PRODUCT(AH8:AH17)</f>
        <v>1.5119448126125073E-3</v>
      </c>
      <c r="AJ7" s="284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5.5255618579404557E-4</v>
      </c>
      <c r="AK7" s="220"/>
      <c r="AL7" s="237"/>
      <c r="AM7" s="220"/>
      <c r="AN7" s="225"/>
      <c r="AO7" s="239"/>
      <c r="AP7" s="220"/>
      <c r="AQ7" s="220"/>
      <c r="AR7" s="220"/>
      <c r="AS7" s="220"/>
      <c r="AT7" s="220"/>
      <c r="AU7" s="220"/>
      <c r="AV7" s="220"/>
      <c r="AW7" s="220"/>
      <c r="AX7" s="220"/>
      <c r="AY7" s="220"/>
      <c r="AZ7" s="220"/>
      <c r="BI7" s="31">
        <v>0</v>
      </c>
      <c r="BJ7" s="31">
        <v>4</v>
      </c>
      <c r="BK7" s="107">
        <f t="shared" si="9"/>
        <v>3.4977750198327624E-3</v>
      </c>
      <c r="BM7" s="31">
        <f>BI23+1</f>
        <v>3</v>
      </c>
      <c r="BN7" s="31">
        <v>3</v>
      </c>
      <c r="BO7" s="107">
        <f>$H$28*H42</f>
        <v>2.8857474578972177E-2</v>
      </c>
      <c r="BQ7" s="31">
        <f>BQ5+1</f>
        <v>3</v>
      </c>
      <c r="BR7" s="31">
        <v>0</v>
      </c>
      <c r="BS7" s="107">
        <f>$H$28*H39</f>
        <v>5.2395508142992195E-2</v>
      </c>
    </row>
    <row r="8" spans="1:71" ht="15.75" x14ac:dyDescent="0.25">
      <c r="A8" s="5" t="s">
        <v>44</v>
      </c>
      <c r="B8" s="269">
        <v>21.75</v>
      </c>
      <c r="C8" s="270">
        <v>15.25</v>
      </c>
      <c r="E8" s="250"/>
      <c r="F8" s="251"/>
      <c r="G8" s="280" t="s">
        <v>163</v>
      </c>
      <c r="H8" s="250"/>
      <c r="I8" s="250"/>
      <c r="J8" s="245"/>
      <c r="K8" s="246">
        <v>15</v>
      </c>
      <c r="L8" s="246">
        <v>8</v>
      </c>
      <c r="M8" s="259">
        <v>0.5</v>
      </c>
      <c r="N8" s="259">
        <f t="shared" si="10"/>
        <v>0.5</v>
      </c>
      <c r="O8" s="246" t="s">
        <v>182</v>
      </c>
      <c r="P8" s="249">
        <f>COUNTIF(E5:I6,"RAP")</f>
        <v>2</v>
      </c>
      <c r="Q8" s="251">
        <f>COUNTIF(E10:I11,"RAP")</f>
        <v>5</v>
      </c>
      <c r="R8" s="258">
        <f t="shared" si="2"/>
        <v>0.5</v>
      </c>
      <c r="S8" s="258">
        <f t="shared" si="3"/>
        <v>0.6875</v>
      </c>
      <c r="T8" s="263">
        <f t="shared" si="4"/>
        <v>8.59375E-2</v>
      </c>
      <c r="U8" s="265">
        <f t="shared" si="5"/>
        <v>0.21484375</v>
      </c>
      <c r="V8" s="255">
        <f>$G$17</f>
        <v>0.56999999999999995</v>
      </c>
      <c r="W8" s="253">
        <f>$H$17</f>
        <v>0.56999999999999995</v>
      </c>
      <c r="X8" s="288">
        <f t="shared" si="11"/>
        <v>4.8984374999999997E-2</v>
      </c>
      <c r="Y8" s="289">
        <f t="shared" si="11"/>
        <v>0.12246093749999999</v>
      </c>
      <c r="Z8" s="236"/>
      <c r="AA8" s="281">
        <f t="shared" si="6"/>
        <v>4.8984374999999997E-2</v>
      </c>
      <c r="AB8" s="282">
        <f t="shared" si="7"/>
        <v>0.95101562500000003</v>
      </c>
      <c r="AC8" s="282">
        <f>AA8*PRODUCT(AB3:AB7)*PRODUCT(AB9:AB17)</f>
        <v>2.8279707617613958E-2</v>
      </c>
      <c r="AD8" s="282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1.4163909897328058E-2</v>
      </c>
      <c r="AE8" s="220"/>
      <c r="AF8" s="234"/>
      <c r="AG8" s="283">
        <f t="shared" si="12"/>
        <v>0.12246093749999999</v>
      </c>
      <c r="AH8" s="284">
        <f t="shared" si="8"/>
        <v>0.87753906250000002</v>
      </c>
      <c r="AI8" s="284">
        <f>AG8*PRODUCT(AH3:AH7)*PRODUCT(AH9:AH17)</f>
        <v>9.0721811204986624E-2</v>
      </c>
      <c r="AJ8" s="284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2.0494977091894628E-2</v>
      </c>
      <c r="AK8" s="220"/>
      <c r="AL8" s="237"/>
      <c r="AM8" s="220"/>
      <c r="AN8" s="225"/>
      <c r="AO8" s="239"/>
      <c r="AP8" s="220"/>
      <c r="AQ8" s="220"/>
      <c r="AR8" s="220"/>
      <c r="AS8" s="220"/>
      <c r="AT8" s="220"/>
      <c r="AU8" s="220"/>
      <c r="AV8" s="220"/>
      <c r="AW8" s="220"/>
      <c r="AX8" s="220"/>
      <c r="AY8" s="220"/>
      <c r="AZ8" s="220"/>
      <c r="BI8" s="31">
        <v>0</v>
      </c>
      <c r="BJ8" s="31">
        <v>5</v>
      </c>
      <c r="BK8" s="107">
        <f t="shared" si="9"/>
        <v>1.1817952283729775E-3</v>
      </c>
      <c r="BM8" s="31">
        <f>BI31+1</f>
        <v>4</v>
      </c>
      <c r="BN8" s="31">
        <v>4</v>
      </c>
      <c r="BO8" s="107">
        <f>$H$29*H43</f>
        <v>7.3139756215145927E-3</v>
      </c>
      <c r="BQ8" s="31">
        <f>BQ6+1</f>
        <v>3</v>
      </c>
      <c r="BR8" s="31">
        <v>1</v>
      </c>
      <c r="BS8" s="107">
        <f>$H$28*H40</f>
        <v>8.0278124386907207E-2</v>
      </c>
    </row>
    <row r="9" spans="1:71" ht="15.75" x14ac:dyDescent="0.25">
      <c r="A9" s="5" t="s">
        <v>47</v>
      </c>
      <c r="B9" s="269">
        <v>19.25</v>
      </c>
      <c r="C9" s="270">
        <v>16</v>
      </c>
      <c r="E9" s="280" t="s">
        <v>37</v>
      </c>
      <c r="F9" s="280" t="s">
        <v>144</v>
      </c>
      <c r="G9" s="280" t="s">
        <v>163</v>
      </c>
      <c r="H9" s="280" t="s">
        <v>163</v>
      </c>
      <c r="I9" s="280" t="s">
        <v>37</v>
      </c>
      <c r="J9" s="245"/>
      <c r="K9" s="246">
        <v>16</v>
      </c>
      <c r="L9" s="246">
        <v>8</v>
      </c>
      <c r="M9" s="259">
        <v>0.5</v>
      </c>
      <c r="N9" s="259">
        <f t="shared" si="10"/>
        <v>0.5</v>
      </c>
      <c r="O9" s="246" t="s">
        <v>183</v>
      </c>
      <c r="P9" s="249">
        <f>COUNTIF(E5:I6,"RAP")</f>
        <v>2</v>
      </c>
      <c r="Q9" s="251">
        <f>COUNTIF(E10:I11,"RAP")</f>
        <v>5</v>
      </c>
      <c r="R9" s="258">
        <f t="shared" si="2"/>
        <v>0.5</v>
      </c>
      <c r="S9" s="258">
        <f t="shared" si="3"/>
        <v>0.6875</v>
      </c>
      <c r="T9" s="263">
        <f t="shared" si="4"/>
        <v>8.59375E-2</v>
      </c>
      <c r="U9" s="265">
        <f t="shared" si="5"/>
        <v>0.21484375</v>
      </c>
      <c r="V9" s="255">
        <f>$G$17</f>
        <v>0.56999999999999995</v>
      </c>
      <c r="W9" s="253">
        <f>$H$17</f>
        <v>0.56999999999999995</v>
      </c>
      <c r="X9" s="288">
        <f t="shared" si="11"/>
        <v>4.8984374999999997E-2</v>
      </c>
      <c r="Y9" s="289">
        <f t="shared" si="11"/>
        <v>0.12246093749999999</v>
      </c>
      <c r="Z9" s="236"/>
      <c r="AA9" s="281">
        <f t="shared" si="6"/>
        <v>6.8809267241379313E-2</v>
      </c>
      <c r="AB9" s="282">
        <f t="shared" si="7"/>
        <v>0.93119073275862063</v>
      </c>
      <c r="AC9" s="282">
        <f>AA9*PRODUCT(AB3:AB8)*PRODUCT(AB10:AB17)</f>
        <v>4.057077314355019E-2</v>
      </c>
      <c r="AD9" s="282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1.7321967458013173E-2</v>
      </c>
      <c r="AE9" s="220"/>
      <c r="AF9" s="234"/>
      <c r="AG9" s="283">
        <f t="shared" si="12"/>
        <v>0.12246093749999999</v>
      </c>
      <c r="AH9" s="284">
        <f t="shared" si="8"/>
        <v>0.87753906250000002</v>
      </c>
      <c r="AI9" s="284">
        <f>AG9*PRODUCT(AH3:AH8)*PRODUCT(AH10:AH17)</f>
        <v>9.0721811204986624E-2</v>
      </c>
      <c r="AJ9" s="284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7.8347109833865926E-3</v>
      </c>
      <c r="AK9" s="220"/>
      <c r="AL9" s="237"/>
      <c r="AM9" s="220"/>
      <c r="AN9" s="225"/>
      <c r="AO9" s="239"/>
      <c r="AP9" s="220"/>
      <c r="AQ9" s="220"/>
      <c r="AR9" s="220"/>
      <c r="AS9" s="220"/>
      <c r="AT9" s="220"/>
      <c r="AU9" s="220"/>
      <c r="AV9" s="220"/>
      <c r="AW9" s="220"/>
      <c r="AX9" s="220"/>
      <c r="AY9" s="220"/>
      <c r="AZ9" s="220"/>
      <c r="BI9" s="31">
        <v>0</v>
      </c>
      <c r="BJ9" s="31">
        <v>6</v>
      </c>
      <c r="BK9" s="107">
        <f t="shared" si="9"/>
        <v>2.8982772156408825E-4</v>
      </c>
      <c r="BM9" s="31">
        <f>BI38+1</f>
        <v>5</v>
      </c>
      <c r="BN9" s="31">
        <v>5</v>
      </c>
      <c r="BO9" s="107">
        <f>$H$30*H44</f>
        <v>1.0605964267419844E-3</v>
      </c>
      <c r="BQ9" s="31">
        <f>BM6+1</f>
        <v>3</v>
      </c>
      <c r="BR9" s="31">
        <v>2</v>
      </c>
      <c r="BS9" s="107">
        <f>$H$28*H41</f>
        <v>5.642524153975835E-2</v>
      </c>
    </row>
    <row r="10" spans="1:71" ht="15.75" x14ac:dyDescent="0.25">
      <c r="A10" s="6" t="s">
        <v>50</v>
      </c>
      <c r="B10" s="269">
        <v>2.75</v>
      </c>
      <c r="C10" s="270">
        <v>16.75</v>
      </c>
      <c r="E10" s="280" t="s">
        <v>1</v>
      </c>
      <c r="F10" s="280" t="s">
        <v>1</v>
      </c>
      <c r="G10" s="280" t="s">
        <v>163</v>
      </c>
      <c r="H10" s="280" t="s">
        <v>163</v>
      </c>
      <c r="I10" s="280" t="s">
        <v>1</v>
      </c>
      <c r="J10" s="245"/>
      <c r="K10" s="246">
        <v>18</v>
      </c>
      <c r="L10" s="246" t="s">
        <v>184</v>
      </c>
      <c r="M10" s="259">
        <v>0.15</v>
      </c>
      <c r="N10" s="259">
        <f t="shared" si="10"/>
        <v>0.15</v>
      </c>
      <c r="O10" s="246" t="s">
        <v>185</v>
      </c>
      <c r="P10" s="249">
        <v>1</v>
      </c>
      <c r="Q10" s="251">
        <v>1</v>
      </c>
      <c r="R10" s="258">
        <f t="shared" si="2"/>
        <v>0.15</v>
      </c>
      <c r="S10" s="258">
        <f t="shared" si="3"/>
        <v>0.20624999999999999</v>
      </c>
      <c r="T10" s="263">
        <f>S10*G13</f>
        <v>0.15290948275862068</v>
      </c>
      <c r="U10" s="265">
        <f>S10*G14</f>
        <v>5.3340517241379302E-2</v>
      </c>
      <c r="V10" s="255">
        <f>$G$18</f>
        <v>0.45</v>
      </c>
      <c r="W10" s="253">
        <f>$H$18</f>
        <v>0.45</v>
      </c>
      <c r="X10" s="288">
        <f t="shared" si="11"/>
        <v>6.8809267241379313E-2</v>
      </c>
      <c r="Y10" s="289">
        <f t="shared" si="11"/>
        <v>2.4003232758620686E-2</v>
      </c>
      <c r="Z10" s="236"/>
      <c r="AA10" s="281">
        <f t="shared" si="6"/>
        <v>0.1758459051724138</v>
      </c>
      <c r="AB10" s="282">
        <f t="shared" si="7"/>
        <v>0.82415409482758617</v>
      </c>
      <c r="AC10" s="282">
        <f>AA10*PRODUCT(AB3:AB9)*PRODUCT(AB11:AB17)</f>
        <v>0.11714636981013755</v>
      </c>
      <c r="AD10" s="282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2.5021466029171113E-2</v>
      </c>
      <c r="AE10" s="220"/>
      <c r="AF10" s="234"/>
      <c r="AG10" s="283">
        <f t="shared" si="12"/>
        <v>2.4003232758620686E-2</v>
      </c>
      <c r="AH10" s="284">
        <f t="shared" si="8"/>
        <v>0.97599676724137929</v>
      </c>
      <c r="AI10" s="284">
        <f>AG10*PRODUCT(AH3:AH9)*PRODUCT(AH11:AH17)</f>
        <v>1.5988287427617789E-2</v>
      </c>
      <c r="AJ10" s="284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9.875352926682309E-4</v>
      </c>
      <c r="AK10" s="220"/>
      <c r="AL10" s="237"/>
      <c r="AM10" s="220"/>
      <c r="AN10" s="225"/>
      <c r="AO10" s="239"/>
      <c r="AP10" s="220"/>
      <c r="AQ10" s="220"/>
      <c r="AR10" s="220"/>
      <c r="AS10" s="220"/>
      <c r="AT10" s="220"/>
      <c r="AU10" s="220"/>
      <c r="AV10" s="220"/>
      <c r="AW10" s="220"/>
      <c r="AX10" s="220"/>
      <c r="AY10" s="220"/>
      <c r="AZ10" s="220"/>
      <c r="BI10" s="31">
        <v>0</v>
      </c>
      <c r="BJ10" s="31">
        <v>7</v>
      </c>
      <c r="BK10" s="107">
        <f t="shared" si="9"/>
        <v>5.0189886789762787E-5</v>
      </c>
      <c r="BM10" s="31">
        <f>BI44+1</f>
        <v>6</v>
      </c>
      <c r="BN10" s="31">
        <v>6</v>
      </c>
      <c r="BO10" s="107">
        <f>$H$31*H45</f>
        <v>8.3799849314705657E-5</v>
      </c>
      <c r="BQ10" s="31">
        <f>BQ7+1</f>
        <v>4</v>
      </c>
      <c r="BR10" s="31">
        <v>0</v>
      </c>
      <c r="BS10" s="107">
        <f>$H$29*H39</f>
        <v>3.0861253514188693E-2</v>
      </c>
    </row>
    <row r="11" spans="1:71" ht="15.75" x14ac:dyDescent="0.25">
      <c r="A11" s="6" t="s">
        <v>53</v>
      </c>
      <c r="B11" s="269">
        <v>1.5</v>
      </c>
      <c r="C11" s="270">
        <v>5.5</v>
      </c>
      <c r="E11" s="250"/>
      <c r="F11" s="280" t="s">
        <v>1</v>
      </c>
      <c r="G11" s="280" t="s">
        <v>163</v>
      </c>
      <c r="H11" s="280" t="s">
        <v>1</v>
      </c>
      <c r="I11" s="250"/>
      <c r="J11" s="245"/>
      <c r="K11" s="246">
        <v>19</v>
      </c>
      <c r="L11" s="246" t="s">
        <v>184</v>
      </c>
      <c r="M11" s="259">
        <v>0.23</v>
      </c>
      <c r="N11" s="259">
        <f t="shared" si="10"/>
        <v>0.23</v>
      </c>
      <c r="O11" s="246" t="s">
        <v>186</v>
      </c>
      <c r="P11" s="249">
        <f>COUNTIF(E4:I6,"CAB")</f>
        <v>3</v>
      </c>
      <c r="Q11" s="251">
        <f>COUNTIF(E9:I11,"CAB")</f>
        <v>1</v>
      </c>
      <c r="R11" s="258">
        <f t="shared" si="2"/>
        <v>0.23</v>
      </c>
      <c r="S11" s="258">
        <f t="shared" si="3"/>
        <v>0.31624999999999998</v>
      </c>
      <c r="T11" s="263">
        <f>IF(P11&gt;0,S11*G13,0)</f>
        <v>0.23446120689655173</v>
      </c>
      <c r="U11" s="265">
        <f>IF(Q11&gt;0,S11*G14,0)</f>
        <v>8.1788793103448262E-2</v>
      </c>
      <c r="V11" s="255">
        <f>IF(P11-Q11&gt;2,0.9,IF(P11-Q11&gt;1,0.75,IF(P11-Q11&gt;0,0.5,0.15)))</f>
        <v>0.75</v>
      </c>
      <c r="W11" s="253">
        <f>IF(Q11-P11&gt;2,0.9,IF(Q11-P11&gt;1,0.75,IF(Q11-P11&gt;0,0.5,0.15)))</f>
        <v>0.15</v>
      </c>
      <c r="X11" s="288">
        <f t="shared" si="11"/>
        <v>0.1758459051724138</v>
      </c>
      <c r="Y11" s="289">
        <f t="shared" si="11"/>
        <v>1.2268318965517239E-2</v>
      </c>
      <c r="Z11" s="236"/>
      <c r="AA11" s="281">
        <f t="shared" si="6"/>
        <v>0</v>
      </c>
      <c r="AB11" s="282">
        <f t="shared" si="7"/>
        <v>1</v>
      </c>
      <c r="AC11" s="282">
        <f>AA11*PRODUCT(AB3:AB10)*PRODUCT(AB12:AB17)</f>
        <v>0</v>
      </c>
      <c r="AD11" s="282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0</v>
      </c>
      <c r="AE11" s="220"/>
      <c r="AF11" s="234"/>
      <c r="AG11" s="283">
        <f t="shared" si="12"/>
        <v>1.2268318965517239E-2</v>
      </c>
      <c r="AH11" s="284">
        <f t="shared" si="8"/>
        <v>0.98773168103448272</v>
      </c>
      <c r="AI11" s="284">
        <f>AG11*PRODUCT(AH3:AH10)*PRODUCT(AH12:AH17)</f>
        <v>8.0747049984931218E-3</v>
      </c>
      <c r="AJ11" s="284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3.9845011941985769E-4</v>
      </c>
      <c r="AK11" s="220"/>
      <c r="AL11" s="237"/>
      <c r="AM11" s="220"/>
      <c r="AN11" s="225"/>
      <c r="AO11" s="239"/>
      <c r="AP11" s="220"/>
      <c r="AQ11" s="220"/>
      <c r="AR11" s="220"/>
      <c r="AS11" s="220"/>
      <c r="AT11" s="220"/>
      <c r="AU11" s="220"/>
      <c r="AV11" s="220"/>
      <c r="AW11" s="220"/>
      <c r="AX11" s="220"/>
      <c r="AY11" s="220"/>
      <c r="AZ11" s="220"/>
      <c r="BI11" s="31">
        <v>0</v>
      </c>
      <c r="BJ11" s="31">
        <v>8</v>
      </c>
      <c r="BK11" s="107">
        <f t="shared" si="9"/>
        <v>6.1135789188787223E-6</v>
      </c>
      <c r="BM11" s="31">
        <f>BI50+1</f>
        <v>7</v>
      </c>
      <c r="BN11" s="31">
        <v>7</v>
      </c>
      <c r="BO11" s="107">
        <f>$H$32*H46</f>
        <v>3.5560563497283883E-6</v>
      </c>
      <c r="BQ11" s="31">
        <f>BQ8+1</f>
        <v>4</v>
      </c>
      <c r="BR11" s="31">
        <v>1</v>
      </c>
      <c r="BS11" s="107">
        <f>$H$29*H40</f>
        <v>4.7284273712674664E-2</v>
      </c>
    </row>
    <row r="12" spans="1:71" ht="15.75" x14ac:dyDescent="0.25">
      <c r="A12" s="6" t="s">
        <v>57</v>
      </c>
      <c r="B12" s="269">
        <v>1.5</v>
      </c>
      <c r="C12" s="270">
        <v>16.25</v>
      </c>
      <c r="E12" s="247"/>
      <c r="F12" s="247"/>
      <c r="G12" s="247"/>
      <c r="H12" s="247"/>
      <c r="I12" s="247"/>
      <c r="J12" s="245"/>
      <c r="K12" s="246">
        <v>25</v>
      </c>
      <c r="L12" s="246">
        <v>5</v>
      </c>
      <c r="M12" s="259">
        <v>2.5000000000000001E-2</v>
      </c>
      <c r="N12" s="259">
        <f t="shared" si="10"/>
        <v>2.5000000000000001E-2</v>
      </c>
      <c r="O12" s="246" t="s">
        <v>42</v>
      </c>
      <c r="P12" s="249">
        <f>COUNTIF(F6:H6,"IMP")+COUNTIF(E5,"IMP")+COUNTIF(I5,"IMP")</f>
        <v>0</v>
      </c>
      <c r="Q12" s="251">
        <f>COUNTIF(F11:H11,"IMP")+COUNTIF(E10,"IMP")+COUNTIF(I10,"IMP")</f>
        <v>0</v>
      </c>
      <c r="R12" s="258">
        <f t="shared" si="2"/>
        <v>0</v>
      </c>
      <c r="S12" s="258">
        <f t="shared" si="3"/>
        <v>0</v>
      </c>
      <c r="T12" s="263">
        <f>IF(S12=0,0,IF(Q12=0,S12*P12/L12,S12*P12/(L12*2)))</f>
        <v>0</v>
      </c>
      <c r="U12" s="265">
        <f>IF(S12=0,0,IF(P12=0,S12*Q12/L12,S12*Q12/(L12*2)))</f>
        <v>0</v>
      </c>
      <c r="V12" s="255">
        <f>$G$18</f>
        <v>0.45</v>
      </c>
      <c r="W12" s="253">
        <f>$H$18</f>
        <v>0.45</v>
      </c>
      <c r="X12" s="288">
        <f t="shared" si="11"/>
        <v>0</v>
      </c>
      <c r="Y12" s="289">
        <f t="shared" si="11"/>
        <v>0</v>
      </c>
      <c r="Z12" s="236"/>
      <c r="AA12" s="281">
        <f t="shared" si="6"/>
        <v>0.14107499999999998</v>
      </c>
      <c r="AB12" s="282">
        <f t="shared" si="7"/>
        <v>0.85892500000000005</v>
      </c>
      <c r="AC12" s="282">
        <f>AA12*PRODUCT(AB3:AB11)*PRODUCT(AB13:AB17)</f>
        <v>9.017783646601657E-2</v>
      </c>
      <c r="AD12" s="282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4.4498677927694097E-3</v>
      </c>
      <c r="AE12" s="220"/>
      <c r="AF12" s="234"/>
      <c r="AG12" s="283">
        <f t="shared" si="12"/>
        <v>0</v>
      </c>
      <c r="AH12" s="284">
        <f t="shared" si="8"/>
        <v>1</v>
      </c>
      <c r="AI12" s="284">
        <f>AG12*PRODUCT(AH3:AH11)*PRODUCT(AH13:AH17)</f>
        <v>0</v>
      </c>
      <c r="AJ12" s="284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0</v>
      </c>
      <c r="AK12" s="220"/>
      <c r="AL12" s="237"/>
      <c r="AM12" s="220"/>
      <c r="AN12" s="225"/>
      <c r="AO12" s="239"/>
      <c r="AP12" s="220"/>
      <c r="AQ12" s="220"/>
      <c r="AR12" s="220"/>
      <c r="AS12" s="220"/>
      <c r="AT12" s="220"/>
      <c r="AU12" s="220"/>
      <c r="AV12" s="220"/>
      <c r="AW12" s="220"/>
      <c r="AX12" s="220"/>
      <c r="AY12" s="220"/>
      <c r="AZ12" s="220"/>
      <c r="BI12" s="31">
        <v>0</v>
      </c>
      <c r="BJ12" s="31">
        <v>9</v>
      </c>
      <c r="BK12" s="107">
        <f t="shared" si="9"/>
        <v>5.2395805372434093E-7</v>
      </c>
      <c r="BM12" s="31">
        <f>BI54+1</f>
        <v>8</v>
      </c>
      <c r="BN12" s="31">
        <v>8</v>
      </c>
      <c r="BO12" s="107">
        <f>$H$33*H47</f>
        <v>8.0731888585981934E-8</v>
      </c>
      <c r="BQ12" s="31">
        <f>BQ9+1</f>
        <v>4</v>
      </c>
      <c r="BR12" s="31">
        <v>2</v>
      </c>
      <c r="BS12" s="107">
        <f>$H$29*H41</f>
        <v>3.3234789497708424E-2</v>
      </c>
    </row>
    <row r="13" spans="1:71" ht="15.75" x14ac:dyDescent="0.25">
      <c r="A13" s="7" t="s">
        <v>60</v>
      </c>
      <c r="B13" s="269">
        <v>13.25</v>
      </c>
      <c r="C13" s="270">
        <v>12.5</v>
      </c>
      <c r="E13" s="247"/>
      <c r="F13" s="247" t="s">
        <v>164</v>
      </c>
      <c r="G13" s="254">
        <f>B22</f>
        <v>0.74137931034482762</v>
      </c>
      <c r="H13" s="247"/>
      <c r="I13" s="247"/>
      <c r="J13" s="245"/>
      <c r="K13" s="246">
        <v>37</v>
      </c>
      <c r="L13" s="246">
        <v>2</v>
      </c>
      <c r="M13" s="259">
        <v>0.18</v>
      </c>
      <c r="N13" s="259">
        <f t="shared" si="10"/>
        <v>0.18</v>
      </c>
      <c r="O13" s="246" t="s">
        <v>187</v>
      </c>
      <c r="P13" s="249">
        <f>COUNTIF(E5:I6,"CAB")</f>
        <v>2</v>
      </c>
      <c r="Q13" s="251">
        <f>COUNTIF(E10:I11,"CAB")</f>
        <v>0</v>
      </c>
      <c r="R13" s="258">
        <f t="shared" si="2"/>
        <v>0.18</v>
      </c>
      <c r="S13" s="258">
        <f t="shared" si="3"/>
        <v>0.24749999999999997</v>
      </c>
      <c r="T13" s="263">
        <f>IF((Q13+P13)=0,0,S13*P13/(Q13+P13))</f>
        <v>0.24749999999999997</v>
      </c>
      <c r="U13" s="265">
        <f>IF(P13+Q13=0,0,S13*Q13/(Q13+P13))</f>
        <v>0</v>
      </c>
      <c r="V13" s="255">
        <f>$G$17</f>
        <v>0.56999999999999995</v>
      </c>
      <c r="W13" s="253">
        <f>$H$17</f>
        <v>0.56999999999999995</v>
      </c>
      <c r="X13" s="288">
        <f t="shared" si="11"/>
        <v>0.14107499999999998</v>
      </c>
      <c r="Y13" s="289">
        <f t="shared" si="11"/>
        <v>0</v>
      </c>
      <c r="Z13" s="236"/>
      <c r="AA13" s="281">
        <f t="shared" si="6"/>
        <v>4.702499999999999E-2</v>
      </c>
      <c r="AB13" s="282">
        <f t="shared" si="7"/>
        <v>0.95297500000000002</v>
      </c>
      <c r="AC13" s="282">
        <f>AA13*PRODUCT(AB3:AB12)*PRODUCT(AB14:AB17)</f>
        <v>2.7092700293492582E-2</v>
      </c>
      <c r="AD13" s="282">
        <f>AA13*AA14*PRODUCT(AB3:AB12)*PRODUCT(AB15:AB17)+AA13*AA15*PRODUCT(AB3:AB12)*AB14*PRODUCT(AB16:AB17)+AA13*AA16*PRODUCT(AB3:AB12)*AB14*AB15*AB17+AA13*AA17*PRODUCT(AB3:AB12)*AB14*AB15*AB16</f>
        <v>0</v>
      </c>
      <c r="AE13" s="220"/>
      <c r="AF13" s="234"/>
      <c r="AG13" s="283">
        <f t="shared" si="12"/>
        <v>0</v>
      </c>
      <c r="AH13" s="284">
        <f t="shared" si="8"/>
        <v>1</v>
      </c>
      <c r="AI13" s="284">
        <f>AG13*PRODUCT(AH3:AH12)*PRODUCT(AH14:AH17)</f>
        <v>0</v>
      </c>
      <c r="AJ13" s="284">
        <f>AG13*AG14*PRODUCT(AH3:AH12)*PRODUCT(AH15:AH17)+AG13*AG15*PRODUCT(AH3:AH12)*AH14*PRODUCT(AH16:AH17)+AG13*AG16*PRODUCT(AH3:AH12)*AH14*AH15*AH17+AG13*AG17*PRODUCT(AH3:AH12)*AH14*AH15*AH16</f>
        <v>0</v>
      </c>
      <c r="AK13" s="220"/>
      <c r="AL13" s="237"/>
      <c r="AM13" s="220"/>
      <c r="AN13" s="225"/>
      <c r="AO13" s="239"/>
      <c r="AP13" s="220"/>
      <c r="AQ13" s="220"/>
      <c r="AR13" s="220"/>
      <c r="AS13" s="220"/>
      <c r="AT13" s="220"/>
      <c r="AU13" s="220"/>
      <c r="AV13" s="220"/>
      <c r="AW13" s="220"/>
      <c r="AX13" s="220"/>
      <c r="AY13" s="220"/>
      <c r="AZ13" s="220"/>
      <c r="BI13" s="31">
        <v>0</v>
      </c>
      <c r="BJ13" s="31">
        <v>10</v>
      </c>
      <c r="BK13" s="107">
        <f t="shared" si="9"/>
        <v>3.1534575638529935E-8</v>
      </c>
      <c r="BM13" s="31">
        <f>BI57+1</f>
        <v>9</v>
      </c>
      <c r="BN13" s="31">
        <v>9</v>
      </c>
      <c r="BO13" s="107">
        <f>$H$34*H48</f>
        <v>9.680203026953968E-10</v>
      </c>
      <c r="BQ13" s="31">
        <f>BM7+1</f>
        <v>4</v>
      </c>
      <c r="BR13" s="31">
        <v>3</v>
      </c>
      <c r="BS13" s="107">
        <f>$H$29*H42</f>
        <v>1.6997217325012796E-2</v>
      </c>
    </row>
    <row r="14" spans="1:71" ht="15.75" x14ac:dyDescent="0.25">
      <c r="A14" s="7" t="s">
        <v>63</v>
      </c>
      <c r="B14" s="269">
        <v>11</v>
      </c>
      <c r="C14" s="270">
        <v>10.5</v>
      </c>
      <c r="E14" s="247"/>
      <c r="F14" s="247" t="s">
        <v>165</v>
      </c>
      <c r="G14" s="252">
        <f>C22</f>
        <v>0.25862068965517238</v>
      </c>
      <c r="H14" s="247"/>
      <c r="I14" s="247"/>
      <c r="J14" s="245"/>
      <c r="K14" s="246">
        <v>38</v>
      </c>
      <c r="L14" s="246">
        <v>2</v>
      </c>
      <c r="M14" s="259">
        <v>0.12</v>
      </c>
      <c r="N14" s="259">
        <f t="shared" si="10"/>
        <v>0.12</v>
      </c>
      <c r="O14" s="246" t="s">
        <v>188</v>
      </c>
      <c r="P14" s="249">
        <f>COUNTA(E5,I5)</f>
        <v>2</v>
      </c>
      <c r="Q14" s="251">
        <f>COUNTA(E10,I10)</f>
        <v>2</v>
      </c>
      <c r="R14" s="258">
        <f t="shared" si="2"/>
        <v>0.12</v>
      </c>
      <c r="S14" s="258">
        <f t="shared" si="3"/>
        <v>0.16499999999999998</v>
      </c>
      <c r="T14" s="263">
        <f>S14*P14/(Q14+P14)</f>
        <v>8.249999999999999E-2</v>
      </c>
      <c r="U14" s="265">
        <f>S14*Q14/(Q14+P14)</f>
        <v>8.249999999999999E-2</v>
      </c>
      <c r="V14" s="255">
        <f>$G$17</f>
        <v>0.56999999999999995</v>
      </c>
      <c r="W14" s="253">
        <f>$H$17</f>
        <v>0.56999999999999995</v>
      </c>
      <c r="X14" s="288">
        <f t="shared" si="11"/>
        <v>4.702499999999999E-2</v>
      </c>
      <c r="Y14" s="289">
        <f t="shared" si="11"/>
        <v>4.702499999999999E-2</v>
      </c>
      <c r="Z14" s="236"/>
      <c r="AA14" s="281">
        <f t="shared" si="6"/>
        <v>0</v>
      </c>
      <c r="AB14" s="282">
        <f t="shared" si="7"/>
        <v>1</v>
      </c>
      <c r="AC14" s="282">
        <f>AA14*PRODUCT(AB3:AB13)*PRODUCT(AB15:AB17)</f>
        <v>0</v>
      </c>
      <c r="AD14" s="282">
        <f>AA14*AA15*PRODUCT(AB3:AB13)*PRODUCT(AB16:AB17)+AA14*AA16*PRODUCT(AB3:AB13)*AB15*AB17+AA14*AA17*PRODUCT(AB3:AB13)*AB15*AB16</f>
        <v>0</v>
      </c>
      <c r="AE14" s="220"/>
      <c r="AF14" s="234"/>
      <c r="AG14" s="283">
        <f t="shared" si="12"/>
        <v>4.702499999999999E-2</v>
      </c>
      <c r="AH14" s="284">
        <f t="shared" si="8"/>
        <v>0.95297500000000002</v>
      </c>
      <c r="AI14" s="284">
        <f>AG14*PRODUCT(AH3:AH13)*PRODUCT(AH15:AH17)</f>
        <v>3.2079521845589189E-2</v>
      </c>
      <c r="AJ14" s="284">
        <f>AG14*AG15*PRODUCT(AH3:AH13)*PRODUCT(AH16:AH17)+AG14*AG16*PRODUCT(AH3:AH13)*AH15*AH17+AG14*AG17*PRODUCT(AH3:AH13)*AH15*AH16</f>
        <v>0</v>
      </c>
      <c r="AK14" s="220"/>
      <c r="AL14" s="237"/>
      <c r="AM14" s="220"/>
      <c r="AN14" s="225"/>
      <c r="AO14" s="239"/>
      <c r="AP14" s="220"/>
      <c r="AQ14" s="220"/>
      <c r="AR14" s="220"/>
      <c r="AS14" s="220"/>
      <c r="AT14" s="220"/>
      <c r="AU14" s="220"/>
      <c r="AV14" s="220"/>
      <c r="AW14" s="220"/>
      <c r="AX14" s="220"/>
      <c r="AY14" s="220"/>
      <c r="AZ14" s="220"/>
      <c r="BI14" s="31">
        <v>1</v>
      </c>
      <c r="BJ14" s="31">
        <v>2</v>
      </c>
      <c r="BK14" s="107">
        <f t="shared" ref="BK14:BK22" si="13">$H$26*H41</f>
        <v>4.7529541669471695E-2</v>
      </c>
      <c r="BM14" s="31">
        <f>BQ39+1</f>
        <v>10</v>
      </c>
      <c r="BN14" s="31">
        <v>10</v>
      </c>
      <c r="BO14" s="107">
        <f>$H$35*H49</f>
        <v>5.9395643259008666E-12</v>
      </c>
      <c r="BQ14" s="31">
        <f>BQ10+1</f>
        <v>5</v>
      </c>
      <c r="BR14" s="31">
        <v>0</v>
      </c>
      <c r="BS14" s="107">
        <f>$H$30*H39</f>
        <v>1.3245240639966797E-2</v>
      </c>
    </row>
    <row r="15" spans="1:71" ht="15.75" x14ac:dyDescent="0.25">
      <c r="A15" s="184" t="s">
        <v>67</v>
      </c>
      <c r="B15" s="271">
        <v>9.25</v>
      </c>
      <c r="C15" s="272">
        <v>5</v>
      </c>
      <c r="E15" s="247"/>
      <c r="F15" s="247"/>
      <c r="G15" s="247"/>
      <c r="H15" s="247"/>
      <c r="I15" s="247"/>
      <c r="J15" s="245"/>
      <c r="K15" s="246">
        <v>39</v>
      </c>
      <c r="L15" s="246">
        <v>8</v>
      </c>
      <c r="M15" s="259">
        <v>0.6</v>
      </c>
      <c r="N15" s="259">
        <f t="shared" si="10"/>
        <v>0.6</v>
      </c>
      <c r="O15" s="246" t="s">
        <v>189</v>
      </c>
      <c r="P15" s="249">
        <f>COUNTIF(E5:I6,"TEC")</f>
        <v>0</v>
      </c>
      <c r="Q15" s="251">
        <f>COUNTIF(E10:I11,"TEC")</f>
        <v>0</v>
      </c>
      <c r="R15" s="258">
        <f t="shared" si="2"/>
        <v>0</v>
      </c>
      <c r="S15" s="258">
        <f t="shared" si="3"/>
        <v>0</v>
      </c>
      <c r="T15" s="263">
        <f>IF(COUNTIF(F10:H10,"CAB") + COUNTIF(E9:I9,"CAB") =0,0, IF(S15=0,0,IF(Q15=0,S15*P15/L15,S15*P15/(L15*2))))</f>
        <v>0</v>
      </c>
      <c r="U15" s="265">
        <f>IF( COUNTIF(F5:H5,"CAB") + COUNTIF(E4:I4,"CAB") =0,0,IF(S15=0,0,IF(P15=0,S15*Q15/L15,S15*Q15/(L15*2))))</f>
        <v>0</v>
      </c>
      <c r="V15" s="255">
        <f>$G$17</f>
        <v>0.56999999999999995</v>
      </c>
      <c r="W15" s="253">
        <f>$H$17</f>
        <v>0.56999999999999995</v>
      </c>
      <c r="X15" s="288">
        <f t="shared" si="11"/>
        <v>0</v>
      </c>
      <c r="Y15" s="289">
        <f t="shared" si="11"/>
        <v>0</v>
      </c>
      <c r="Z15" s="236"/>
      <c r="AA15" s="281">
        <f>X16</f>
        <v>0</v>
      </c>
      <c r="AB15" s="282">
        <f t="shared" si="7"/>
        <v>1</v>
      </c>
      <c r="AC15" s="282">
        <f>AA15*PRODUCT(AB3:AB14)*PRODUCT(AB16:AB17)</f>
        <v>0</v>
      </c>
      <c r="AD15" s="282">
        <f>AA15*AA16*PRODUCT(AB3:AB14)*AB17+AA15*AA17*PRODUCT(AB3:AB14)*AB16</f>
        <v>0</v>
      </c>
      <c r="AE15" s="220"/>
      <c r="AF15" s="234"/>
      <c r="AG15" s="283">
        <f t="shared" si="12"/>
        <v>0</v>
      </c>
      <c r="AH15" s="284">
        <f t="shared" si="8"/>
        <v>1</v>
      </c>
      <c r="AI15" s="284">
        <f>AG15*PRODUCT(AH3:AH14)*PRODUCT(AH16:AH17)</f>
        <v>0</v>
      </c>
      <c r="AJ15" s="284">
        <f>AG15*AG16*PRODUCT(AH3:AH14)*AH17+AG15*AG17*PRODUCT(AH3:AH14)*AH16</f>
        <v>0</v>
      </c>
      <c r="AK15" s="220"/>
      <c r="AL15" s="237"/>
      <c r="AM15" s="220"/>
      <c r="AN15" s="225"/>
      <c r="AO15" s="239"/>
      <c r="AP15" s="220"/>
      <c r="AQ15" s="220"/>
      <c r="AR15" s="220"/>
      <c r="AS15" s="220"/>
      <c r="AT15" s="220"/>
      <c r="AU15" s="220"/>
      <c r="AV15" s="220"/>
      <c r="AW15" s="220"/>
      <c r="AX15" s="220"/>
      <c r="AY15" s="220"/>
      <c r="AZ15" s="220"/>
      <c r="BI15" s="31">
        <v>1</v>
      </c>
      <c r="BJ15" s="31">
        <v>3</v>
      </c>
      <c r="BK15" s="107">
        <f t="shared" si="13"/>
        <v>2.4307960463235835E-2</v>
      </c>
      <c r="BQ15" s="31">
        <f>BQ11+1</f>
        <v>5</v>
      </c>
      <c r="BR15" s="31">
        <v>1</v>
      </c>
      <c r="BS15" s="107">
        <f>$H$30*H40</f>
        <v>2.0293783061096009E-2</v>
      </c>
    </row>
    <row r="16" spans="1:71" x14ac:dyDescent="0.25">
      <c r="A16" s="184" t="s">
        <v>70</v>
      </c>
      <c r="B16" s="52">
        <v>12</v>
      </c>
      <c r="C16" s="54">
        <v>12</v>
      </c>
      <c r="E16" s="247"/>
      <c r="F16" s="247" t="s">
        <v>8</v>
      </c>
      <c r="G16" s="277">
        <v>0.7</v>
      </c>
      <c r="H16" s="278">
        <v>0.7</v>
      </c>
      <c r="I16" s="247"/>
      <c r="J16" s="245"/>
      <c r="K16" s="245"/>
      <c r="L16" s="245"/>
      <c r="M16" s="245"/>
      <c r="N16" s="245"/>
      <c r="O16" s="245"/>
      <c r="P16" s="247"/>
      <c r="Q16" s="247"/>
      <c r="V16" s="158"/>
      <c r="W16" s="158"/>
      <c r="X16" s="158"/>
      <c r="Y16" s="158"/>
      <c r="Z16" s="236"/>
      <c r="AA16" s="236"/>
      <c r="AB16" s="236"/>
      <c r="AC16" s="236"/>
      <c r="AD16" s="236"/>
      <c r="AE16" s="236"/>
      <c r="AF16" s="236"/>
      <c r="AG16" s="236"/>
      <c r="AH16" s="236"/>
      <c r="AI16" s="236"/>
      <c r="AJ16" s="236"/>
      <c r="AK16" s="236"/>
      <c r="AL16" s="237"/>
      <c r="AM16" s="220"/>
      <c r="AN16" s="225"/>
      <c r="AO16" s="239"/>
      <c r="AP16" s="220"/>
      <c r="AQ16" s="220"/>
      <c r="AR16" s="220"/>
      <c r="AS16" s="220"/>
      <c r="AT16" s="220"/>
      <c r="AU16" s="220"/>
      <c r="AV16" s="220"/>
      <c r="AW16" s="220"/>
      <c r="AX16" s="220"/>
      <c r="AY16" s="220"/>
      <c r="AZ16" s="220"/>
      <c r="BI16" s="31">
        <v>1</v>
      </c>
      <c r="BJ16" s="31">
        <v>4</v>
      </c>
      <c r="BK16" s="107">
        <f t="shared" si="13"/>
        <v>1.0459819795044812E-2</v>
      </c>
      <c r="BQ16" s="31">
        <f>BQ12+1</f>
        <v>5</v>
      </c>
      <c r="BR16" s="31">
        <v>2</v>
      </c>
      <c r="BS16" s="107">
        <f>$H$30*H41</f>
        <v>1.4263930799615861E-2</v>
      </c>
    </row>
    <row r="17" spans="1:71" x14ac:dyDescent="0.25">
      <c r="A17" s="183" t="s">
        <v>74</v>
      </c>
      <c r="B17" s="273" t="s">
        <v>340</v>
      </c>
      <c r="C17" s="274" t="s">
        <v>145</v>
      </c>
      <c r="E17" s="247"/>
      <c r="F17" s="247" t="s">
        <v>166</v>
      </c>
      <c r="G17" s="277">
        <v>0.56999999999999995</v>
      </c>
      <c r="H17" s="278">
        <v>0.56999999999999995</v>
      </c>
      <c r="I17" s="247"/>
      <c r="J17" s="245"/>
      <c r="K17" s="246"/>
      <c r="L17" s="246"/>
      <c r="M17" s="246"/>
      <c r="N17" s="246"/>
      <c r="O17" s="246"/>
      <c r="P17" s="246"/>
      <c r="Q17" s="247"/>
      <c r="V17" s="158"/>
      <c r="W17" s="158"/>
      <c r="X17" s="158"/>
      <c r="Y17" s="158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6"/>
      <c r="AL17" s="237"/>
      <c r="AM17" s="220"/>
      <c r="AN17" s="225"/>
      <c r="AO17" s="239"/>
      <c r="AP17" s="220"/>
      <c r="AQ17" s="220"/>
      <c r="AR17" s="220"/>
      <c r="AS17" s="220"/>
      <c r="AT17" s="220"/>
      <c r="AU17" s="220"/>
      <c r="AV17" s="220"/>
      <c r="AW17" s="220"/>
      <c r="AX17" s="220"/>
      <c r="AY17" s="220"/>
      <c r="AZ17" s="220"/>
      <c r="BI17" s="31">
        <v>1</v>
      </c>
      <c r="BJ17" s="31">
        <v>5</v>
      </c>
      <c r="BK17" s="107">
        <f t="shared" si="13"/>
        <v>3.5340652424283711E-3</v>
      </c>
      <c r="BQ17" s="31">
        <f>BQ13+1</f>
        <v>5</v>
      </c>
      <c r="BR17" s="31">
        <v>3</v>
      </c>
      <c r="BS17" s="107">
        <f>$H$30*H42</f>
        <v>7.2949802112250882E-3</v>
      </c>
    </row>
    <row r="18" spans="1:71" x14ac:dyDescent="0.25">
      <c r="A18" s="183" t="s">
        <v>78</v>
      </c>
      <c r="B18" s="273">
        <v>17</v>
      </c>
      <c r="C18" s="274">
        <v>20</v>
      </c>
      <c r="E18" s="247"/>
      <c r="F18" s="246" t="s">
        <v>3</v>
      </c>
      <c r="G18" s="277">
        <v>0.45</v>
      </c>
      <c r="H18" s="278">
        <v>0.45</v>
      </c>
      <c r="I18" s="247"/>
      <c r="J18" s="245"/>
      <c r="K18" s="246"/>
      <c r="L18" s="246"/>
      <c r="M18" s="246"/>
      <c r="N18" s="246"/>
      <c r="O18" s="246"/>
      <c r="P18" s="260"/>
      <c r="Q18" s="247"/>
      <c r="V18" s="158"/>
      <c r="W18" s="158"/>
      <c r="X18" s="158"/>
      <c r="Y18" s="158"/>
      <c r="Z18" s="236"/>
      <c r="AB18" s="175">
        <f>PRODUCT(AB3:AB17)</f>
        <v>0.54904127723957685</v>
      </c>
      <c r="AC18" s="176">
        <f>SUM(AC3:AC17)</f>
        <v>0.35062249486637581</v>
      </c>
      <c r="AD18" s="176">
        <f>SUM(AD3:AD17)</f>
        <v>8.8124947644797502E-2</v>
      </c>
      <c r="AE18" s="176">
        <f>1-AB18-AC18-AD18</f>
        <v>1.2211280249249834E-2</v>
      </c>
      <c r="AF18" s="234"/>
      <c r="AG18" s="158"/>
      <c r="AH18" s="179">
        <f>PRODUCT(AH3:AH17)</f>
        <v>0.6501006343604544</v>
      </c>
      <c r="AI18" s="176">
        <f>SUM(AI3:AI17)</f>
        <v>0.25332686788587405</v>
      </c>
      <c r="AJ18" s="176">
        <f>SUM(AJ3:AJ17)</f>
        <v>3.5501381816704307E-2</v>
      </c>
      <c r="AK18" s="176">
        <f>1-AH18-AI18-AJ18</f>
        <v>6.1071115936967242E-2</v>
      </c>
      <c r="AL18" s="237"/>
      <c r="AM18" s="220"/>
      <c r="AN18" s="225"/>
      <c r="AO18" s="239"/>
      <c r="AP18" s="220"/>
      <c r="AQ18" s="220"/>
      <c r="AR18" s="220"/>
      <c r="AS18" s="220"/>
      <c r="AT18" s="220"/>
      <c r="AU18" s="220"/>
      <c r="AV18" s="220"/>
      <c r="AW18" s="220"/>
      <c r="AX18" s="220"/>
      <c r="AY18" s="220"/>
      <c r="AZ18" s="220"/>
      <c r="BI18" s="31">
        <v>1</v>
      </c>
      <c r="BJ18" s="31">
        <v>6</v>
      </c>
      <c r="BK18" s="107">
        <f t="shared" si="13"/>
        <v>8.6670689852251634E-4</v>
      </c>
      <c r="BQ18" s="31">
        <f>BM8+1</f>
        <v>5</v>
      </c>
      <c r="BR18" s="31">
        <v>4</v>
      </c>
      <c r="BS18" s="107">
        <f>$H$30*H43</f>
        <v>3.1390613183379708E-3</v>
      </c>
    </row>
    <row r="19" spans="1:71" ht="9" customHeight="1" x14ac:dyDescent="0.25">
      <c r="E19" s="220"/>
      <c r="F19" s="220"/>
      <c r="G19" s="220"/>
      <c r="H19" s="221"/>
      <c r="I19" s="220"/>
      <c r="J19" s="220"/>
      <c r="K19" s="220"/>
      <c r="L19" s="221"/>
      <c r="M19" s="221"/>
      <c r="N19" s="220"/>
      <c r="O19" s="220"/>
      <c r="P19" s="230"/>
      <c r="Q19" s="231"/>
      <c r="R19" s="232"/>
      <c r="S19" s="233"/>
      <c r="T19" s="234"/>
      <c r="U19" s="234"/>
      <c r="V19" s="234"/>
      <c r="W19" s="240"/>
      <c r="X19" s="220"/>
      <c r="Y19" s="235"/>
      <c r="Z19" s="236"/>
      <c r="AA19" s="236"/>
      <c r="AB19" s="236"/>
      <c r="AC19" s="233"/>
      <c r="AD19" s="234"/>
      <c r="AE19" s="234"/>
      <c r="AF19" s="234"/>
      <c r="AG19" s="240"/>
      <c r="AH19" s="237"/>
      <c r="AI19" s="220"/>
      <c r="AJ19" s="238"/>
      <c r="AK19" s="220"/>
      <c r="AL19" s="237"/>
      <c r="AM19" s="220"/>
      <c r="AN19" s="225"/>
      <c r="AO19" s="239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  <c r="AZ19" s="220"/>
      <c r="BI19" s="31">
        <v>1</v>
      </c>
      <c r="BJ19" s="31">
        <v>7</v>
      </c>
      <c r="BK19" s="107">
        <f t="shared" si="13"/>
        <v>1.5008889033112238E-4</v>
      </c>
      <c r="BQ19" s="31">
        <f>BQ15+1</f>
        <v>6</v>
      </c>
      <c r="BR19" s="31">
        <v>1</v>
      </c>
      <c r="BS19" s="107">
        <f>$H$31*H40</f>
        <v>6.5382030070512036E-3</v>
      </c>
    </row>
    <row r="20" spans="1:71" x14ac:dyDescent="0.25">
      <c r="A20" s="185" t="s">
        <v>85</v>
      </c>
      <c r="B20" s="31">
        <f>IF(B17="Pres",IF(C17="Pres",2,1),IF(C17="Pres",1,0))</f>
        <v>0</v>
      </c>
      <c r="D20" s="205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41"/>
      <c r="Q20" s="241"/>
      <c r="R20" s="241"/>
      <c r="S20" s="220"/>
      <c r="T20" s="242"/>
      <c r="U20" s="243"/>
      <c r="V20" s="243"/>
      <c r="W20" s="243"/>
      <c r="X20" s="220"/>
      <c r="Y20" s="241"/>
      <c r="Z20" s="241"/>
      <c r="AA20" s="241"/>
      <c r="AB20" s="241"/>
      <c r="AC20" s="221"/>
      <c r="AD20" s="244"/>
      <c r="AE20" s="243"/>
      <c r="AF20" s="243"/>
      <c r="AG20" s="243"/>
      <c r="AH20" s="220"/>
      <c r="AI20" s="220"/>
      <c r="AJ20" s="220"/>
      <c r="AK20" s="220"/>
      <c r="AL20" s="220"/>
      <c r="AM20" s="220"/>
      <c r="AN20" s="220"/>
      <c r="AO20" s="220"/>
      <c r="AP20" s="220"/>
      <c r="AQ20" s="220"/>
      <c r="AR20" s="220"/>
      <c r="AS20" s="220"/>
      <c r="AT20" s="220"/>
      <c r="AU20" s="220"/>
      <c r="AV20" s="220"/>
      <c r="AW20" s="220"/>
      <c r="AX20" s="220"/>
      <c r="AY20" s="220"/>
      <c r="AZ20" s="220"/>
      <c r="BI20" s="31">
        <v>1</v>
      </c>
      <c r="BJ20" s="31">
        <v>8</v>
      </c>
      <c r="BK20" s="107">
        <f t="shared" si="13"/>
        <v>1.8282174648646723E-5</v>
      </c>
      <c r="BQ20" s="31">
        <f>BQ16+1</f>
        <v>6</v>
      </c>
      <c r="BR20" s="31">
        <v>2</v>
      </c>
      <c r="BS20" s="107">
        <f>$H$31*H41</f>
        <v>4.595519473409704E-3</v>
      </c>
    </row>
    <row r="21" spans="1:71" x14ac:dyDescent="0.25">
      <c r="A21" s="185" t="s">
        <v>86</v>
      </c>
      <c r="B21" s="186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3"/>
        <v>1.5668551553613221E-6</v>
      </c>
      <c r="BQ21" s="31">
        <f>BQ17+1</f>
        <v>6</v>
      </c>
      <c r="BR21" s="31">
        <v>3</v>
      </c>
      <c r="BS21" s="107">
        <f>$H$31*H42</f>
        <v>2.3502794629181854E-3</v>
      </c>
    </row>
    <row r="22" spans="1:71" x14ac:dyDescent="0.25">
      <c r="A22" s="26" t="s">
        <v>87</v>
      </c>
      <c r="B22" s="206">
        <f>(B6)/((B6)+(C6))</f>
        <v>0.74137931034482762</v>
      </c>
      <c r="C22" s="207">
        <f>1-B22</f>
        <v>0.25862068965517238</v>
      </c>
      <c r="V22" s="208">
        <f>SUM(V25:V35)</f>
        <v>1</v>
      </c>
      <c r="AS22" s="82">
        <f>Y23+AA23+AC23+AE23+AG23+AI23+AK23+AM23+AO23+AQ23+AS23</f>
        <v>1</v>
      </c>
      <c r="BI22" s="31">
        <v>1</v>
      </c>
      <c r="BJ22" s="31">
        <v>10</v>
      </c>
      <c r="BK22" s="107">
        <f t="shared" si="13"/>
        <v>9.4301656516491458E-8</v>
      </c>
      <c r="BQ22" s="31">
        <f>BQ18+1</f>
        <v>6</v>
      </c>
      <c r="BR22" s="31">
        <v>4</v>
      </c>
      <c r="BS22" s="107">
        <f>$H$31*H43</f>
        <v>1.0113353478297706E-3</v>
      </c>
    </row>
    <row r="23" spans="1:71" ht="15.75" thickBot="1" x14ac:dyDescent="0.3">
      <c r="A23" s="40" t="s">
        <v>88</v>
      </c>
      <c r="B23" s="56">
        <f>((B22^2.8)/((B22^2.8)+(C22^2.8)))*B21</f>
        <v>4.7510383869645887</v>
      </c>
      <c r="C23" s="57">
        <f>B21-B23</f>
        <v>0.24896161303541131</v>
      </c>
      <c r="D23" s="149">
        <f>SUM(D25:D30)</f>
        <v>1.0003500000000001</v>
      </c>
      <c r="E23" s="149">
        <f>SUM(E25:E30)</f>
        <v>1</v>
      </c>
      <c r="H23" s="266">
        <f>SUM(H25:H35)</f>
        <v>0.99999908262086412</v>
      </c>
      <c r="I23" s="81"/>
      <c r="J23" s="266">
        <f>SUM(J25:J35)</f>
        <v>1</v>
      </c>
      <c r="K23" s="266"/>
      <c r="L23" s="266">
        <f>SUM(L25:L35)</f>
        <v>1</v>
      </c>
      <c r="M23" s="81"/>
      <c r="N23" s="266">
        <f>SUM(N25:N35)</f>
        <v>1</v>
      </c>
      <c r="O23" s="81"/>
      <c r="P23" s="266">
        <f>SUM(P25:P35)</f>
        <v>1</v>
      </c>
      <c r="Q23" s="81"/>
      <c r="R23" s="266">
        <f>SUM(R25:R35)</f>
        <v>1</v>
      </c>
      <c r="S23" s="81"/>
      <c r="T23" s="266">
        <f>SUM(T25:T35)</f>
        <v>1.0050760126517704</v>
      </c>
      <c r="V23" s="208">
        <f>SUM(V25:V34)</f>
        <v>0.40038320590216175</v>
      </c>
      <c r="Y23" s="205">
        <f>SUM(Y25:Y35)</f>
        <v>9.3675031540913393E-14</v>
      </c>
      <c r="Z23" s="81"/>
      <c r="AA23" s="205">
        <f>SUM(AA25:AA35)</f>
        <v>1.7876868030569512E-11</v>
      </c>
      <c r="AB23" s="81"/>
      <c r="AC23" s="205">
        <f>SUM(AC25:AC35)</f>
        <v>1.5352322196575237E-9</v>
      </c>
      <c r="AD23" s="81"/>
      <c r="AE23" s="205">
        <f>SUM(AE25:AE35)</f>
        <v>7.8129749673266416E-8</v>
      </c>
      <c r="AF23" s="81"/>
      <c r="AG23" s="205">
        <f>SUM(AG25:AG35)</f>
        <v>2.6093545918695853E-6</v>
      </c>
      <c r="AH23" s="81"/>
      <c r="AI23" s="205">
        <f>SUM(AI25:AI35)</f>
        <v>5.9758606066356348E-5</v>
      </c>
      <c r="AJ23" s="81"/>
      <c r="AK23" s="205">
        <f>SUM(AK25:AK35)</f>
        <v>9.5042382632819894E-4</v>
      </c>
      <c r="AL23" s="81"/>
      <c r="AM23" s="205">
        <f>SUM(AM25:AM35)</f>
        <v>1.0365693345668021E-2</v>
      </c>
      <c r="AN23" s="81"/>
      <c r="AO23" s="205">
        <f>SUM(AO25:AO35)</f>
        <v>7.4197743639268468E-2</v>
      </c>
      <c r="AP23" s="81"/>
      <c r="AQ23" s="205">
        <f>SUM(AQ25:AQ35)</f>
        <v>0.3148068974472864</v>
      </c>
      <c r="AR23" s="81"/>
      <c r="AS23" s="205">
        <f>SUM(AS25:AS35)</f>
        <v>0.59961679409783819</v>
      </c>
      <c r="BI23" s="31">
        <f t="shared" ref="BI23:BI30" si="14">BI15+1</f>
        <v>2</v>
      </c>
      <c r="BJ23" s="31">
        <v>3</v>
      </c>
      <c r="BK23" s="107">
        <f t="shared" ref="BK23:BK30" si="15">$H$27*H42</f>
        <v>3.3744628320943139E-2</v>
      </c>
      <c r="BQ23" s="31">
        <f>BM9+1</f>
        <v>6</v>
      </c>
      <c r="BR23" s="31">
        <v>5</v>
      </c>
      <c r="BS23" s="107">
        <f>$H$31*H44</f>
        <v>3.4170044716234877E-4</v>
      </c>
    </row>
    <row r="24" spans="1:71" ht="15.75" thickBot="1" x14ac:dyDescent="0.3">
      <c r="A24" s="26" t="s">
        <v>89</v>
      </c>
      <c r="B24" s="64">
        <f>B23/B21</f>
        <v>0.95020767739291778</v>
      </c>
      <c r="C24" s="65">
        <f>C23/B21</f>
        <v>4.9792322607082259E-2</v>
      </c>
      <c r="D24" s="158" t="s">
        <v>90</v>
      </c>
      <c r="E24" s="158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4"/>
        <v>2</v>
      </c>
      <c r="BJ24" s="31">
        <v>4</v>
      </c>
      <c r="BK24" s="107">
        <f t="shared" si="15"/>
        <v>1.4520458506655188E-2</v>
      </c>
      <c r="BQ24" s="31">
        <f>BI49+1</f>
        <v>7</v>
      </c>
      <c r="BR24" s="31">
        <v>0</v>
      </c>
      <c r="BS24" s="107">
        <f t="shared" ref="BS24:BS30" si="16">$H$32*H39</f>
        <v>1.0456933440146181E-3</v>
      </c>
    </row>
    <row r="25" spans="1:71" x14ac:dyDescent="0.25">
      <c r="A25" s="26" t="s">
        <v>114</v>
      </c>
      <c r="B25" s="209">
        <f>1/(1+EXP(-3.1416*4*((B11/(B11+C8))-(3.1416/6))))</f>
        <v>4.2591484598412154E-3</v>
      </c>
      <c r="C25" s="207">
        <f>1/(1+EXP(-3.1416*4*((C11/(C11+B8))-(3.1416/6))))</f>
        <v>1.7234972936342328E-2</v>
      </c>
      <c r="D25" s="204">
        <f>IF(B17="AOW",0.36-0.08,IF(B17="AIM",0.36+0.08,IF(B17="TL",(0.361)-(0.36*B32),0.36)))</f>
        <v>0.23499999999999999</v>
      </c>
      <c r="E25" s="204">
        <f>IF(C17="AOW",0.36-0.08,IF(C17="AIM",0.36+0.08,IF(C17="TL",(0.361)-(0.36*C32),0.36)))</f>
        <v>0.36</v>
      </c>
      <c r="G25" s="124">
        <v>0</v>
      </c>
      <c r="H25" s="125">
        <f>L25*J25</f>
        <v>6.6420465067587461E-2</v>
      </c>
      <c r="I25" s="97">
        <v>0</v>
      </c>
      <c r="J25" s="98">
        <f t="shared" ref="J25:J35" si="17">Y25+AA25+AC25+AE25+AG25+AI25+AK25+AM25+AO25+AQ25+AS25</f>
        <v>0.12097535799408496</v>
      </c>
      <c r="K25" s="97">
        <v>0</v>
      </c>
      <c r="L25" s="98">
        <f>AB18</f>
        <v>0.54904127723957685</v>
      </c>
      <c r="M25" s="85">
        <v>0</v>
      </c>
      <c r="N25" s="210">
        <f>(1-$B$24)^$B$21</f>
        <v>3.0606377038276418E-7</v>
      </c>
      <c r="O25" s="72">
        <v>0</v>
      </c>
      <c r="P25" s="210">
        <f t="shared" ref="P25:P30" si="18">N25</f>
        <v>3.0606377038276418E-7</v>
      </c>
      <c r="Q25" s="28">
        <v>0</v>
      </c>
      <c r="R25" s="211">
        <f>P25*N25</f>
        <v>9.3675031540913393E-14</v>
      </c>
      <c r="S25" s="72">
        <v>0</v>
      </c>
      <c r="T25" s="212">
        <f>(1-$B$33)^(INT(C23*2*(1-C31)))</f>
        <v>1</v>
      </c>
      <c r="U25" s="138">
        <v>0</v>
      </c>
      <c r="V25" s="86">
        <f>R25*T25</f>
        <v>9.3675031540913393E-14</v>
      </c>
      <c r="W25" s="134">
        <f>B31</f>
        <v>0.20038846147792208</v>
      </c>
      <c r="X25" s="28">
        <v>0</v>
      </c>
      <c r="Y25" s="213">
        <f>V25</f>
        <v>9.3675031540913393E-14</v>
      </c>
      <c r="Z25" s="28">
        <v>0</v>
      </c>
      <c r="AA25" s="213">
        <f>((1-W25)^Z26)*V26</f>
        <v>1.4294549949879835E-11</v>
      </c>
      <c r="AB25" s="28">
        <v>0</v>
      </c>
      <c r="AC25" s="213">
        <f>(((1-$W$25)^AB27))*V27</f>
        <v>9.8159464652771577E-10</v>
      </c>
      <c r="AD25" s="28">
        <v>0</v>
      </c>
      <c r="AE25" s="213">
        <f>(((1-$W$25)^AB28))*V28</f>
        <v>3.9944187359824301E-8</v>
      </c>
      <c r="AF25" s="28">
        <v>0</v>
      </c>
      <c r="AG25" s="213">
        <f>(((1-$W$25)^AB29))*V29</f>
        <v>1.0667172304678518E-6</v>
      </c>
      <c r="AH25" s="28">
        <v>0</v>
      </c>
      <c r="AI25" s="213">
        <f>(((1-$W$25)^AB30))*V30</f>
        <v>1.9534204083245681E-5</v>
      </c>
      <c r="AJ25" s="28">
        <v>0</v>
      </c>
      <c r="AK25" s="213">
        <f>(((1-$W$25)^AB31))*V31</f>
        <v>2.4842290141709287E-4</v>
      </c>
      <c r="AL25" s="28">
        <v>0</v>
      </c>
      <c r="AM25" s="213">
        <f>(((1-$W$25)^AB32))*V32</f>
        <v>2.1664652318111469E-3</v>
      </c>
      <c r="AN25" s="28">
        <v>0</v>
      </c>
      <c r="AO25" s="213">
        <f>(((1-$W$25)^AB33))*V33</f>
        <v>1.2400040909997145E-2</v>
      </c>
      <c r="AP25" s="28">
        <v>0</v>
      </c>
      <c r="AQ25" s="213">
        <f>(((1-$W$25)^AB34))*V34</f>
        <v>4.206837252998185E-2</v>
      </c>
      <c r="AR25" s="28">
        <v>0</v>
      </c>
      <c r="AS25" s="213">
        <f>(((1-$W$25)^AB35))*V35</f>
        <v>6.4071414559393788E-2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4"/>
        <v>2</v>
      </c>
      <c r="BJ25" s="31">
        <v>5</v>
      </c>
      <c r="BK25" s="107">
        <f t="shared" si="15"/>
        <v>4.9060355453545961E-3</v>
      </c>
      <c r="BQ25" s="31">
        <f>BQ19+1</f>
        <v>7</v>
      </c>
      <c r="BR25" s="31">
        <v>1</v>
      </c>
      <c r="BS25" s="107">
        <f t="shared" si="16"/>
        <v>1.6021659740806263E-3</v>
      </c>
    </row>
    <row r="26" spans="1:71" x14ac:dyDescent="0.25">
      <c r="A26" s="40" t="s">
        <v>115</v>
      </c>
      <c r="B26" s="206">
        <f>1/(1+EXP(-3.1416*4*((B10/(B10+C9))-(3.1416/6))))</f>
        <v>8.6913725797120069E-3</v>
      </c>
      <c r="C26" s="207">
        <f>1/(1+EXP(-3.1416*4*((C10/(C10+B9))-(3.1416/6))))</f>
        <v>0.32455858342519228</v>
      </c>
      <c r="D26" s="204">
        <f>IF(B17="AOW",0.257+0.04,IF(B17="AIM",0.257-0.04,IF(B17="TL",(0.257)-(0.257*B32),0.257)))</f>
        <v>0.16705</v>
      </c>
      <c r="E26" s="204">
        <f>IF(C17="AOW",0.257+0.04,IF(C17="AIM",0.257-0.04,IF(C17="TL",(0.257)-(0.257*C32),0.257)))</f>
        <v>0.25700000000000001</v>
      </c>
      <c r="G26" s="87">
        <v>1</v>
      </c>
      <c r="H26" s="126">
        <f>L25*J26+L26*J25</f>
        <v>0.19862515209547449</v>
      </c>
      <c r="I26" s="138">
        <v>1</v>
      </c>
      <c r="J26" s="86">
        <f t="shared" si="17"/>
        <v>0.2845113413760203</v>
      </c>
      <c r="K26" s="138">
        <v>1</v>
      </c>
      <c r="L26" s="86">
        <f>AC18</f>
        <v>0.35062249486637581</v>
      </c>
      <c r="M26" s="85">
        <v>1</v>
      </c>
      <c r="N26" s="210">
        <f>(($B$24)^M26)*((1-($B$24))^($B$21-M26))*HLOOKUP($B$21,$AV$24:$BF$34,M26+1)</f>
        <v>2.9203713460452262E-5</v>
      </c>
      <c r="O26" s="72">
        <v>1</v>
      </c>
      <c r="P26" s="210">
        <f t="shared" si="18"/>
        <v>2.9203713460452262E-5</v>
      </c>
      <c r="Q26" s="28">
        <v>1</v>
      </c>
      <c r="R26" s="211">
        <f>N26*P25+P26*N25</f>
        <v>1.78763973017678E-11</v>
      </c>
      <c r="S26" s="72">
        <v>1</v>
      </c>
      <c r="T26" s="212">
        <f t="shared" ref="T26:T35" si="19">(($B$33)^S26)*((1-($B$33))^(INT($C$23*2*(1-$C$31))-S26))*HLOOKUP(INT($C$23*2*(1-$C$31)),$AV$24:$BF$34,S26+1)</f>
        <v>5.0251256281407036E-3</v>
      </c>
      <c r="U26" s="138">
        <v>1</v>
      </c>
      <c r="V26" s="86">
        <f>R26*T25+T26*R25</f>
        <v>1.7876868030569512E-11</v>
      </c>
      <c r="W26" s="214"/>
      <c r="X26" s="28">
        <v>1</v>
      </c>
      <c r="Y26" s="211"/>
      <c r="Z26" s="28">
        <v>1</v>
      </c>
      <c r="AA26" s="213">
        <f>(1-((1-W25)^Z26))*V26</f>
        <v>3.5823180806896759E-12</v>
      </c>
      <c r="AB26" s="28">
        <v>1</v>
      </c>
      <c r="AC26" s="213">
        <f>((($W$25)^M26)*((1-($W$25))^($U$27-M26))*HLOOKUP($U$27,$AV$24:$BF$34,M26+1))*V27</f>
        <v>4.9198950124260283E-10</v>
      </c>
      <c r="AD26" s="28">
        <v>1</v>
      </c>
      <c r="AE26" s="213">
        <f>((($W$25)^M26)*((1-($W$25))^($U$28-M26))*HLOOKUP($U$28,$AV$24:$BF$34,M26+1))*V28</f>
        <v>3.0030910752546803E-8</v>
      </c>
      <c r="AF26" s="28">
        <v>1</v>
      </c>
      <c r="AG26" s="213">
        <f>((($W$25)^M26)*((1-($W$25))^($U$29-M26))*HLOOKUP($U$29,$AV$24:$BF$34,M26+1))*V29</f>
        <v>1.0693083546069456E-6</v>
      </c>
      <c r="AH26" s="28">
        <v>1</v>
      </c>
      <c r="AI26" s="213">
        <f>((($W$25)^M26)*((1-($W$25))^($U$30-M26))*HLOOKUP($U$30,$AV$24:$BF$34,M26+1))*V30</f>
        <v>2.4477067387449068E-5</v>
      </c>
      <c r="AJ26" s="28">
        <v>1</v>
      </c>
      <c r="AK26" s="213">
        <f>((($W$25)^M26)*((1-($W$25))^($U$31-M26))*HLOOKUP($U$31,$AV$24:$BF$34,M26+1))*V31</f>
        <v>3.7353950471647612E-4</v>
      </c>
      <c r="AL26" s="28">
        <v>1</v>
      </c>
      <c r="AM26" s="213">
        <f>((($W$25)^Q26)*((1-($W$25))^($U$32-Q26))*HLOOKUP($U$32,$AV$24:$BF$34,Q26+1))*V32</f>
        <v>3.800523499389712E-3</v>
      </c>
      <c r="AN26" s="28">
        <v>1</v>
      </c>
      <c r="AO26" s="213">
        <f>((($W$25)^Q26)*((1-($W$25))^($U$33-Q26))*HLOOKUP($U$33,$AV$24:$BF$34,Q26+1))*V33</f>
        <v>2.4860322799346527E-2</v>
      </c>
      <c r="AP26" s="28">
        <v>1</v>
      </c>
      <c r="AQ26" s="213">
        <f>((($W$25)^Q26)*((1-($W$25))^($U$34-Q26))*HLOOKUP($U$34,$AV$24:$BF$34,Q26+1))*V34</f>
        <v>9.4883758398108003E-2</v>
      </c>
      <c r="AR26" s="28">
        <v>1</v>
      </c>
      <c r="AS26" s="213">
        <f>((($W$25)^Q26)*((1-($W$25))^($U$35-Q26))*HLOOKUP($U$35,$AV$24:$BF$34,Q26+1))*V35</f>
        <v>0.16056762027223495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4"/>
        <v>2</v>
      </c>
      <c r="BJ26" s="31">
        <v>6</v>
      </c>
      <c r="BK26" s="107">
        <f t="shared" si="15"/>
        <v>1.2031738408523978E-3</v>
      </c>
      <c r="BQ26" s="31">
        <f>BQ20+1</f>
        <v>7</v>
      </c>
      <c r="BR26" s="31">
        <v>2</v>
      </c>
      <c r="BS26" s="107">
        <f t="shared" si="16"/>
        <v>1.1261175166297928E-3</v>
      </c>
    </row>
    <row r="27" spans="1:71" x14ac:dyDescent="0.25">
      <c r="A27" s="26" t="s">
        <v>116</v>
      </c>
      <c r="B27" s="206">
        <f>1/(1+EXP(-3.1416*4*((B12/(B12+C7))-(3.1416/6))))</f>
        <v>4.4888175556385074E-3</v>
      </c>
      <c r="C27" s="207">
        <f>1/(1+EXP(-3.1416*4*((C12/(C12+B7))-(3.1416/6))))</f>
        <v>0.26440540174246413</v>
      </c>
      <c r="D27" s="204">
        <f>D26</f>
        <v>0.16705</v>
      </c>
      <c r="E27" s="204">
        <f>E26</f>
        <v>0.25700000000000001</v>
      </c>
      <c r="G27" s="87">
        <v>2</v>
      </c>
      <c r="H27" s="126">
        <f>L25*J27+J26*L26+J25*L27</f>
        <v>0.27573403135938607</v>
      </c>
      <c r="I27" s="138">
        <v>2</v>
      </c>
      <c r="J27" s="86">
        <f t="shared" si="17"/>
        <v>0.30110123736046612</v>
      </c>
      <c r="K27" s="138">
        <v>2</v>
      </c>
      <c r="L27" s="86">
        <f>AD18</f>
        <v>8.8124947644797502E-2</v>
      </c>
      <c r="M27" s="85">
        <v>2</v>
      </c>
      <c r="N27" s="210">
        <f>(($B$24)^M27)*((1-($B$24))^($B$21-M27))*HLOOKUP($B$21,$AV$24:$BF$34,M27+1)</f>
        <v>1.1146133092637726E-3</v>
      </c>
      <c r="O27" s="72">
        <v>2</v>
      </c>
      <c r="P27" s="210">
        <f t="shared" si="18"/>
        <v>1.1146133092637726E-3</v>
      </c>
      <c r="Q27" s="28">
        <v>2</v>
      </c>
      <c r="R27" s="211">
        <f>P25*N27+P26*N26+P27*N25</f>
        <v>1.535142383784361E-9</v>
      </c>
      <c r="S27" s="72">
        <v>2</v>
      </c>
      <c r="T27" s="212">
        <f t="shared" si="19"/>
        <v>5.0503775157192999E-5</v>
      </c>
      <c r="U27" s="138">
        <v>2</v>
      </c>
      <c r="V27" s="86">
        <f>R27*T25+T26*R26+R25*T27</f>
        <v>1.5352322196575237E-9</v>
      </c>
      <c r="W27" s="214"/>
      <c r="X27" s="28">
        <v>2</v>
      </c>
      <c r="Y27" s="211"/>
      <c r="Z27" s="28">
        <v>2</v>
      </c>
      <c r="AA27" s="213"/>
      <c r="AB27" s="28">
        <v>2</v>
      </c>
      <c r="AC27" s="213">
        <f>((($W$25)^M27)*((1-($W$25))^($U$27-M27))*HLOOKUP($U$27,$AV$24:$BF$34,M27+1))*V27</f>
        <v>6.164807188720507E-11</v>
      </c>
      <c r="AD27" s="28">
        <v>2</v>
      </c>
      <c r="AE27" s="213">
        <f>((($W$25)^M27)*((1-($W$25))^($U$28-M27))*HLOOKUP($U$28,$AV$24:$BF$34,M27+1))*V28</f>
        <v>7.525964437189626E-9</v>
      </c>
      <c r="AF27" s="28">
        <v>2</v>
      </c>
      <c r="AG27" s="213">
        <f>((($W$25)^M27)*((1-($W$25))^($U$29-M27))*HLOOKUP($U$29,$AV$24:$BF$34,M27+1))*V29</f>
        <v>4.0196466478189364E-7</v>
      </c>
      <c r="AH27" s="28">
        <v>2</v>
      </c>
      <c r="AI27" s="213">
        <f>((($W$25)^M27)*((1-($W$25))^($U$30-M27))*HLOOKUP($U$30,$AV$24:$BF$34,M27+1))*V30</f>
        <v>1.2268261872078808E-5</v>
      </c>
      <c r="AJ27" s="28">
        <v>2</v>
      </c>
      <c r="AK27" s="213">
        <f>((($W$25)^M27)*((1-($W$25))^($U$31-M27))*HLOOKUP($U$31,$AV$24:$BF$34,M27+1))*V31</f>
        <v>2.3402928498790328E-4</v>
      </c>
      <c r="AL27" s="28">
        <v>2</v>
      </c>
      <c r="AM27" s="213">
        <f>((($W$25)^Q27)*((1-($W$25))^($U$32-Q27))*HLOOKUP($U$32,$AV$24:$BF$34,Q27+1))*V32</f>
        <v>2.8573164098945713E-3</v>
      </c>
      <c r="AN27" s="28">
        <v>2</v>
      </c>
      <c r="AO27" s="213">
        <f>((($W$25)^Q27)*((1-($W$25))^($U$33-Q27))*HLOOKUP($U$33,$AV$24:$BF$34,Q27+1))*V33</f>
        <v>2.1805621344392383E-2</v>
      </c>
      <c r="AP27" s="28">
        <v>2</v>
      </c>
      <c r="AQ27" s="213">
        <f>((($W$25)^Q27)*((1-($W$25))^($U$34-Q27))*HLOOKUP($U$34,$AV$24:$BF$34,Q27+1))*V34</f>
        <v>9.5114237094590159E-2</v>
      </c>
      <c r="AR27" s="28">
        <v>2</v>
      </c>
      <c r="AS27" s="213">
        <f>((($W$25)^Q27)*((1-($W$25))^($U$35-Q27))*HLOOKUP($U$35,$AV$24:$BF$34,Q27+1))*V35</f>
        <v>0.18107735541245176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4"/>
        <v>2</v>
      </c>
      <c r="BJ27" s="31">
        <v>7</v>
      </c>
      <c r="BK27" s="107">
        <f t="shared" si="15"/>
        <v>2.0835535860717444E-4</v>
      </c>
      <c r="BQ27" s="31">
        <f>BQ21+1</f>
        <v>7</v>
      </c>
      <c r="BR27" s="31">
        <v>3</v>
      </c>
      <c r="BS27" s="107">
        <f t="shared" si="16"/>
        <v>5.759285511641373E-4</v>
      </c>
    </row>
    <row r="28" spans="1:71" x14ac:dyDescent="0.25">
      <c r="A28" s="26" t="s">
        <v>117</v>
      </c>
      <c r="B28" s="275">
        <v>0.8</v>
      </c>
      <c r="C28" s="276">
        <v>0.8</v>
      </c>
      <c r="D28" s="204">
        <v>8.5000000000000006E-2</v>
      </c>
      <c r="E28" s="204">
        <v>8.5000000000000006E-2</v>
      </c>
      <c r="G28" s="87">
        <v>3</v>
      </c>
      <c r="H28" s="126">
        <f>J28*L25+J27*L26+L28*J25+L27*J26</f>
        <v>0.23580013164858615</v>
      </c>
      <c r="I28" s="138">
        <v>3</v>
      </c>
      <c r="J28" s="86">
        <f t="shared" si="17"/>
        <v>0.18883362295879724</v>
      </c>
      <c r="K28" s="138">
        <v>3</v>
      </c>
      <c r="L28" s="86">
        <f>AE18</f>
        <v>1.2211280249249834E-2</v>
      </c>
      <c r="M28" s="85">
        <v>3</v>
      </c>
      <c r="N28" s="210">
        <f>(($B$24)^M28)*((1-($B$24))^($B$21-M28))*HLOOKUP($B$21,$AV$24:$BF$34,M28+1)</f>
        <v>2.1270631059819651E-2</v>
      </c>
      <c r="O28" s="72">
        <v>3</v>
      </c>
      <c r="P28" s="210">
        <f t="shared" si="18"/>
        <v>2.1270631059819651E-2</v>
      </c>
      <c r="Q28" s="28">
        <v>3</v>
      </c>
      <c r="R28" s="211">
        <f>P25*N28+P26*N27+P27*N26+P28*N25</f>
        <v>7.8122034487069614E-8</v>
      </c>
      <c r="S28" s="72">
        <v>3</v>
      </c>
      <c r="T28" s="212">
        <f t="shared" si="19"/>
        <v>3.8068172229039952E-7</v>
      </c>
      <c r="U28" s="138">
        <v>3</v>
      </c>
      <c r="V28" s="86">
        <f>R28*T25+R27*T26+R26*T27+R25*T28</f>
        <v>7.8129749673266416E-8</v>
      </c>
      <c r="W28" s="214"/>
      <c r="X28" s="28">
        <v>3</v>
      </c>
      <c r="Y28" s="211"/>
      <c r="Z28" s="28">
        <v>3</v>
      </c>
      <c r="AA28" s="213"/>
      <c r="AB28" s="28">
        <v>3</v>
      </c>
      <c r="AC28" s="213"/>
      <c r="AD28" s="28">
        <v>3</v>
      </c>
      <c r="AE28" s="213">
        <f>((($W$25)^M28)*((1-($W$25))^($U$28-M28))*HLOOKUP($U$28,$AV$24:$BF$34,M28+1))*V28</f>
        <v>6.2868712370569182E-10</v>
      </c>
      <c r="AF28" s="28">
        <v>3</v>
      </c>
      <c r="AG28" s="213">
        <f>((($W$25)^M28)*((1-($W$25))^($U$29-M28))*HLOOKUP($U$29,$AV$24:$BF$34,M28+1))*V29</f>
        <v>6.7156843761919037E-8</v>
      </c>
      <c r="AH28" s="28">
        <v>3</v>
      </c>
      <c r="AI28" s="213">
        <f>((($W$25)^M28)*((1-($W$25))^($U$30-M28))*HLOOKUP($U$30,$AV$24:$BF$34,M28+1))*V30</f>
        <v>3.074515565518249E-6</v>
      </c>
      <c r="AJ28" s="28">
        <v>3</v>
      </c>
      <c r="AK28" s="213">
        <f>((($W$25)^M28)*((1-($W$25))^($U$31-M28))*HLOOKUP($U$31,$AV$24:$BF$34,M28+1))*V31</f>
        <v>7.8199252345596731E-5</v>
      </c>
      <c r="AL28" s="28">
        <v>3</v>
      </c>
      <c r="AM28" s="213">
        <f>((($W$25)^Q28)*((1-($W$25))^($U$32-Q28))*HLOOKUP($U$32,$AV$24:$BF$34,Q28+1))*V32</f>
        <v>1.193440422317817E-3</v>
      </c>
      <c r="AN28" s="28">
        <v>3</v>
      </c>
      <c r="AO28" s="213">
        <f>((($W$25)^Q28)*((1-($W$25))^($U$33-Q28))*HLOOKUP($U$33,$AV$24:$BF$34,Q28+1))*V33</f>
        <v>1.0929294294200033E-2</v>
      </c>
      <c r="AP28" s="28">
        <v>3</v>
      </c>
      <c r="AQ28" s="213">
        <f>((($W$25)^Q28)*((1-($W$25))^($U$34-Q28))*HLOOKUP($U$34,$AV$24:$BF$34,Q28+1))*V34</f>
        <v>5.5618077455800663E-2</v>
      </c>
      <c r="AR28" s="28">
        <v>3</v>
      </c>
      <c r="AS28" s="213">
        <f>((($W$25)^Q28)*((1-($W$25))^($U$35-Q28))*HLOOKUP($U$35,$AV$24:$BF$34,Q28+1))*V35</f>
        <v>0.12101146923303673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0">BE27+BE28</f>
        <v>210</v>
      </c>
      <c r="BI28" s="31">
        <f t="shared" si="14"/>
        <v>2</v>
      </c>
      <c r="BJ28" s="31">
        <v>8</v>
      </c>
      <c r="BK28" s="107">
        <f t="shared" si="15"/>
        <v>2.5379553720692072E-5</v>
      </c>
      <c r="BQ28" s="31">
        <f>BQ22+1</f>
        <v>7</v>
      </c>
      <c r="BR28" s="31">
        <v>4</v>
      </c>
      <c r="BS28" s="107">
        <f t="shared" si="16"/>
        <v>2.4782452929809489E-4</v>
      </c>
    </row>
    <row r="29" spans="1:71" x14ac:dyDescent="0.25">
      <c r="A29" s="26" t="s">
        <v>118</v>
      </c>
      <c r="B29" s="206">
        <f>1/(1+EXP(-3.1416*4*((B14/(B14+C13))-(3.1416/6))))</f>
        <v>0.33233959205588393</v>
      </c>
      <c r="C29" s="207">
        <f>1/(1+EXP(-3.1416*4*((C14/(C14+B13))-(3.1416/6))))</f>
        <v>0.26423042243048639</v>
      </c>
      <c r="D29" s="204">
        <v>0.04</v>
      </c>
      <c r="E29" s="204">
        <v>0.04</v>
      </c>
      <c r="G29" s="87">
        <v>4</v>
      </c>
      <c r="H29" s="126">
        <f>J29*L25+J28*L26+J27*L27+J26*L28</f>
        <v>0.13888762413805092</v>
      </c>
      <c r="I29" s="138">
        <v>4</v>
      </c>
      <c r="J29" s="86">
        <f t="shared" si="17"/>
        <v>7.7716433005372065E-2</v>
      </c>
      <c r="K29" s="138">
        <v>4</v>
      </c>
      <c r="L29" s="86"/>
      <c r="M29" s="85">
        <v>4</v>
      </c>
      <c r="N29" s="210">
        <f>(($B$24)^M29)*((1-($B$24))^($B$21-M29))*HLOOKUP($B$21,$AV$24:$BF$34,M29+1)</f>
        <v>0.20295816581528675</v>
      </c>
      <c r="O29" s="72">
        <v>4</v>
      </c>
      <c r="P29" s="210">
        <f t="shared" si="18"/>
        <v>0.20295816581528675</v>
      </c>
      <c r="Q29" s="28">
        <v>4</v>
      </c>
      <c r="R29" s="211">
        <f>P25*N29+P26*N28+P27*N27+P28*N26+P29*N25</f>
        <v>2.6089619412946707E-6</v>
      </c>
      <c r="S29" s="72">
        <v>4</v>
      </c>
      <c r="T29" s="212">
        <f t="shared" si="19"/>
        <v>2.5506313051283046E-9</v>
      </c>
      <c r="U29" s="138">
        <v>4</v>
      </c>
      <c r="V29" s="86">
        <f>T29*R25+T28*R26+T27*R27+T26*R28+T25*R29</f>
        <v>2.6093545918695853E-6</v>
      </c>
      <c r="W29" s="214"/>
      <c r="X29" s="28">
        <v>4</v>
      </c>
      <c r="Y29" s="211"/>
      <c r="Z29" s="28">
        <v>4</v>
      </c>
      <c r="AA29" s="213"/>
      <c r="AB29" s="28">
        <v>4</v>
      </c>
      <c r="AC29" s="213"/>
      <c r="AD29" s="28">
        <v>4</v>
      </c>
      <c r="AE29" s="213"/>
      <c r="AF29" s="28">
        <v>4</v>
      </c>
      <c r="AG29" s="213">
        <f>((($W$25)^M29)*((1-($W$25))^($U$29-M29))*HLOOKUP($U$29,$AV$24:$BF$34,M29+1))*V29</f>
        <v>4.2074982509749557E-9</v>
      </c>
      <c r="AH29" s="28">
        <v>4</v>
      </c>
      <c r="AI29" s="213">
        <f>((($W$25)^M29)*((1-($W$25))^($U$30-M29))*HLOOKUP($U$30,$AV$24:$BF$34,M29+1))*V30</f>
        <v>3.8524796997230581E-7</v>
      </c>
      <c r="AJ29" s="28">
        <v>4</v>
      </c>
      <c r="AK29" s="213">
        <f>((($W$25)^M29)*((1-($W$25))^($U$31-M29))*HLOOKUP($U$31,$AV$24:$BF$34,M29+1))*V31</f>
        <v>1.4697975621282179E-5</v>
      </c>
      <c r="AL29" s="28">
        <v>4</v>
      </c>
      <c r="AM29" s="213">
        <f>((($W$25)^Q29)*((1-($W$25))^($U$32-Q29))*HLOOKUP($U$32,$AV$24:$BF$34,Q29+1))*V32</f>
        <v>2.990848412916265E-4</v>
      </c>
      <c r="AN29" s="28">
        <v>4</v>
      </c>
      <c r="AO29" s="213">
        <f>((($W$25)^Q29)*((1-($W$25))^($U$33-Q29))*HLOOKUP($U$33,$AV$24:$BF$34,Q29+1))*V33</f>
        <v>3.4237007020655108E-3</v>
      </c>
      <c r="AP29" s="28">
        <v>4</v>
      </c>
      <c r="AQ29" s="213">
        <f>((($W$25)^Q29)*((1-($W$25))^($U$34-Q29))*HLOOKUP($U$34,$AV$24:$BF$34,Q29+1))*V34</f>
        <v>2.0907441491516323E-2</v>
      </c>
      <c r="AR29" s="28">
        <v>4</v>
      </c>
      <c r="AS29" s="213">
        <f>((($W$25)^Q29)*((1-($W$25))^($U$35-Q29))*HLOOKUP($U$35,$AV$24:$BF$34,Q29+1))*V35</f>
        <v>5.3071118539409101E-2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0"/>
        <v>252</v>
      </c>
      <c r="BI29" s="31">
        <f t="shared" si="14"/>
        <v>2</v>
      </c>
      <c r="BJ29" s="31">
        <v>9</v>
      </c>
      <c r="BK29" s="107">
        <f t="shared" si="15"/>
        <v>2.1751287990774964E-6</v>
      </c>
      <c r="BQ29" s="31">
        <f>BQ23+1</f>
        <v>7</v>
      </c>
      <c r="BR29" s="31">
        <v>5</v>
      </c>
      <c r="BS29" s="107">
        <f t="shared" si="16"/>
        <v>8.3732614172615059E-5</v>
      </c>
    </row>
    <row r="30" spans="1:71" x14ac:dyDescent="0.25">
      <c r="A30" s="26" t="s">
        <v>119</v>
      </c>
      <c r="B30" s="275">
        <v>0.7</v>
      </c>
      <c r="C30" s="276">
        <v>0.15</v>
      </c>
      <c r="D30" s="204">
        <f>IF(B17="TL",0.875*B32,0.001)</f>
        <v>0.30624999999999997</v>
      </c>
      <c r="E30" s="204">
        <f>IF(C17="TL",0.875*C32,0.001)</f>
        <v>1E-3</v>
      </c>
      <c r="G30" s="87">
        <v>5</v>
      </c>
      <c r="H30" s="126">
        <f>J30*L25+J29*L26+J28*L27+J27*L28</f>
        <v>5.9608725963641612E-2</v>
      </c>
      <c r="I30" s="138">
        <v>5</v>
      </c>
      <c r="J30" s="86">
        <f t="shared" si="17"/>
        <v>2.1932434045941532E-2</v>
      </c>
      <c r="K30" s="138">
        <v>5</v>
      </c>
      <c r="L30" s="86"/>
      <c r="M30" s="85">
        <v>5</v>
      </c>
      <c r="N30" s="210">
        <f>(($B$24)^M30)*((1-($B$24))^($B$21-M30))*HLOOKUP($B$21,$AV$24:$BF$34,M30+1)</f>
        <v>0.77462708003839897</v>
      </c>
      <c r="O30" s="72">
        <v>5</v>
      </c>
      <c r="P30" s="210">
        <f t="shared" si="18"/>
        <v>0.77462708003839897</v>
      </c>
      <c r="Q30" s="28">
        <v>5</v>
      </c>
      <c r="R30" s="211">
        <f>P25*N30+P26*N29+P27*N28+P28*N27+P29*N26+P30*N25</f>
        <v>5.9745491758800203E-5</v>
      </c>
      <c r="S30" s="72">
        <v>5</v>
      </c>
      <c r="T30" s="212">
        <f t="shared" si="19"/>
        <v>1.6021553424172769E-11</v>
      </c>
      <c r="U30" s="138">
        <v>5</v>
      </c>
      <c r="V30" s="86">
        <f>T30*R25+T29*R26+T28*R27+T27*R28+T26*R29+T25*R30</f>
        <v>5.9758606066356355E-5</v>
      </c>
      <c r="W30" s="214"/>
      <c r="X30" s="28">
        <v>5</v>
      </c>
      <c r="Y30" s="211"/>
      <c r="Z30" s="28">
        <v>5</v>
      </c>
      <c r="AA30" s="213"/>
      <c r="AB30" s="28">
        <v>5</v>
      </c>
      <c r="AC30" s="213"/>
      <c r="AD30" s="28">
        <v>5</v>
      </c>
      <c r="AE30" s="213"/>
      <c r="AF30" s="28">
        <v>5</v>
      </c>
      <c r="AG30" s="213"/>
      <c r="AH30" s="28">
        <v>5</v>
      </c>
      <c r="AI30" s="213">
        <f>((($W$25)^M30)*((1-($W$25))^($U$30-M30))*HLOOKUP($U$30,$AV$24:$BF$34,M30+1))*V30</f>
        <v>1.9309188092240506E-8</v>
      </c>
      <c r="AJ30" s="28">
        <v>5</v>
      </c>
      <c r="AK30" s="213">
        <f>((($W$25)^M30)*((1-($W$25))^($U$31-M30))*HLOOKUP($U$31,$AV$24:$BF$34,M30+1))*V31</f>
        <v>1.4733677940828864E-6</v>
      </c>
      <c r="AL30" s="28">
        <v>5</v>
      </c>
      <c r="AM30" s="213">
        <f>((($W$25)^Q30)*((1-($W$25))^($U$32-Q30))*HLOOKUP($U$32,$AV$24:$BF$34,Q30+1))*V32</f>
        <v>4.4971700614955103E-5</v>
      </c>
      <c r="AN30" s="28">
        <v>5</v>
      </c>
      <c r="AO30" s="213">
        <f>((($W$25)^Q30)*((1-($W$25))^($U$33-Q30))*HLOOKUP($U$33,$AV$24:$BF$34,Q30+1))*V33</f>
        <v>6.8640341785547812E-4</v>
      </c>
      <c r="AP30" s="28">
        <v>5</v>
      </c>
      <c r="AQ30" s="213">
        <f>((($W$25)^Q30)*((1-($W$25))^($U$34-Q30))*HLOOKUP($U$34,$AV$24:$BF$34,Q30+1))*V34</f>
        <v>5.2395567498541677E-3</v>
      </c>
      <c r="AR30" s="28">
        <v>5</v>
      </c>
      <c r="AS30" s="213">
        <f>((($W$25)^Q30)*((1-($W$25))^($U$35-Q30))*HLOOKUP($U$35,$AV$24:$BF$34,Q30+1))*V35</f>
        <v>1.5960009500634757E-2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0"/>
        <v>210</v>
      </c>
      <c r="BI30" s="31">
        <f t="shared" si="14"/>
        <v>2</v>
      </c>
      <c r="BJ30" s="31">
        <v>10</v>
      </c>
      <c r="BK30" s="107">
        <f t="shared" si="15"/>
        <v>1.3091079171414138E-7</v>
      </c>
      <c r="BQ30" s="31">
        <f>BM10+1</f>
        <v>7</v>
      </c>
      <c r="BR30" s="31">
        <v>6</v>
      </c>
      <c r="BS30" s="107">
        <f t="shared" si="16"/>
        <v>2.0534888112270208E-5</v>
      </c>
    </row>
    <row r="31" spans="1:71" x14ac:dyDescent="0.25">
      <c r="A31" s="184" t="s">
        <v>120</v>
      </c>
      <c r="B31" s="60">
        <f>(B25*D25)+(B26*D26)+(B27*D27)+(B28*D28)+(B29*D29)+(B30*D30)/(B25+B26+B27+B28+B29+B30)</f>
        <v>0.20038846147792208</v>
      </c>
      <c r="C31" s="61">
        <f>(C25*E25)+(C26*E26)+(C27*E27)+(C28*E28)+(C29*E29)+(C30*E30)/(C25+C26+C27+C28+C29+C30)</f>
        <v>0.2362199494851604</v>
      </c>
      <c r="G31" s="87">
        <v>6</v>
      </c>
      <c r="H31" s="126">
        <f>J31*L25+J30*L26+J29*L27+J28*L28</f>
        <v>1.9204598283555533E-2</v>
      </c>
      <c r="I31" s="138">
        <v>6</v>
      </c>
      <c r="J31" s="86">
        <f t="shared" si="17"/>
        <v>4.2982864085747557E-3</v>
      </c>
      <c r="K31" s="138">
        <v>6</v>
      </c>
      <c r="L31" s="86"/>
      <c r="M31" s="85"/>
      <c r="N31" s="211"/>
      <c r="O31" s="211"/>
      <c r="P31" s="211"/>
      <c r="Q31" s="28">
        <v>6</v>
      </c>
      <c r="R31" s="211">
        <f>P26*N30+P27*N29+P28*N28+P29*N27+P30*N26</f>
        <v>9.5012346593422532E-4</v>
      </c>
      <c r="S31" s="72">
        <v>6</v>
      </c>
      <c r="T31" s="212">
        <f t="shared" si="19"/>
        <v>9.6612382457323207E-14</v>
      </c>
      <c r="U31" s="138">
        <v>6</v>
      </c>
      <c r="V31" s="86">
        <f>T31*R25+T30*R26+T29*R27+T28*R28+T27*R29+T26*R30+T25*R31</f>
        <v>9.5042382632819916E-4</v>
      </c>
      <c r="W31" s="214"/>
      <c r="X31" s="28">
        <v>6</v>
      </c>
      <c r="Y31" s="211"/>
      <c r="Z31" s="28">
        <v>6</v>
      </c>
      <c r="AA31" s="213"/>
      <c r="AB31" s="28">
        <v>6</v>
      </c>
      <c r="AC31" s="213"/>
      <c r="AD31" s="28">
        <v>6</v>
      </c>
      <c r="AE31" s="213"/>
      <c r="AF31" s="28">
        <v>6</v>
      </c>
      <c r="AG31" s="213"/>
      <c r="AH31" s="28">
        <v>6</v>
      </c>
      <c r="AI31" s="213"/>
      <c r="AJ31" s="28">
        <v>6</v>
      </c>
      <c r="AK31" s="213">
        <f>((($W$25)^Q31)*((1-($W$25))^($U$31-Q31))*HLOOKUP($U$31,$AV$24:$BF$34,Q31+1))*V31</f>
        <v>6.1539445764938242E-8</v>
      </c>
      <c r="AL31" s="28">
        <v>6</v>
      </c>
      <c r="AM31" s="213">
        <f>((($W$25)^Q31)*((1-($W$25))^($U$32-Q31))*HLOOKUP($U$32,$AV$24:$BF$34,Q31+1))*V32</f>
        <v>3.7567449784983928E-6</v>
      </c>
      <c r="AN31" s="28">
        <v>6</v>
      </c>
      <c r="AO31" s="213">
        <f>((($W$25)^Q31)*((1-($W$25))^($U$33-Q31))*HLOOKUP($U$33,$AV$24:$BF$34,Q31+1))*V33</f>
        <v>8.6008841938096112E-5</v>
      </c>
      <c r="AP31" s="28">
        <v>6</v>
      </c>
      <c r="AQ31" s="213">
        <f>((($W$25)^Q31)*((1-($W$25))^($U$34-Q31))*HLOOKUP($U$34,$AV$24:$BF$34,Q31+1))*V34</f>
        <v>8.7538066118968626E-4</v>
      </c>
      <c r="AR31" s="28">
        <v>6</v>
      </c>
      <c r="AS31" s="213">
        <f>((($W$25)^Q31)*((1-($W$25))^($U$35-Q31))*HLOOKUP($U$35,$AV$24:$BF$34,Q31+1))*V35</f>
        <v>3.33307862102271E-3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0"/>
        <v>120</v>
      </c>
      <c r="BI31" s="31">
        <f t="shared" ref="BI31:BI37" si="21">BI24+1</f>
        <v>3</v>
      </c>
      <c r="BJ31" s="31">
        <v>4</v>
      </c>
      <c r="BK31" s="107">
        <f t="shared" ref="BK31:BK37" si="22">$H$28*H43</f>
        <v>1.241749526014963E-2</v>
      </c>
      <c r="BQ31" s="31">
        <f t="shared" ref="BQ31:BQ37" si="23">BQ24+1</f>
        <v>8</v>
      </c>
      <c r="BR31" s="31">
        <v>0</v>
      </c>
      <c r="BS31" s="107">
        <f t="shared" ref="BS31:BS38" si="24">$H$33*H39</f>
        <v>1.9489536682037499E-4</v>
      </c>
    </row>
    <row r="32" spans="1:71" x14ac:dyDescent="0.25">
      <c r="A32" s="26" t="s">
        <v>121</v>
      </c>
      <c r="B32" s="215">
        <f>IF(B17&lt;&gt;"TL",0.001,IF(B18&lt;5,0.1,IF(B18&lt;10,0.2,IF(B18&lt;14,0.3,0.35))))</f>
        <v>0.35</v>
      </c>
      <c r="C32" s="216">
        <f>IF(C17&lt;&gt;"TL",0.001,IF(C18&lt;5,0.1,IF(C18&lt;10,0.2,IF(C18&lt;14,0.3,0.35))))</f>
        <v>1E-3</v>
      </c>
      <c r="G32" s="87">
        <v>7</v>
      </c>
      <c r="H32" s="126">
        <f>J32*L25+J31*L26+J30*L27+J29*L28</f>
        <v>4.7060260873846719E-3</v>
      </c>
      <c r="I32" s="138">
        <v>7</v>
      </c>
      <c r="J32" s="86">
        <f t="shared" si="17"/>
        <v>5.7762221327368871E-4</v>
      </c>
      <c r="K32" s="138">
        <v>7</v>
      </c>
      <c r="L32" s="86"/>
      <c r="M32" s="85"/>
      <c r="N32" s="211"/>
      <c r="O32" s="211"/>
      <c r="P32" s="211"/>
      <c r="Q32" s="28">
        <v>7</v>
      </c>
      <c r="R32" s="211">
        <f>P27*N30+P28*N29+P29*N28+P30*N27</f>
        <v>1.0360915837523195E-2</v>
      </c>
      <c r="S32" s="72">
        <v>7</v>
      </c>
      <c r="T32" s="212">
        <f t="shared" si="19"/>
        <v>5.6640425226236405E-16</v>
      </c>
      <c r="U32" s="138">
        <v>7</v>
      </c>
      <c r="V32" s="86">
        <f>T32*R25+T31*R26+T30*R27+T29*R28+T28*R29+T27*R30+T26*R31+T25*R32</f>
        <v>1.0365693345668024E-2</v>
      </c>
      <c r="W32" s="214"/>
      <c r="X32" s="28">
        <v>7</v>
      </c>
      <c r="Y32" s="211"/>
      <c r="Z32" s="28">
        <v>7</v>
      </c>
      <c r="AA32" s="213"/>
      <c r="AB32" s="28">
        <v>7</v>
      </c>
      <c r="AC32" s="213"/>
      <c r="AD32" s="28">
        <v>7</v>
      </c>
      <c r="AE32" s="213"/>
      <c r="AF32" s="28">
        <v>7</v>
      </c>
      <c r="AG32" s="213"/>
      <c r="AH32" s="28">
        <v>7</v>
      </c>
      <c r="AI32" s="213"/>
      <c r="AJ32" s="28">
        <v>7</v>
      </c>
      <c r="AK32" s="213"/>
      <c r="AL32" s="28">
        <v>7</v>
      </c>
      <c r="AM32" s="213">
        <f>((($W$25)^Q32)*((1-($W$25))^($U$32-Q32))*HLOOKUP($U$32,$AV$24:$BF$34,Q32+1))*V32</f>
        <v>1.3449536969585761E-7</v>
      </c>
      <c r="AN32" s="28">
        <v>7</v>
      </c>
      <c r="AO32" s="213">
        <f>((($W$25)^Q32)*((1-($W$25))^($U$33-Q32))*HLOOKUP($U$33,$AV$24:$BF$34,Q32+1))*V33</f>
        <v>6.1584116354901332E-6</v>
      </c>
      <c r="AP32" s="28">
        <v>7</v>
      </c>
      <c r="AQ32" s="213">
        <f>((($W$25)^Q32)*((1-($W$25))^($U$34-Q32))*HLOOKUP($U$34,$AV$24:$BF$34,Q32+1))*V34</f>
        <v>9.4018608922214443E-5</v>
      </c>
      <c r="AR32" s="28">
        <v>7</v>
      </c>
      <c r="AS32" s="213">
        <f>((($W$25)^Q32)*((1-($W$25))^($U$35-Q32))*HLOOKUP($U$35,$AV$24:$BF$34,Q32+1))*V35</f>
        <v>4.7731069734628824E-4</v>
      </c>
      <c r="AV32" s="14">
        <v>8</v>
      </c>
      <c r="BD32" s="31">
        <v>1</v>
      </c>
      <c r="BE32" s="31">
        <v>9</v>
      </c>
      <c r="BF32" s="31">
        <f t="shared" si="20"/>
        <v>45</v>
      </c>
      <c r="BI32" s="31">
        <f t="shared" si="21"/>
        <v>3</v>
      </c>
      <c r="BJ32" s="31">
        <v>5</v>
      </c>
      <c r="BK32" s="107">
        <f t="shared" si="22"/>
        <v>4.1955061613684185E-3</v>
      </c>
      <c r="BQ32" s="31">
        <f t="shared" si="23"/>
        <v>8</v>
      </c>
      <c r="BR32" s="31">
        <v>1</v>
      </c>
      <c r="BS32" s="107">
        <f t="shared" si="24"/>
        <v>2.9861022546701983E-4</v>
      </c>
    </row>
    <row r="33" spans="1:71" x14ac:dyDescent="0.25">
      <c r="A33" s="26" t="s">
        <v>122</v>
      </c>
      <c r="B33" s="300">
        <f>IF(B17&lt;&gt;"CA",0.005,IF((B18-B16)&lt;0,0.1,0.1+0.055*(B18-B16)))</f>
        <v>5.0000000000000001E-3</v>
      </c>
      <c r="C33" s="301">
        <v>0.54</v>
      </c>
      <c r="G33" s="87">
        <v>8</v>
      </c>
      <c r="H33" s="126">
        <f>J33*L25+J32*L26+J31*L27+J30*L28</f>
        <v>8.7710482792770651E-4</v>
      </c>
      <c r="I33" s="138">
        <v>8</v>
      </c>
      <c r="J33" s="86">
        <f t="shared" si="17"/>
        <v>5.0939927793568049E-5</v>
      </c>
      <c r="K33" s="138">
        <v>8</v>
      </c>
      <c r="L33" s="86"/>
      <c r="M33" s="85"/>
      <c r="N33" s="211"/>
      <c r="O33" s="211"/>
      <c r="P33" s="211"/>
      <c r="Q33" s="28">
        <v>8</v>
      </c>
      <c r="R33" s="211">
        <f>P28*N30+P29*N29+P30*N28</f>
        <v>7.414563072798977E-2</v>
      </c>
      <c r="S33" s="72">
        <v>8</v>
      </c>
      <c r="T33" s="212">
        <f t="shared" si="19"/>
        <v>3.2528600273502595E-18</v>
      </c>
      <c r="U33" s="138">
        <v>8</v>
      </c>
      <c r="V33" s="86">
        <f>T33*R25+T32*R26+T31*R27+T30*R28+T29*R29+T28*R30+T27*R31+T26*R32+T25*R33</f>
        <v>7.4197743639268482E-2</v>
      </c>
      <c r="W33" s="214"/>
      <c r="X33" s="28">
        <v>8</v>
      </c>
      <c r="Y33" s="211"/>
      <c r="Z33" s="28">
        <v>8</v>
      </c>
      <c r="AA33" s="213"/>
      <c r="AB33" s="28">
        <v>8</v>
      </c>
      <c r="AC33" s="213"/>
      <c r="AD33" s="28">
        <v>8</v>
      </c>
      <c r="AE33" s="213"/>
      <c r="AF33" s="28">
        <v>8</v>
      </c>
      <c r="AG33" s="213"/>
      <c r="AH33" s="28">
        <v>8</v>
      </c>
      <c r="AI33" s="213"/>
      <c r="AJ33" s="28">
        <v>8</v>
      </c>
      <c r="AK33" s="213"/>
      <c r="AL33" s="28">
        <v>8</v>
      </c>
      <c r="AM33" s="213"/>
      <c r="AN33" s="28">
        <v>8</v>
      </c>
      <c r="AO33" s="213">
        <f>((($W$25)^Q33)*((1-($W$25))^($U$33-Q33))*HLOOKUP($U$33,$AV$24:$BF$34,Q33+1))*V33</f>
        <v>1.9291783780792827E-7</v>
      </c>
      <c r="AP33" s="28">
        <v>8</v>
      </c>
      <c r="AQ33" s="213">
        <f>((($W$25)^Q33)*((1-($W$25))^($U$34-Q33))*HLOOKUP($U$34,$AV$24:$BF$34,Q33+1))*V34</f>
        <v>5.8904366322175065E-6</v>
      </c>
      <c r="AR33" s="28">
        <v>8</v>
      </c>
      <c r="AS33" s="213">
        <f>((($W$25)^Q33)*((1-($W$25))^($U$35-Q33))*HLOOKUP($U$35,$AV$24:$BF$34,Q33+1))*V35</f>
        <v>4.4856573323542611E-5</v>
      </c>
      <c r="AV33" s="29">
        <v>9</v>
      </c>
      <c r="BE33" s="31">
        <v>1</v>
      </c>
      <c r="BF33" s="31">
        <f t="shared" si="20"/>
        <v>10</v>
      </c>
      <c r="BI33" s="31">
        <f t="shared" si="21"/>
        <v>3</v>
      </c>
      <c r="BJ33" s="31">
        <v>6</v>
      </c>
      <c r="BK33" s="107">
        <f t="shared" si="22"/>
        <v>1.0289210536342922E-3</v>
      </c>
      <c r="BQ33" s="31">
        <f t="shared" si="23"/>
        <v>8</v>
      </c>
      <c r="BR33" s="31">
        <v>2</v>
      </c>
      <c r="BS33" s="107">
        <f t="shared" si="24"/>
        <v>2.0988475038370813E-4</v>
      </c>
    </row>
    <row r="34" spans="1:71" x14ac:dyDescent="0.25">
      <c r="A34" s="40" t="s">
        <v>123</v>
      </c>
      <c r="B34" s="56">
        <f>B23*2</f>
        <v>9.5020767739291774</v>
      </c>
      <c r="C34" s="57">
        <f>C23*2</f>
        <v>0.49792322607082262</v>
      </c>
      <c r="G34" s="87">
        <v>9</v>
      </c>
      <c r="H34" s="126">
        <f>J34*L25+J33*L26+J32*L27+J31*L28</f>
        <v>1.2271279779530202E-4</v>
      </c>
      <c r="I34" s="138">
        <v>9</v>
      </c>
      <c r="J34" s="86">
        <f t="shared" si="17"/>
        <v>2.662105846563853E-6</v>
      </c>
      <c r="K34" s="138">
        <v>9</v>
      </c>
      <c r="L34" s="86"/>
      <c r="M34" s="85"/>
      <c r="N34" s="211"/>
      <c r="O34" s="211"/>
      <c r="P34" s="211"/>
      <c r="Q34" s="28">
        <v>9</v>
      </c>
      <c r="R34" s="211">
        <f>P29*N30+P30*N29</f>
        <v>0.31443378271088956</v>
      </c>
      <c r="S34" s="72">
        <v>9</v>
      </c>
      <c r="T34" s="212">
        <f t="shared" si="19"/>
        <v>1.8389284074216291E-20</v>
      </c>
      <c r="U34" s="138">
        <v>9</v>
      </c>
      <c r="V34" s="86">
        <f>T34*R25+T33*R26+T32*R27+T31*R28+T30*R29+T29*R30+T28*R31+T27*R32+T26*R33+T25*R34</f>
        <v>0.3148068974472864</v>
      </c>
      <c r="W34" s="214"/>
      <c r="X34" s="28">
        <v>9</v>
      </c>
      <c r="Y34" s="211"/>
      <c r="Z34" s="28">
        <v>9</v>
      </c>
      <c r="AA34" s="213"/>
      <c r="AB34" s="28">
        <v>9</v>
      </c>
      <c r="AC34" s="213"/>
      <c r="AD34" s="28">
        <v>9</v>
      </c>
      <c r="AE34" s="213"/>
      <c r="AF34" s="28">
        <v>9</v>
      </c>
      <c r="AG34" s="213"/>
      <c r="AH34" s="28">
        <v>9</v>
      </c>
      <c r="AI34" s="213"/>
      <c r="AJ34" s="28">
        <v>9</v>
      </c>
      <c r="AK34" s="213"/>
      <c r="AL34" s="28">
        <v>9</v>
      </c>
      <c r="AM34" s="213"/>
      <c r="AN34" s="28">
        <v>9</v>
      </c>
      <c r="AO34" s="213"/>
      <c r="AP34" s="28">
        <v>9</v>
      </c>
      <c r="AQ34" s="213">
        <f>((($W$25)^Q34)*((1-($W$25))^($U$34-Q34))*HLOOKUP($U$34,$AV$24:$BF$34,Q34+1))*V34</f>
        <v>1.6402069106163827E-7</v>
      </c>
      <c r="AR34" s="28">
        <v>9</v>
      </c>
      <c r="AS34" s="213">
        <f>((($W$25)^Q34)*((1-($W$25))^($U$35-Q34))*HLOOKUP($U$35,$AV$24:$BF$34,Q34+1))*V35</f>
        <v>2.4980851555022146E-6</v>
      </c>
      <c r="AV34" s="14">
        <v>10</v>
      </c>
      <c r="BF34" s="31">
        <f t="shared" si="20"/>
        <v>1</v>
      </c>
      <c r="BI34" s="31">
        <f t="shared" si="21"/>
        <v>3</v>
      </c>
      <c r="BJ34" s="31">
        <v>7</v>
      </c>
      <c r="BK34" s="107">
        <f t="shared" si="22"/>
        <v>1.7817975078029011E-4</v>
      </c>
      <c r="BQ34" s="31">
        <f t="shared" si="23"/>
        <v>8</v>
      </c>
      <c r="BR34" s="31">
        <v>3</v>
      </c>
      <c r="BS34" s="107">
        <f t="shared" si="24"/>
        <v>1.0734103538474136E-4</v>
      </c>
    </row>
    <row r="35" spans="1:71" ht="15.75" thickBot="1" x14ac:dyDescent="0.3">
      <c r="D35" s="158" t="s">
        <v>341</v>
      </c>
      <c r="E35" s="31" t="s">
        <v>342</v>
      </c>
      <c r="G35" s="88">
        <v>10</v>
      </c>
      <c r="H35" s="127">
        <f>J35*L25+J34*L26+J33*L27+J32*L28</f>
        <v>1.2510351474118592E-5</v>
      </c>
      <c r="I35" s="94">
        <v>10</v>
      </c>
      <c r="J35" s="89">
        <f t="shared" si="17"/>
        <v>6.2603829088954908E-8</v>
      </c>
      <c r="K35" s="94">
        <v>10</v>
      </c>
      <c r="L35" s="89"/>
      <c r="M35" s="85"/>
      <c r="N35" s="211"/>
      <c r="O35" s="211"/>
      <c r="P35" s="211"/>
      <c r="Q35" s="28">
        <v>10</v>
      </c>
      <c r="R35" s="211">
        <f>P30*N30</f>
        <v>0.6000471131288162</v>
      </c>
      <c r="S35" s="72">
        <v>10</v>
      </c>
      <c r="T35" s="212">
        <f t="shared" si="19"/>
        <v>1.0267606964944888E-22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0.5996167940978383</v>
      </c>
      <c r="W35" s="214"/>
      <c r="X35" s="28">
        <v>10</v>
      </c>
      <c r="Y35" s="211"/>
      <c r="Z35" s="28">
        <v>10</v>
      </c>
      <c r="AA35" s="213"/>
      <c r="AB35" s="28">
        <v>10</v>
      </c>
      <c r="AC35" s="213"/>
      <c r="AD35" s="28">
        <v>10</v>
      </c>
      <c r="AE35" s="213"/>
      <c r="AF35" s="28">
        <v>10</v>
      </c>
      <c r="AG35" s="213"/>
      <c r="AH35" s="28">
        <v>10</v>
      </c>
      <c r="AI35" s="213"/>
      <c r="AJ35" s="28">
        <v>10</v>
      </c>
      <c r="AK35" s="213"/>
      <c r="AL35" s="28">
        <v>10</v>
      </c>
      <c r="AM35" s="213"/>
      <c r="AN35" s="28">
        <v>10</v>
      </c>
      <c r="AO35" s="213"/>
      <c r="AP35" s="28">
        <v>10</v>
      </c>
      <c r="AQ35" s="213"/>
      <c r="AR35" s="28">
        <v>10</v>
      </c>
      <c r="AS35" s="213">
        <f>((($W$25)^Q35)*((1-($W$25))^($U$35-Q35))*HLOOKUP($U$35,$AV$24:$BF$34,Q35+1))*V35</f>
        <v>6.2603829088954908E-8</v>
      </c>
      <c r="BI35" s="31">
        <f t="shared" si="21"/>
        <v>3</v>
      </c>
      <c r="BJ35" s="31">
        <v>8</v>
      </c>
      <c r="BK35" s="107">
        <f t="shared" si="22"/>
        <v>2.1703893708794614E-5</v>
      </c>
      <c r="BQ35" s="31">
        <f t="shared" si="23"/>
        <v>8</v>
      </c>
      <c r="BR35" s="31">
        <v>4</v>
      </c>
      <c r="BS35" s="107">
        <f t="shared" si="24"/>
        <v>4.6189308577987626E-5</v>
      </c>
    </row>
    <row r="36" spans="1:71" ht="15.75" x14ac:dyDescent="0.25">
      <c r="A36" s="109" t="s">
        <v>124</v>
      </c>
      <c r="B36" s="219">
        <f>SUM(BO4:BO14)</f>
        <v>0.18568135223345522</v>
      </c>
      <c r="C36" s="1"/>
      <c r="D36" s="204">
        <v>0.20450288679624762</v>
      </c>
      <c r="E36" s="204">
        <v>0.19047532133886261</v>
      </c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208">
        <f>SUM(V39:V49)</f>
        <v>1</v>
      </c>
      <c r="W36" s="158"/>
      <c r="X36" s="158"/>
      <c r="AS36" s="82">
        <f>Y37+AA37+AC37+AE37+AG37+AI37+AK37+AM37+AO37+AQ37+AS37</f>
        <v>0.99999999999999956</v>
      </c>
      <c r="BI36" s="31">
        <f t="shared" si="21"/>
        <v>3</v>
      </c>
      <c r="BJ36" s="31">
        <v>9</v>
      </c>
      <c r="BK36" s="107">
        <f t="shared" si="22"/>
        <v>1.8601101019213951E-6</v>
      </c>
      <c r="BQ36" s="31">
        <f t="shared" si="23"/>
        <v>8</v>
      </c>
      <c r="BR36" s="31">
        <v>5</v>
      </c>
      <c r="BS36" s="107">
        <f t="shared" si="24"/>
        <v>1.5606007867802407E-5</v>
      </c>
    </row>
    <row r="37" spans="1:71" ht="16.5" thickBot="1" x14ac:dyDescent="0.3">
      <c r="A37" s="110" t="s">
        <v>125</v>
      </c>
      <c r="B37" s="219">
        <f>SUM(BK4:BK59)</f>
        <v>0.2187753596429993</v>
      </c>
      <c r="D37" s="204">
        <v>0.27429828052856808</v>
      </c>
      <c r="E37" s="204">
        <v>0.21351035303548202</v>
      </c>
      <c r="G37" s="158"/>
      <c r="H37" s="266">
        <f>SUM(H39:H49)</f>
        <v>0.99999997956354925</v>
      </c>
      <c r="I37" s="267"/>
      <c r="J37" s="266">
        <f>SUM(J39:J49)</f>
        <v>0.99999999999999944</v>
      </c>
      <c r="K37" s="266"/>
      <c r="L37" s="266">
        <f>SUM(L39:L49)</f>
        <v>1</v>
      </c>
      <c r="M37" s="267"/>
      <c r="N37" s="268">
        <f>SUM(N39:N49)</f>
        <v>1.0000000000000002</v>
      </c>
      <c r="O37" s="267"/>
      <c r="P37" s="268">
        <f>SUM(P39:P49)</f>
        <v>1.0000000000000002</v>
      </c>
      <c r="Q37" s="267"/>
      <c r="R37" s="266">
        <f>SUM(R39:R49)</f>
        <v>1.0000000000000002</v>
      </c>
      <c r="S37" s="267"/>
      <c r="T37" s="266">
        <f>SUM(T39:T49)</f>
        <v>0.99999999999999989</v>
      </c>
      <c r="U37" s="267"/>
      <c r="V37" s="208">
        <f>SUM(V39:V48)</f>
        <v>0.99975333807007116</v>
      </c>
      <c r="W37" s="158"/>
      <c r="X37" s="158"/>
      <c r="Y37" s="205">
        <f>SUM(Y39:Y49)</f>
        <v>2.6151112706302463E-3</v>
      </c>
      <c r="Z37" s="81"/>
      <c r="AA37" s="205">
        <f>SUM(AA39:AA49)</f>
        <v>2.2859750560485233E-2</v>
      </c>
      <c r="AB37" s="81"/>
      <c r="AC37" s="205">
        <f>SUM(AC39:AC49)</f>
        <v>8.7263942076522327E-2</v>
      </c>
      <c r="AD37" s="81"/>
      <c r="AE37" s="205">
        <f>SUM(AE39:AE49)</f>
        <v>0.1904276393199581</v>
      </c>
      <c r="AF37" s="81"/>
      <c r="AG37" s="205">
        <f>SUM(AG39:AG49)</f>
        <v>0.26113830657264814</v>
      </c>
      <c r="AH37" s="81"/>
      <c r="AI37" s="205">
        <f>SUM(AI39:AI49)</f>
        <v>0.23315259326711482</v>
      </c>
      <c r="AJ37" s="81"/>
      <c r="AK37" s="205">
        <f>SUM(AK39:AK49)</f>
        <v>0.13621998066394658</v>
      </c>
      <c r="AL37" s="81"/>
      <c r="AM37" s="205">
        <f>SUM(AM39:AM49)</f>
        <v>5.1510147385281126E-2</v>
      </c>
      <c r="AN37" s="81"/>
      <c r="AO37" s="205">
        <f>SUM(AO39:AO49)</f>
        <v>1.2534082152391438E-2</v>
      </c>
      <c r="AP37" s="81"/>
      <c r="AQ37" s="205">
        <f>SUM(AQ39:AQ49)</f>
        <v>2.0317848010926736E-3</v>
      </c>
      <c r="AR37" s="81"/>
      <c r="AS37" s="205">
        <f>SUM(AS39:AS49)</f>
        <v>2.4666192992883729E-4</v>
      </c>
      <c r="BI37" s="31">
        <f t="shared" si="21"/>
        <v>3</v>
      </c>
      <c r="BJ37" s="31">
        <v>10</v>
      </c>
      <c r="BK37" s="107">
        <f t="shared" si="22"/>
        <v>1.1195129512389219E-7</v>
      </c>
      <c r="BQ37" s="31">
        <f t="shared" si="23"/>
        <v>8</v>
      </c>
      <c r="BR37" s="31">
        <v>6</v>
      </c>
      <c r="BS37" s="107">
        <f t="shared" si="24"/>
        <v>3.8272736210514815E-6</v>
      </c>
    </row>
    <row r="38" spans="1:71" ht="16.5" thickBot="1" x14ac:dyDescent="0.3">
      <c r="A38" s="111" t="s">
        <v>126</v>
      </c>
      <c r="B38" s="219">
        <f>SUM(BS4:BS47)</f>
        <v>0.5955298399626987</v>
      </c>
      <c r="D38" s="204">
        <v>0.52119385498934745</v>
      </c>
      <c r="E38" s="204">
        <v>0.59600620775552871</v>
      </c>
      <c r="G38" s="103" t="str">
        <f t="shared" ref="G38:AS38" si="25">G24</f>
        <v>G</v>
      </c>
      <c r="H38" s="104" t="str">
        <f t="shared" si="25"/>
        <v>p</v>
      </c>
      <c r="I38" s="103" t="str">
        <f t="shared" si="25"/>
        <v>GT</v>
      </c>
      <c r="J38" s="105" t="str">
        <f t="shared" si="25"/>
        <v>p(x)</v>
      </c>
      <c r="K38" s="106" t="str">
        <f t="shared" si="25"/>
        <v>EE(x)</v>
      </c>
      <c r="L38" s="105" t="str">
        <f t="shared" si="25"/>
        <v>p</v>
      </c>
      <c r="M38" s="90" t="str">
        <f t="shared" si="25"/>
        <v>OcaS</v>
      </c>
      <c r="N38" s="30" t="str">
        <f t="shared" si="25"/>
        <v>P</v>
      </c>
      <c r="O38" s="30" t="str">
        <f t="shared" si="25"/>
        <v>O_CA</v>
      </c>
      <c r="P38" s="30" t="str">
        <f t="shared" si="25"/>
        <v>p</v>
      </c>
      <c r="Q38" s="30" t="str">
        <f t="shared" si="25"/>
        <v>TotalN</v>
      </c>
      <c r="R38" s="30" t="str">
        <f t="shared" si="25"/>
        <v>p</v>
      </c>
      <c r="S38" s="30" t="str">
        <f t="shared" si="25"/>
        <v>OcaCA</v>
      </c>
      <c r="T38" s="139" t="str">
        <f t="shared" si="25"/>
        <v>p</v>
      </c>
      <c r="U38" s="140" t="str">
        <f t="shared" si="25"/>
        <v>Total</v>
      </c>
      <c r="V38" s="141" t="str">
        <f t="shared" si="25"/>
        <v>P</v>
      </c>
      <c r="W38" s="90" t="str">
        <f t="shared" si="25"/>
        <v>E(x)</v>
      </c>
      <c r="X38" s="30" t="str">
        <f t="shared" si="25"/>
        <v>G0</v>
      </c>
      <c r="Y38" s="30" t="str">
        <f t="shared" si="25"/>
        <v>p</v>
      </c>
      <c r="Z38" s="30" t="str">
        <f t="shared" si="25"/>
        <v>G1</v>
      </c>
      <c r="AA38" s="30" t="str">
        <f t="shared" si="25"/>
        <v>p</v>
      </c>
      <c r="AB38" s="30" t="str">
        <f t="shared" si="25"/>
        <v>G2</v>
      </c>
      <c r="AC38" s="30" t="str">
        <f t="shared" si="25"/>
        <v>p</v>
      </c>
      <c r="AD38" s="30" t="str">
        <f t="shared" si="25"/>
        <v>G3</v>
      </c>
      <c r="AE38" s="30" t="str">
        <f t="shared" si="25"/>
        <v>p</v>
      </c>
      <c r="AF38" s="30" t="str">
        <f t="shared" si="25"/>
        <v>G4</v>
      </c>
      <c r="AG38" s="30" t="str">
        <f t="shared" si="25"/>
        <v>p</v>
      </c>
      <c r="AH38" s="30" t="str">
        <f t="shared" si="25"/>
        <v>G5</v>
      </c>
      <c r="AI38" s="30" t="str">
        <f t="shared" si="25"/>
        <v>p</v>
      </c>
      <c r="AJ38" s="30" t="str">
        <f t="shared" si="25"/>
        <v>G6</v>
      </c>
      <c r="AK38" s="30" t="str">
        <f t="shared" si="25"/>
        <v>p</v>
      </c>
      <c r="AL38" s="30" t="str">
        <f t="shared" si="25"/>
        <v>G7</v>
      </c>
      <c r="AM38" s="30" t="str">
        <f t="shared" si="25"/>
        <v>p</v>
      </c>
      <c r="AN38" s="30" t="str">
        <f t="shared" si="25"/>
        <v>G8</v>
      </c>
      <c r="AO38" s="30" t="str">
        <f t="shared" si="25"/>
        <v>p</v>
      </c>
      <c r="AP38" s="30" t="str">
        <f t="shared" si="25"/>
        <v>G9</v>
      </c>
      <c r="AQ38" s="30" t="str">
        <f t="shared" si="25"/>
        <v>p</v>
      </c>
      <c r="AR38" s="30" t="str">
        <f t="shared" si="25"/>
        <v>G10</v>
      </c>
      <c r="AS38" s="30" t="str">
        <f t="shared" si="25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6">BI32+1</f>
        <v>4</v>
      </c>
      <c r="BJ38" s="31">
        <v>5</v>
      </c>
      <c r="BK38" s="107">
        <f t="shared" ref="BK38:BK43" si="27">$H$29*H44</f>
        <v>2.4711770885582863E-3</v>
      </c>
      <c r="BQ38" s="31">
        <f>BM11+1</f>
        <v>8</v>
      </c>
      <c r="BR38" s="31">
        <v>7</v>
      </c>
      <c r="BS38" s="107">
        <f t="shared" si="24"/>
        <v>6.6277452245555204E-7</v>
      </c>
    </row>
    <row r="39" spans="1:71" x14ac:dyDescent="0.25">
      <c r="G39" s="128">
        <v>0</v>
      </c>
      <c r="H39" s="129">
        <f>L39*J39</f>
        <v>0.22220304872890156</v>
      </c>
      <c r="I39" s="97">
        <v>0</v>
      </c>
      <c r="J39" s="98">
        <f t="shared" ref="J39:J49" si="28">Y39+AA39+AC39+AE39+AG39+AI39+AK39+AM39+AO39+AQ39+AS39</f>
        <v>0.34179792632797062</v>
      </c>
      <c r="K39" s="102">
        <v>0</v>
      </c>
      <c r="L39" s="98">
        <f>AH18</f>
        <v>0.6501006343604544</v>
      </c>
      <c r="M39" s="85">
        <v>0</v>
      </c>
      <c r="N39" s="210">
        <f>(1-$C$24)^$B$21</f>
        <v>0.77462708003839897</v>
      </c>
      <c r="O39" s="72">
        <v>0</v>
      </c>
      <c r="P39" s="210">
        <f t="shared" ref="P39:P44" si="29">N39</f>
        <v>0.77462708003839897</v>
      </c>
      <c r="Q39" s="28">
        <v>0</v>
      </c>
      <c r="R39" s="211">
        <f>P39*N39</f>
        <v>0.6000471131288162</v>
      </c>
      <c r="S39" s="72">
        <v>0</v>
      </c>
      <c r="T39" s="212">
        <f>(1-$C$33)^(INT(B23*2*(1-B31)))</f>
        <v>4.3581765721599974E-3</v>
      </c>
      <c r="U39" s="138">
        <v>0</v>
      </c>
      <c r="V39" s="86">
        <f>R39*T39</f>
        <v>2.6151112706302463E-3</v>
      </c>
      <c r="W39" s="134">
        <f>C31</f>
        <v>0.2362199494851604</v>
      </c>
      <c r="X39" s="28">
        <v>0</v>
      </c>
      <c r="Y39" s="213">
        <f>V39</f>
        <v>2.6151112706302463E-3</v>
      </c>
      <c r="Z39" s="28">
        <v>0</v>
      </c>
      <c r="AA39" s="213">
        <f>((1-W39)^Z40)*V40</f>
        <v>1.7459821437844043E-2</v>
      </c>
      <c r="AB39" s="28">
        <v>0</v>
      </c>
      <c r="AC39" s="213">
        <f>(((1-$W$39)^AB41))*V41</f>
        <v>5.0906290244778302E-2</v>
      </c>
      <c r="AD39" s="28">
        <v>0</v>
      </c>
      <c r="AE39" s="213">
        <f>(((1-$W$39)^AB42))*V42</f>
        <v>8.4846692174924687E-2</v>
      </c>
      <c r="AF39" s="28">
        <v>0</v>
      </c>
      <c r="AG39" s="213">
        <f>(((1-$W$39)^AB43))*V43</f>
        <v>8.886767665010184E-2</v>
      </c>
      <c r="AH39" s="28">
        <v>0</v>
      </c>
      <c r="AI39" s="213">
        <f>(((1-$W$39)^AB44))*V44</f>
        <v>6.0601280888747992E-2</v>
      </c>
      <c r="AJ39" s="28">
        <v>0</v>
      </c>
      <c r="AK39" s="213">
        <f>(((1-$W$39)^AB45))*V45</f>
        <v>2.7042739104867711E-2</v>
      </c>
      <c r="AL39" s="28">
        <v>0</v>
      </c>
      <c r="AM39" s="213">
        <f>(((1-$W$39)^AB46))*V46</f>
        <v>7.8103584730986079E-3</v>
      </c>
      <c r="AN39" s="28">
        <v>0</v>
      </c>
      <c r="AO39" s="213">
        <f>(((1-$W$39)^AB47))*V47</f>
        <v>1.4515734703677103E-3</v>
      </c>
      <c r="AP39" s="28">
        <v>0</v>
      </c>
      <c r="AQ39" s="213">
        <f>(((1-$W$39)^AB48))*V48</f>
        <v>1.7971838334808913E-4</v>
      </c>
      <c r="AR39" s="28">
        <v>0</v>
      </c>
      <c r="AS39" s="213">
        <f>(((1-$W$39)^AB49))*V49</f>
        <v>1.6664229261361209E-5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6"/>
        <v>4</v>
      </c>
      <c r="BJ39" s="31">
        <v>6</v>
      </c>
      <c r="BK39" s="107">
        <f t="shared" si="27"/>
        <v>6.0604037650775311E-4</v>
      </c>
      <c r="BQ39" s="31">
        <f t="shared" ref="BQ39:BQ46" si="30">BQ31+1</f>
        <v>9</v>
      </c>
      <c r="BR39" s="31">
        <v>0</v>
      </c>
      <c r="BS39" s="107">
        <f t="shared" ref="BS39:BS47" si="31">$H$34*H39</f>
        <v>2.7267157788169339E-5</v>
      </c>
    </row>
    <row r="40" spans="1:71" x14ac:dyDescent="0.25">
      <c r="G40" s="91">
        <v>1</v>
      </c>
      <c r="H40" s="130">
        <f>L39*J40+L40*J39</f>
        <v>0.34044987093792639</v>
      </c>
      <c r="I40" s="138">
        <v>1</v>
      </c>
      <c r="J40" s="86">
        <f t="shared" si="28"/>
        <v>0.39049842346503238</v>
      </c>
      <c r="K40" s="95">
        <v>1</v>
      </c>
      <c r="L40" s="86">
        <f>AI18</f>
        <v>0.25332686788587405</v>
      </c>
      <c r="M40" s="85">
        <v>1</v>
      </c>
      <c r="N40" s="210">
        <f>(($C$24)^M26)*((1-($C$24))^($B$21-M26))*HLOOKUP($B$21,$AV$24:$BF$34,M26+1)</f>
        <v>0.20295816581528692</v>
      </c>
      <c r="O40" s="72">
        <v>1</v>
      </c>
      <c r="P40" s="210">
        <f t="shared" si="29"/>
        <v>0.20295816581528692</v>
      </c>
      <c r="Q40" s="28">
        <v>1</v>
      </c>
      <c r="R40" s="211">
        <f>P40*N39+P39*N40</f>
        <v>0.31443378271088984</v>
      </c>
      <c r="S40" s="72">
        <v>1</v>
      </c>
      <c r="T40" s="212">
        <f t="shared" ref="T40:T49" si="32">(($C$33)^S40)*((1-($C$33))^(INT($B$23*2*(1-$B$31))-S40))*HLOOKUP(INT($B$23*2*(1-$B$31)),$AV$24:$BF$34,S40+1)</f>
        <v>3.5812842266879981E-2</v>
      </c>
      <c r="U40" s="138">
        <v>1</v>
      </c>
      <c r="V40" s="86">
        <f>R40*T39+T40*R39</f>
        <v>2.2859750560485233E-2</v>
      </c>
      <c r="W40" s="214"/>
      <c r="X40" s="28">
        <v>1</v>
      </c>
      <c r="Y40" s="211"/>
      <c r="Z40" s="28">
        <v>1</v>
      </c>
      <c r="AA40" s="213">
        <f>(1-((1-W39)^Z40))*V40</f>
        <v>5.3999291226411901E-3</v>
      </c>
      <c r="AB40" s="28">
        <v>1</v>
      </c>
      <c r="AC40" s="213">
        <f>((($W$39)^M40)*((1-($W$39))^($U$27-M40))*HLOOKUP($U$27,$AV$24:$BF$34,M40+1))*V41</f>
        <v>3.148833568510391E-2</v>
      </c>
      <c r="AD40" s="28">
        <v>1</v>
      </c>
      <c r="AE40" s="213">
        <f>((($W$39)^M40)*((1-($W$39))^($U$28-M40))*HLOOKUP($U$28,$AV$24:$BF$34,M40+1))*V42</f>
        <v>7.8723506823857231E-2</v>
      </c>
      <c r="AF40" s="28">
        <v>1</v>
      </c>
      <c r="AG40" s="213">
        <f>((($W$39)^M40)*((1-($W$39))^($U$29-M40))*HLOOKUP($U$29,$AV$24:$BF$34,M40+1))*V43</f>
        <v>0.10993907513033567</v>
      </c>
      <c r="AH40" s="28">
        <v>1</v>
      </c>
      <c r="AI40" s="213">
        <f>((($W$39)^M40)*((1-($W$39))^($U$30-M40))*HLOOKUP($U$30,$AV$24:$BF$34,M40+1))*V44</f>
        <v>9.3713049330279241E-2</v>
      </c>
      <c r="AJ40" s="28">
        <v>1</v>
      </c>
      <c r="AK40" s="213">
        <f>((($W$39)^M40)*((1-($W$39))^($U$31-M40))*HLOOKUP($U$31,$AV$24:$BF$34,M40+1))*V45</f>
        <v>5.0182257006997667E-2</v>
      </c>
      <c r="AL40" s="28">
        <v>1</v>
      </c>
      <c r="AM40" s="213">
        <f>((($W$39)^Q40)*((1-($W$39))^($U$32-Q40))*HLOOKUP($U$32,$AV$24:$BF$34,Q40+1))*V46</f>
        <v>1.6908974486999268E-2</v>
      </c>
      <c r="AN40" s="28">
        <v>1</v>
      </c>
      <c r="AO40" s="213">
        <f>((($W$39)^Q40)*((1-($W$39))^($U$33-Q40))*HLOOKUP($U$33,$AV$24:$BF$34,Q40+1))*V47</f>
        <v>3.5915115783726279E-3</v>
      </c>
      <c r="AP40" s="28">
        <v>1</v>
      </c>
      <c r="AQ40" s="213">
        <f>((($W$39)^Q40)*((1-($W$39))^($U$34-Q40))*HLOOKUP($U$34,$AV$24:$BF$34,Q40+1))*V48</f>
        <v>5.0024559644732346E-4</v>
      </c>
      <c r="AR40" s="28">
        <v>1</v>
      </c>
      <c r="AS40" s="213">
        <f>((($W$39)^Q40)*((1-($W$39))^($U$35-Q40))*HLOOKUP($U$35,$AV$24:$BF$34,Q40+1))*V49</f>
        <v>5.1538703998284073E-5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6"/>
        <v>4</v>
      </c>
      <c r="BJ40" s="31">
        <v>7</v>
      </c>
      <c r="BK40" s="107">
        <f t="shared" si="27"/>
        <v>1.0494889075068462E-4</v>
      </c>
      <c r="BQ40" s="31">
        <f t="shared" si="30"/>
        <v>9</v>
      </c>
      <c r="BR40" s="31">
        <v>1</v>
      </c>
      <c r="BS40" s="107">
        <f t="shared" si="31"/>
        <v>4.177755617184243E-5</v>
      </c>
    </row>
    <row r="41" spans="1:71" x14ac:dyDescent="0.25">
      <c r="G41" s="91">
        <v>2</v>
      </c>
      <c r="H41" s="130">
        <f>L39*J41+J40*L40+J39*L41</f>
        <v>0.23929266343179614</v>
      </c>
      <c r="I41" s="138">
        <v>2</v>
      </c>
      <c r="J41" s="86">
        <f t="shared" si="28"/>
        <v>0.19725349497690206</v>
      </c>
      <c r="K41" s="95">
        <v>2</v>
      </c>
      <c r="L41" s="86">
        <f>AJ18</f>
        <v>3.5501381816704307E-2</v>
      </c>
      <c r="M41" s="85">
        <v>2</v>
      </c>
      <c r="N41" s="210">
        <f>(($C$24)^M27)*((1-($C$24))^($B$21-M27))*HLOOKUP($B$21,$AV$24:$BF$34,M27+1)</f>
        <v>2.1270631059819686E-2</v>
      </c>
      <c r="O41" s="72">
        <v>2</v>
      </c>
      <c r="P41" s="210">
        <f t="shared" si="29"/>
        <v>2.1270631059819686E-2</v>
      </c>
      <c r="Q41" s="28">
        <v>2</v>
      </c>
      <c r="R41" s="211">
        <f>P41*N39+P40*N40+P39*N41</f>
        <v>7.4145630727989909E-2</v>
      </c>
      <c r="S41" s="72">
        <v>2</v>
      </c>
      <c r="T41" s="212">
        <f t="shared" si="32"/>
        <v>0.12612348798335996</v>
      </c>
      <c r="U41" s="138">
        <v>2</v>
      </c>
      <c r="V41" s="86">
        <f>R41*T39+T40*R40+R39*T41</f>
        <v>8.7263942076522341E-2</v>
      </c>
      <c r="W41" s="214"/>
      <c r="X41" s="28">
        <v>2</v>
      </c>
      <c r="Y41" s="211"/>
      <c r="Z41" s="28">
        <v>2</v>
      </c>
      <c r="AA41" s="213"/>
      <c r="AB41" s="28">
        <v>2</v>
      </c>
      <c r="AC41" s="213">
        <f>((($W$39)^M41)*((1-($W$39))^($U$27-M41))*HLOOKUP($U$27,$AV$24:$BF$34,M41+1))*V41</f>
        <v>4.8693161466401135E-3</v>
      </c>
      <c r="AD41" s="28">
        <v>2</v>
      </c>
      <c r="AE41" s="213">
        <f>((($W$39)^M41)*((1-($W$39))^($U$28-M41))*HLOOKUP($U$28,$AV$24:$BF$34,M41+1))*V42</f>
        <v>2.4347405765169212E-2</v>
      </c>
      <c r="AF41" s="28">
        <v>2</v>
      </c>
      <c r="AG41" s="213">
        <f>((($W$39)^M41)*((1-($W$39))^($U$29-M41))*HLOOKUP($U$29,$AV$24:$BF$34,M41+1))*V43</f>
        <v>5.1002515887056232E-2</v>
      </c>
      <c r="AH41" s="28">
        <v>2</v>
      </c>
      <c r="AI41" s="213">
        <f>((($W$39)^M41)*((1-($W$39))^($U$30-M41))*HLOOKUP($U$30,$AV$24:$BF$34,M41+1))*V44</f>
        <v>5.7966666618163562E-2</v>
      </c>
      <c r="AJ41" s="28">
        <v>2</v>
      </c>
      <c r="AK41" s="213">
        <f>((($W$39)^M41)*((1-($W$39))^($U$31-M41))*HLOOKUP($U$31,$AV$24:$BF$34,M41+1))*V45</f>
        <v>3.8800601715290581E-2</v>
      </c>
      <c r="AL41" s="28">
        <v>2</v>
      </c>
      <c r="AM41" s="213">
        <f>((($W$39)^Q41)*((1-($W$39))^($U$32-Q41))*HLOOKUP($U$32,$AV$24:$BF$34,Q41+1))*V46</f>
        <v>1.5688693740321363E-2</v>
      </c>
      <c r="AN41" s="28">
        <v>2</v>
      </c>
      <c r="AO41" s="213">
        <f>((($W$39)^Q41)*((1-($W$39))^($U$33-Q41))*HLOOKUP($U$33,$AV$24:$BF$34,Q41+1))*V47</f>
        <v>3.8877074501531975E-3</v>
      </c>
      <c r="AP41" s="28">
        <v>2</v>
      </c>
      <c r="AQ41" s="213">
        <f>((($W$39)^Q41)*((1-($W$39))^($U$34-Q41))*HLOOKUP($U$34,$AV$24:$BF$34,Q41+1))*V48</f>
        <v>6.1885873789611272E-4</v>
      </c>
      <c r="AR41" s="28">
        <v>2</v>
      </c>
      <c r="AS41" s="213">
        <f>((($W$39)^Q41)*((1-($W$39))^($U$35-Q41))*HLOOKUP($U$35,$AV$24:$BF$34,Q41+1))*V49</f>
        <v>7.172891621166978E-5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6"/>
        <v>4</v>
      </c>
      <c r="BJ41" s="31">
        <v>8</v>
      </c>
      <c r="BK41" s="107">
        <f t="shared" si="27"/>
        <v>1.2783717340122818E-5</v>
      </c>
      <c r="BQ41" s="31">
        <f t="shared" si="30"/>
        <v>9</v>
      </c>
      <c r="BR41" s="31">
        <v>2</v>
      </c>
      <c r="BS41" s="107">
        <f t="shared" si="31"/>
        <v>2.9364272221605262E-5</v>
      </c>
    </row>
    <row r="42" spans="1:71" ht="15" customHeight="1" x14ac:dyDescent="0.25">
      <c r="G42" s="91">
        <v>3</v>
      </c>
      <c r="H42" s="130">
        <f>J42*L39+J41*L40+L42*J39+L41*J40</f>
        <v>0.12238107916741363</v>
      </c>
      <c r="I42" s="138">
        <v>3</v>
      </c>
      <c r="J42" s="86">
        <f t="shared" si="28"/>
        <v>5.7951419669651512E-2</v>
      </c>
      <c r="K42" s="95">
        <v>3</v>
      </c>
      <c r="L42" s="86">
        <f>AK18</f>
        <v>6.1071115936967242E-2</v>
      </c>
      <c r="M42" s="85">
        <v>3</v>
      </c>
      <c r="N42" s="210">
        <f>(($C$24)^M28)*((1-($C$24))^($B$21-M28))*HLOOKUP($B$21,$AV$24:$BF$34,M28+1)</f>
        <v>1.1146133092637752E-3</v>
      </c>
      <c r="O42" s="72">
        <v>3</v>
      </c>
      <c r="P42" s="210">
        <f t="shared" si="29"/>
        <v>1.1146133092637752E-3</v>
      </c>
      <c r="Q42" s="28">
        <v>3</v>
      </c>
      <c r="R42" s="211">
        <f>P42*N39+P41*N40+P40*N41+P39*N42</f>
        <v>1.0360915837523223E-2</v>
      </c>
      <c r="S42" s="72">
        <v>3</v>
      </c>
      <c r="T42" s="212">
        <f t="shared" si="32"/>
        <v>0.24676334605439995</v>
      </c>
      <c r="U42" s="138">
        <v>3</v>
      </c>
      <c r="V42" s="86">
        <f>R42*T39+R41*T40+R40*T41+R39*T42</f>
        <v>0.19042763931995813</v>
      </c>
      <c r="W42" s="214"/>
      <c r="X42" s="28">
        <v>3</v>
      </c>
      <c r="Y42" s="211"/>
      <c r="Z42" s="28">
        <v>3</v>
      </c>
      <c r="AA42" s="213"/>
      <c r="AB42" s="28">
        <v>3</v>
      </c>
      <c r="AC42" s="213"/>
      <c r="AD42" s="28">
        <v>3</v>
      </c>
      <c r="AE42" s="213">
        <f>((($W$39)^M42)*((1-($W$39))^($U$28-M42))*HLOOKUP($U$28,$AV$24:$BF$34,M42+1))*V42</f>
        <v>2.5100345560069631E-3</v>
      </c>
      <c r="AF42" s="28">
        <v>3</v>
      </c>
      <c r="AG42" s="213">
        <f>((($W$39)^M42)*((1-($W$39))^($U$29-M42))*HLOOKUP($U$29,$AV$24:$BF$34,M42+1))*V43</f>
        <v>1.0515952176140651E-2</v>
      </c>
      <c r="AH42" s="28">
        <v>3</v>
      </c>
      <c r="AI42" s="213">
        <f>((($W$39)^M42)*((1-($W$39))^($U$30-M42))*HLOOKUP($U$30,$AV$24:$BF$34,M42+1))*V44</f>
        <v>1.7927783072018963E-2</v>
      </c>
      <c r="AJ42" s="28">
        <v>3</v>
      </c>
      <c r="AK42" s="213">
        <f>((($W$39)^M42)*((1-($W$39))^($U$31-M42))*HLOOKUP($U$31,$AV$24:$BF$34,M42+1))*V45</f>
        <v>1.600020175267582E-2</v>
      </c>
      <c r="AL42" s="28">
        <v>3</v>
      </c>
      <c r="AM42" s="213">
        <f>((($W$39)^Q42)*((1-($W$39))^($U$32-Q42))*HLOOKUP($U$32,$AV$24:$BF$34,Q42+1))*V46</f>
        <v>8.086932095893274E-3</v>
      </c>
      <c r="AN42" s="28">
        <v>3</v>
      </c>
      <c r="AO42" s="213">
        <f>((($W$39)^Q42)*((1-($W$39))^($U$33-Q42))*HLOOKUP($U$33,$AV$24:$BF$34,Q42+1))*V47</f>
        <v>2.4047605246280972E-3</v>
      </c>
      <c r="AP42" s="28">
        <v>3</v>
      </c>
      <c r="AQ42" s="213">
        <f>((($W$39)^Q42)*((1-($W$39))^($U$34-Q42))*HLOOKUP($U$34,$AV$24:$BF$34,Q42+1))*V48</f>
        <v>4.4659779471856691E-4</v>
      </c>
      <c r="AR42" s="28">
        <v>3</v>
      </c>
      <c r="AS42" s="213">
        <f>((($W$39)^Q42)*((1-($W$39))^($U$35-Q42))*HLOOKUP($U$35,$AV$24:$BF$34,Q42+1))*V49</f>
        <v>5.9157697569170317E-5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3">BE41+BE42</f>
        <v>210</v>
      </c>
      <c r="BI42" s="31">
        <f t="shared" si="26"/>
        <v>4</v>
      </c>
      <c r="BJ42" s="31">
        <v>9</v>
      </c>
      <c r="BK42" s="107">
        <f t="shared" si="27"/>
        <v>1.0956154726667614E-6</v>
      </c>
      <c r="BQ42" s="31">
        <f t="shared" si="30"/>
        <v>9</v>
      </c>
      <c r="BR42" s="31">
        <v>3</v>
      </c>
      <c r="BS42" s="107">
        <f t="shared" si="31"/>
        <v>1.5017724621841677E-5</v>
      </c>
    </row>
    <row r="43" spans="1:71" ht="15" customHeight="1" x14ac:dyDescent="0.25">
      <c r="G43" s="91">
        <v>4</v>
      </c>
      <c r="H43" s="130">
        <f>J43*L39+J42*L40+J41*L41+J40*L42</f>
        <v>5.2661104017768197E-2</v>
      </c>
      <c r="I43" s="138">
        <v>4</v>
      </c>
      <c r="J43" s="86">
        <f t="shared" si="28"/>
        <v>1.0966773256326709E-2</v>
      </c>
      <c r="K43" s="95">
        <v>4</v>
      </c>
      <c r="L43" s="86"/>
      <c r="M43" s="85">
        <v>4</v>
      </c>
      <c r="N43" s="210">
        <f>(($C$24)^M29)*((1-($C$24))^($B$21-M29))*HLOOKUP($B$21,$AV$24:$BF$34,M29+1)</f>
        <v>2.9203713460452353E-5</v>
      </c>
      <c r="O43" s="72">
        <v>4</v>
      </c>
      <c r="P43" s="210">
        <f t="shared" si="29"/>
        <v>2.9203713460452353E-5</v>
      </c>
      <c r="Q43" s="28">
        <v>4</v>
      </c>
      <c r="R43" s="211">
        <f>P43*N39+P42*N40+P41*N41+P40*N42+P39*N43</f>
        <v>9.5012346593422836E-4</v>
      </c>
      <c r="S43" s="72">
        <v>4</v>
      </c>
      <c r="T43" s="212">
        <f t="shared" si="32"/>
        <v>0.28967871058560002</v>
      </c>
      <c r="U43" s="138">
        <v>4</v>
      </c>
      <c r="V43" s="86">
        <f>T43*R39+T42*R40+T41*R41+T40*R42+T39*R43</f>
        <v>0.26113830657264825</v>
      </c>
      <c r="W43" s="214"/>
      <c r="X43" s="28">
        <v>4</v>
      </c>
      <c r="Y43" s="211"/>
      <c r="Z43" s="28">
        <v>4</v>
      </c>
      <c r="AA43" s="213"/>
      <c r="AB43" s="28">
        <v>4</v>
      </c>
      <c r="AC43" s="213"/>
      <c r="AD43" s="28">
        <v>4</v>
      </c>
      <c r="AE43" s="213"/>
      <c r="AF43" s="28">
        <v>4</v>
      </c>
      <c r="AG43" s="213">
        <f>((($W$39)^M43)*((1-($W$39))^($U$29-M43))*HLOOKUP($U$29,$AV$24:$BF$34,M43+1))*V43</f>
        <v>8.1308672901376198E-4</v>
      </c>
      <c r="AH43" s="28">
        <v>4</v>
      </c>
      <c r="AI43" s="213">
        <f>((($W$39)^M43)*((1-($W$39))^($U$30-M43))*HLOOKUP($U$30,$AV$24:$BF$34,M43+1))*V44</f>
        <v>2.7723295527283176E-3</v>
      </c>
      <c r="AJ43" s="28">
        <v>4</v>
      </c>
      <c r="AK43" s="213">
        <f>((($W$39)^M43)*((1-($W$39))^($U$31-M43))*HLOOKUP($U$31,$AV$24:$BF$34,M43+1))*V45</f>
        <v>3.7113762468872148E-3</v>
      </c>
      <c r="AL43" s="28">
        <v>4</v>
      </c>
      <c r="AM43" s="213">
        <f>((($W$39)^Q43)*((1-($W$39))^($U$32-Q43))*HLOOKUP($U$32,$AV$24:$BF$34,Q43+1))*V46</f>
        <v>2.5011057697751646E-3</v>
      </c>
      <c r="AN43" s="28">
        <v>4</v>
      </c>
      <c r="AO43" s="213">
        <f>((($W$39)^Q43)*((1-($W$39))^($U$33-Q43))*HLOOKUP($U$33,$AV$24:$BF$34,Q43+1))*V47</f>
        <v>9.2967276585165324E-4</v>
      </c>
      <c r="AP43" s="28">
        <v>4</v>
      </c>
      <c r="AQ43" s="213">
        <f>((($W$39)^Q43)*((1-($W$39))^($U$34-Q43))*HLOOKUP($U$34,$AV$24:$BF$34,Q43+1))*V48</f>
        <v>2.0718394340915212E-4</v>
      </c>
      <c r="AR43" s="28">
        <v>4</v>
      </c>
      <c r="AS43" s="213">
        <f>((($W$39)^Q43)*((1-($W$39))^($U$35-Q43))*HLOOKUP($U$35,$AV$24:$BF$34,Q43+1))*V49</f>
        <v>3.2018248661443044E-5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3"/>
        <v>252</v>
      </c>
      <c r="BI43" s="31">
        <f t="shared" si="26"/>
        <v>4</v>
      </c>
      <c r="BJ43" s="31">
        <v>10</v>
      </c>
      <c r="BK43" s="107">
        <f t="shared" si="27"/>
        <v>6.5939952154510937E-8</v>
      </c>
      <c r="BQ43" s="31">
        <f t="shared" si="30"/>
        <v>9</v>
      </c>
      <c r="BR43" s="31">
        <v>4</v>
      </c>
      <c r="BS43" s="107">
        <f t="shared" si="31"/>
        <v>6.4621914090097555E-6</v>
      </c>
    </row>
    <row r="44" spans="1:71" ht="15" customHeight="1" thickBot="1" x14ac:dyDescent="0.3">
      <c r="G44" s="91">
        <v>5</v>
      </c>
      <c r="H44" s="130">
        <f>J44*L39+J43*L40+J42*L41+J41*L42</f>
        <v>1.7792637061038615E-2</v>
      </c>
      <c r="I44" s="138">
        <v>5</v>
      </c>
      <c r="J44" s="86">
        <f t="shared" si="28"/>
        <v>1.4007249891024817E-3</v>
      </c>
      <c r="K44" s="95">
        <v>5</v>
      </c>
      <c r="L44" s="86"/>
      <c r="M44" s="85">
        <v>5</v>
      </c>
      <c r="N44" s="210">
        <f>(($C$24)^M30)*((1-($C$24))^($B$21-M30))*HLOOKUP($B$21,$AV$24:$BF$34,M30+1)</f>
        <v>3.0606377038276545E-7</v>
      </c>
      <c r="O44" s="72">
        <v>5</v>
      </c>
      <c r="P44" s="210">
        <f t="shared" si="29"/>
        <v>3.0606377038276545E-7</v>
      </c>
      <c r="Q44" s="28">
        <v>5</v>
      </c>
      <c r="R44" s="211">
        <f>P44*N39+P43*N40+P42*N41+P41*N42+P40*N43+P39*N44</f>
        <v>5.974549175880044E-5</v>
      </c>
      <c r="S44" s="72">
        <v>5</v>
      </c>
      <c r="T44" s="212">
        <f t="shared" si="32"/>
        <v>0.20403457006463999</v>
      </c>
      <c r="U44" s="138">
        <v>5</v>
      </c>
      <c r="V44" s="86">
        <f>T44*R39+T43*R40+T42*R41+T41*R42+T40*R43+T39*R44</f>
        <v>0.2331525932671149</v>
      </c>
      <c r="W44" s="214"/>
      <c r="X44" s="28">
        <v>5</v>
      </c>
      <c r="Y44" s="211"/>
      <c r="Z44" s="28">
        <v>5</v>
      </c>
      <c r="AA44" s="213"/>
      <c r="AB44" s="28">
        <v>5</v>
      </c>
      <c r="AC44" s="213"/>
      <c r="AD44" s="28">
        <v>5</v>
      </c>
      <c r="AE44" s="213"/>
      <c r="AF44" s="28">
        <v>5</v>
      </c>
      <c r="AG44" s="213"/>
      <c r="AH44" s="28">
        <v>5</v>
      </c>
      <c r="AI44" s="213">
        <f>((($W$39)^M44)*((1-($W$39))^($U$30-M44))*HLOOKUP($U$30,$AV$24:$BF$34,M44+1))*V44</f>
        <v>1.7148380517670428E-4</v>
      </c>
      <c r="AJ44" s="28">
        <v>5</v>
      </c>
      <c r="AK44" s="213">
        <f>((($W$39)^M44)*((1-($W$39))^($U$31-M44))*HLOOKUP($U$31,$AV$24:$BF$34,M44+1))*V45</f>
        <v>4.5913799867863331E-4</v>
      </c>
      <c r="AL44" s="28">
        <v>5</v>
      </c>
      <c r="AM44" s="213">
        <f>((($W$39)^Q44)*((1-($W$39))^($U$32-Q44))*HLOOKUP($U$32,$AV$24:$BF$34,Q44+1))*V46</f>
        <v>4.6412137488672486E-4</v>
      </c>
      <c r="AN44" s="28">
        <v>5</v>
      </c>
      <c r="AO44" s="213">
        <f>((($W$39)^Q44)*((1-($W$39))^($U$33-Q44))*HLOOKUP($U$33,$AV$24:$BF$34,Q44+1))*V47</f>
        <v>2.3002146090532398E-4</v>
      </c>
      <c r="AP44" s="28">
        <v>5</v>
      </c>
      <c r="AQ44" s="213">
        <f>((($W$39)^Q44)*((1-($W$39))^($U$34-Q44))*HLOOKUP($U$34,$AV$24:$BF$34,Q44+1))*V48</f>
        <v>6.4077322539724235E-5</v>
      </c>
      <c r="AR44" s="28">
        <v>5</v>
      </c>
      <c r="AS44" s="213">
        <f>((($W$39)^Q44)*((1-($W$39))^($U$35-Q44))*HLOOKUP($U$35,$AV$24:$BF$34,Q44+1))*V49</f>
        <v>1.1883026915370997E-5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3"/>
        <v>210</v>
      </c>
      <c r="BI44" s="31">
        <f>BI39+1</f>
        <v>5</v>
      </c>
      <c r="BJ44" s="31">
        <v>6</v>
      </c>
      <c r="BK44" s="107">
        <f>$H$30*H45</f>
        <v>2.6010449059338199E-4</v>
      </c>
      <c r="BQ44" s="31">
        <f t="shared" si="30"/>
        <v>9</v>
      </c>
      <c r="BR44" s="31">
        <v>5</v>
      </c>
      <c r="BS44" s="107">
        <f t="shared" si="31"/>
        <v>2.1833842739164284E-6</v>
      </c>
    </row>
    <row r="45" spans="1:71" ht="15" customHeight="1" thickBot="1" x14ac:dyDescent="0.3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>
        <f>J45*L39+J44*L40+J43*L41+J42*L42</f>
        <v>4.3635304460630971E-3</v>
      </c>
      <c r="I45" s="138">
        <v>6</v>
      </c>
      <c r="J45" s="86">
        <f t="shared" si="28"/>
        <v>1.2335889789736386E-4</v>
      </c>
      <c r="K45" s="95">
        <v>6</v>
      </c>
      <c r="L45" s="86"/>
      <c r="M45" s="85"/>
      <c r="N45" s="211"/>
      <c r="O45" s="211"/>
      <c r="P45" s="211"/>
      <c r="Q45" s="28">
        <v>6</v>
      </c>
      <c r="R45" s="211">
        <f>P44*N40+P43*N41+P42*N42+P41*N43+P40*N44</f>
        <v>2.6089619412946822E-6</v>
      </c>
      <c r="S45" s="72">
        <v>6</v>
      </c>
      <c r="T45" s="212">
        <f t="shared" si="32"/>
        <v>7.9839614373120024E-2</v>
      </c>
      <c r="U45" s="138">
        <v>6</v>
      </c>
      <c r="V45" s="86">
        <f>T45*R39+T44*R40+T43*R41+T42*R42+T41*R43+T40*R44+T39*R45</f>
        <v>0.13621998066394664</v>
      </c>
      <c r="W45" s="214"/>
      <c r="X45" s="28">
        <v>6</v>
      </c>
      <c r="Y45" s="211"/>
      <c r="Z45" s="28">
        <v>6</v>
      </c>
      <c r="AA45" s="213"/>
      <c r="AB45" s="28">
        <v>6</v>
      </c>
      <c r="AC45" s="213"/>
      <c r="AD45" s="28">
        <v>6</v>
      </c>
      <c r="AE45" s="213"/>
      <c r="AF45" s="28">
        <v>6</v>
      </c>
      <c r="AG45" s="213"/>
      <c r="AH45" s="28">
        <v>6</v>
      </c>
      <c r="AI45" s="213"/>
      <c r="AJ45" s="28">
        <v>6</v>
      </c>
      <c r="AK45" s="213">
        <f>((($W$39)^Q45)*((1-($W$39))^($U$31-Q45))*HLOOKUP($U$31,$AV$24:$BF$34,Q45+1))*V45</f>
        <v>2.3666838548933175E-5</v>
      </c>
      <c r="AL45" s="28">
        <v>6</v>
      </c>
      <c r="AM45" s="213">
        <f>((($W$39)^Q45)*((1-($W$39))^($U$32-Q45))*HLOOKUP($U$32,$AV$24:$BF$34,Q45+1))*V46</f>
        <v>4.7847425733287177E-5</v>
      </c>
      <c r="AN45" s="28">
        <v>6</v>
      </c>
      <c r="AO45" s="213">
        <f>((($W$39)^Q45)*((1-($W$39))^($U$33-Q45))*HLOOKUP($U$33,$AV$24:$BF$34,Q45+1))*V47</f>
        <v>3.5570225903997169E-5</v>
      </c>
      <c r="AP45" s="28">
        <v>6</v>
      </c>
      <c r="AQ45" s="213">
        <f>((($W$39)^Q45)*((1-($W$39))^($U$34-Q45))*HLOOKUP($U$34,$AV$24:$BF$34,Q45+1))*V48</f>
        <v>1.3211780785384544E-5</v>
      </c>
      <c r="AR45" s="28">
        <v>6</v>
      </c>
      <c r="AS45" s="213">
        <f>((($W$39)^Q45)*((1-($W$39))^($U$35-Q45))*HLOOKUP($U$35,$AV$24:$BF$34,Q45+1))*V49</f>
        <v>3.0626269257617912E-6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3"/>
        <v>120</v>
      </c>
      <c r="BI45" s="31">
        <f>BI40+1</f>
        <v>5</v>
      </c>
      <c r="BJ45" s="31">
        <v>7</v>
      </c>
      <c r="BK45" s="107">
        <f>$H$30*H46</f>
        <v>4.5042671784258755E-5</v>
      </c>
      <c r="BQ45" s="31">
        <f t="shared" si="30"/>
        <v>9</v>
      </c>
      <c r="BR45" s="31">
        <v>6</v>
      </c>
      <c r="BS45" s="107">
        <f t="shared" si="31"/>
        <v>5.3546102930138489E-7</v>
      </c>
    </row>
    <row r="46" spans="1:71" ht="15" customHeight="1" thickBot="1" x14ac:dyDescent="0.3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>
        <f>J46*L39+J45*L40+J44*L41+J43*L42</f>
        <v>7.556388944083886E-4</v>
      </c>
      <c r="I46" s="138">
        <v>7</v>
      </c>
      <c r="J46" s="86">
        <f t="shared" si="28"/>
        <v>7.5496273482920453E-6</v>
      </c>
      <c r="K46" s="95">
        <v>7</v>
      </c>
      <c r="L46" s="86"/>
      <c r="M46" s="85"/>
      <c r="N46" s="211"/>
      <c r="O46" s="211"/>
      <c r="P46" s="211"/>
      <c r="Q46" s="28">
        <v>7</v>
      </c>
      <c r="R46" s="211">
        <f>P44*N41+P43*N42+P42*N43+P41*N44</f>
        <v>7.8122034487070051E-8</v>
      </c>
      <c r="S46" s="72">
        <v>7</v>
      </c>
      <c r="T46" s="212">
        <f t="shared" si="32"/>
        <v>1.3389252099840005E-2</v>
      </c>
      <c r="U46" s="138">
        <v>7</v>
      </c>
      <c r="V46" s="86">
        <f>T46*R39+T45*R40+T44*R41+T43*R42+T42*R43+T41*R44+T40*R45+T39*R46</f>
        <v>5.1510147385281167E-2</v>
      </c>
      <c r="W46" s="214"/>
      <c r="X46" s="28">
        <v>7</v>
      </c>
      <c r="Y46" s="211"/>
      <c r="Z46" s="28">
        <v>7</v>
      </c>
      <c r="AA46" s="213"/>
      <c r="AB46" s="28">
        <v>7</v>
      </c>
      <c r="AC46" s="213"/>
      <c r="AD46" s="28">
        <v>7</v>
      </c>
      <c r="AE46" s="213"/>
      <c r="AF46" s="28">
        <v>7</v>
      </c>
      <c r="AG46" s="213"/>
      <c r="AH46" s="28">
        <v>7</v>
      </c>
      <c r="AI46" s="213"/>
      <c r="AJ46" s="28">
        <v>7</v>
      </c>
      <c r="AK46" s="213"/>
      <c r="AL46" s="28">
        <v>7</v>
      </c>
      <c r="AM46" s="213">
        <f>((($W$39)^Q46)*((1-($W$39))^($U$32-Q46))*HLOOKUP($U$32,$AV$24:$BF$34,Q46+1))*V46</f>
        <v>2.1140185734461487E-6</v>
      </c>
      <c r="AN46" s="28">
        <v>7</v>
      </c>
      <c r="AO46" s="213">
        <f>((($W$39)^Q46)*((1-($W$39))^($U$33-Q46))*HLOOKUP($U$33,$AV$24:$BF$34,Q46+1))*V47</f>
        <v>3.1431625451235861E-6</v>
      </c>
      <c r="AP46" s="28">
        <v>7</v>
      </c>
      <c r="AQ46" s="213">
        <f>((($W$39)^Q46)*((1-($W$39))^($U$34-Q46))*HLOOKUP($U$34,$AV$24:$BF$34,Q46+1))*V48</f>
        <v>1.7511882535305032E-6</v>
      </c>
      <c r="AR46" s="28">
        <v>7</v>
      </c>
      <c r="AS46" s="213">
        <f>((($W$39)^Q46)*((1-($W$39))^($U$35-Q46))*HLOOKUP($U$35,$AV$24:$BF$34,Q46+1))*V49</f>
        <v>5.4125797619180747E-7</v>
      </c>
      <c r="AV46" s="14">
        <v>8</v>
      </c>
      <c r="BD46" s="31">
        <v>1</v>
      </c>
      <c r="BE46" s="31">
        <v>9</v>
      </c>
      <c r="BF46" s="31">
        <f t="shared" si="33"/>
        <v>45</v>
      </c>
      <c r="BI46" s="31">
        <f>BI41+1</f>
        <v>5</v>
      </c>
      <c r="BJ46" s="31">
        <v>8</v>
      </c>
      <c r="BK46" s="107">
        <f>$H$30*H47</f>
        <v>5.4866019089404546E-6</v>
      </c>
      <c r="BQ46" s="31">
        <f t="shared" si="30"/>
        <v>9</v>
      </c>
      <c r="BR46" s="31">
        <v>7</v>
      </c>
      <c r="BS46" s="107">
        <f t="shared" si="31"/>
        <v>9.2726562855802167E-8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>
        <f>J47*L39+J46*L40+J45*L41+J44*L42</f>
        <v>9.2043603016897415E-5</v>
      </c>
      <c r="I47" s="138">
        <v>8</v>
      </c>
      <c r="J47" s="86">
        <f t="shared" si="28"/>
        <v>3.196890081894984E-7</v>
      </c>
      <c r="K47" s="95">
        <v>8</v>
      </c>
      <c r="L47" s="86"/>
      <c r="M47" s="85"/>
      <c r="N47" s="211"/>
      <c r="O47" s="211"/>
      <c r="P47" s="211"/>
      <c r="Q47" s="28">
        <v>8</v>
      </c>
      <c r="R47" s="211">
        <f>P44*N42+P43*N43+P42*N44</f>
        <v>1.5351423837843707E-9</v>
      </c>
      <c r="S47" s="72">
        <v>8</v>
      </c>
      <c r="T47" s="212">
        <f t="shared" si="32"/>
        <v>0</v>
      </c>
      <c r="U47" s="138">
        <v>8</v>
      </c>
      <c r="V47" s="86">
        <f>T47*R39+T46*R40+T45*R41+T44*R42+T43*R43+T42*R44+T41*R45+T40*R46+T39*R47</f>
        <v>1.2534082152391447E-2</v>
      </c>
      <c r="W47" s="214"/>
      <c r="X47" s="28">
        <v>8</v>
      </c>
      <c r="Y47" s="211"/>
      <c r="Z47" s="28">
        <v>8</v>
      </c>
      <c r="AA47" s="213"/>
      <c r="AB47" s="28">
        <v>8</v>
      </c>
      <c r="AC47" s="213"/>
      <c r="AD47" s="28">
        <v>8</v>
      </c>
      <c r="AE47" s="213"/>
      <c r="AF47" s="28">
        <v>8</v>
      </c>
      <c r="AG47" s="213"/>
      <c r="AH47" s="28">
        <v>8</v>
      </c>
      <c r="AI47" s="213"/>
      <c r="AJ47" s="28">
        <v>8</v>
      </c>
      <c r="AK47" s="213"/>
      <c r="AL47" s="28">
        <v>8</v>
      </c>
      <c r="AM47" s="213"/>
      <c r="AN47" s="28">
        <v>8</v>
      </c>
      <c r="AO47" s="213">
        <f>((($W$39)^Q47)*((1-($W$39))^($U$33-Q47))*HLOOKUP($U$33,$AV$24:$BF$34,Q47+1))*V47</f>
        <v>1.2151366370662951E-7</v>
      </c>
      <c r="AP47" s="28">
        <v>8</v>
      </c>
      <c r="AQ47" s="213">
        <f>((($W$39)^Q47)*((1-($W$39))^($U$34-Q47))*HLOOKUP($U$34,$AV$24:$BF$34,Q47+1))*V48</f>
        <v>1.3540076115798757E-7</v>
      </c>
      <c r="AR47" s="28">
        <v>8</v>
      </c>
      <c r="AS47" s="213">
        <f>((($W$39)^Q47)*((1-($W$39))^($U$35-Q47))*HLOOKUP($U$35,$AV$24:$BF$34,Q47+1))*V49</f>
        <v>6.2774583324881301E-8</v>
      </c>
      <c r="AV47" s="29">
        <v>9</v>
      </c>
      <c r="BE47" s="31">
        <v>1</v>
      </c>
      <c r="BF47" s="31">
        <f t="shared" si="33"/>
        <v>10</v>
      </c>
      <c r="BI47" s="31">
        <f>BI42+1</f>
        <v>5</v>
      </c>
      <c r="BJ47" s="31">
        <v>9</v>
      </c>
      <c r="BK47" s="107">
        <f>$H$30*H48</f>
        <v>4.7022362774961041E-7</v>
      </c>
      <c r="BQ47" s="31">
        <f>BM12+1</f>
        <v>9</v>
      </c>
      <c r="BR47" s="31">
        <v>8</v>
      </c>
      <c r="BS47" s="107">
        <f t="shared" si="31"/>
        <v>1.1294928045363584E-8</v>
      </c>
    </row>
    <row r="48" spans="1:71" ht="15" customHeight="1" thickBot="1" x14ac:dyDescent="0.3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>
        <f>J48*L39+J47*L40+J46*L41+J45*L42</f>
        <v>7.8885032375364587E-6</v>
      </c>
      <c r="I48" s="138">
        <v>9</v>
      </c>
      <c r="J48" s="86">
        <f t="shared" si="28"/>
        <v>8.9673254788400281E-9</v>
      </c>
      <c r="K48" s="95">
        <v>9</v>
      </c>
      <c r="L48" s="86"/>
      <c r="M48" s="85"/>
      <c r="N48" s="211"/>
      <c r="O48" s="211"/>
      <c r="P48" s="211"/>
      <c r="Q48" s="28">
        <v>9</v>
      </c>
      <c r="R48" s="211">
        <f>P44*N43+P43*N44</f>
        <v>1.7876397301767932E-11</v>
      </c>
      <c r="S48" s="72">
        <v>9</v>
      </c>
      <c r="T48" s="212">
        <f t="shared" si="32"/>
        <v>0</v>
      </c>
      <c r="U48" s="138">
        <v>9</v>
      </c>
      <c r="V48" s="86">
        <f>T48*R39+T47*R40+T46*R41+T45*R42+T44*R43+T43*R44+T42*R45+T41*R46+T40*R47+T39*R48</f>
        <v>2.0317848010926753E-3</v>
      </c>
      <c r="W48" s="214"/>
      <c r="X48" s="28">
        <v>9</v>
      </c>
      <c r="Y48" s="211"/>
      <c r="Z48" s="28">
        <v>9</v>
      </c>
      <c r="AA48" s="213"/>
      <c r="AB48" s="28">
        <v>9</v>
      </c>
      <c r="AC48" s="213"/>
      <c r="AD48" s="28">
        <v>9</v>
      </c>
      <c r="AE48" s="213"/>
      <c r="AF48" s="28">
        <v>9</v>
      </c>
      <c r="AG48" s="213"/>
      <c r="AH48" s="28">
        <v>9</v>
      </c>
      <c r="AI48" s="213"/>
      <c r="AJ48" s="28">
        <v>9</v>
      </c>
      <c r="AK48" s="213"/>
      <c r="AL48" s="28">
        <v>9</v>
      </c>
      <c r="AM48" s="213"/>
      <c r="AN48" s="28">
        <v>9</v>
      </c>
      <c r="AO48" s="213"/>
      <c r="AP48" s="28">
        <v>9</v>
      </c>
      <c r="AQ48" s="213">
        <f>((($W$39)^Q48)*((1-($W$39))^($U$34-Q48))*HLOOKUP($U$34,$AV$24:$BF$34,Q48+1))*V48</f>
        <v>4.6529336320831661E-9</v>
      </c>
      <c r="AR48" s="28">
        <v>9</v>
      </c>
      <c r="AS48" s="213">
        <f>((($W$39)^Q48)*((1-($W$39))^($U$35-Q48))*HLOOKUP($U$35,$AV$24:$BF$34,Q48+1))*V49</f>
        <v>4.314391846756862E-9</v>
      </c>
      <c r="AV48" s="14">
        <v>10</v>
      </c>
      <c r="BF48" s="31">
        <f t="shared" si="33"/>
        <v>1</v>
      </c>
      <c r="BI48" s="31">
        <f>BI43+1</f>
        <v>5</v>
      </c>
      <c r="BJ48" s="31">
        <v>10</v>
      </c>
      <c r="BK48" s="107">
        <f>$H$30*H49</f>
        <v>2.8300552784508465E-8</v>
      </c>
    </row>
    <row r="49" spans="1:63" ht="15" customHeight="1" thickBot="1" x14ac:dyDescent="0.3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>
        <f>J49*L39+J48*L40+J47*L41+J46*L42</f>
        <v>4.7477197888393736E-7</v>
      </c>
      <c r="I49" s="94">
        <v>10</v>
      </c>
      <c r="J49" s="89">
        <f t="shared" si="28"/>
        <v>1.3343441261828203E-10</v>
      </c>
      <c r="K49" s="96">
        <v>10</v>
      </c>
      <c r="L49" s="89"/>
      <c r="M49" s="85"/>
      <c r="N49" s="211"/>
      <c r="O49" s="211"/>
      <c r="P49" s="211"/>
      <c r="Q49" s="28">
        <v>10</v>
      </c>
      <c r="R49" s="211">
        <f>P44*N44</f>
        <v>9.3675031540914176E-14</v>
      </c>
      <c r="S49" s="72">
        <v>10</v>
      </c>
      <c r="T49" s="212">
        <f t="shared" si="32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2.4666192992883751E-4</v>
      </c>
      <c r="W49" s="214"/>
      <c r="X49" s="28">
        <v>10</v>
      </c>
      <c r="Y49" s="211"/>
      <c r="Z49" s="28">
        <v>10</v>
      </c>
      <c r="AA49" s="213"/>
      <c r="AB49" s="28">
        <v>10</v>
      </c>
      <c r="AC49" s="213"/>
      <c r="AD49" s="28">
        <v>10</v>
      </c>
      <c r="AE49" s="213"/>
      <c r="AF49" s="28">
        <v>10</v>
      </c>
      <c r="AG49" s="213"/>
      <c r="AH49" s="28">
        <v>10</v>
      </c>
      <c r="AI49" s="213"/>
      <c r="AJ49" s="28">
        <v>10</v>
      </c>
      <c r="AK49" s="213"/>
      <c r="AL49" s="28">
        <v>10</v>
      </c>
      <c r="AM49" s="213"/>
      <c r="AN49" s="28">
        <v>10</v>
      </c>
      <c r="AO49" s="213"/>
      <c r="AP49" s="28">
        <v>10</v>
      </c>
      <c r="AQ49" s="213"/>
      <c r="AR49" s="28">
        <v>10</v>
      </c>
      <c r="AS49" s="213">
        <f>((($W$39)^Q49)*((1-($W$39))^($U$35-Q49))*HLOOKUP($U$35,$AV$24:$BF$34,Q49+1))*V49</f>
        <v>1.3343441261828203E-10</v>
      </c>
      <c r="BI49" s="31">
        <f>BQ14+1</f>
        <v>6</v>
      </c>
      <c r="BJ49" s="31">
        <v>0</v>
      </c>
      <c r="BK49" s="107">
        <f>$H$31*H39</f>
        <v>4.2673202882198696E-3</v>
      </c>
    </row>
    <row r="50" spans="1:63" ht="15.75" thickBot="1" x14ac:dyDescent="0.3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217"/>
      <c r="H50" s="77"/>
      <c r="I50" s="303"/>
      <c r="J50" s="303"/>
      <c r="K50" s="77"/>
      <c r="L50" s="77"/>
      <c r="O50" s="204"/>
      <c r="P50" s="204"/>
      <c r="Q50" s="204"/>
      <c r="R50" s="204"/>
      <c r="S50" s="217"/>
      <c r="T50" s="217"/>
      <c r="U50" s="217"/>
      <c r="V50" s="77"/>
      <c r="W50" s="303"/>
      <c r="X50" s="158"/>
      <c r="Y50" s="158"/>
      <c r="BI50" s="31">
        <f>BI45+1</f>
        <v>6</v>
      </c>
      <c r="BJ50" s="31">
        <v>7</v>
      </c>
      <c r="BK50" s="107">
        <f>$H$31*H46</f>
        <v>1.451174141454314E-5</v>
      </c>
    </row>
    <row r="51" spans="1:63" ht="15.75" thickBot="1" x14ac:dyDescent="0.3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I51" s="31">
        <f>BI46+1</f>
        <v>6</v>
      </c>
      <c r="BJ51" s="31">
        <v>8</v>
      </c>
      <c r="BK51" s="107">
        <f>$H$31*H47</f>
        <v>1.767660420510575E-6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1.5149553573541495E-7</v>
      </c>
    </row>
    <row r="53" spans="1:63" x14ac:dyDescent="0.25">
      <c r="BI53" s="31">
        <f>BI48+1</f>
        <v>6</v>
      </c>
      <c r="BJ53" s="31">
        <v>10</v>
      </c>
      <c r="BK53" s="107">
        <f>$H$31*H49</f>
        <v>9.1178051307547274E-9</v>
      </c>
    </row>
    <row r="54" spans="1:63" x14ac:dyDescent="0.25">
      <c r="BI54" s="31">
        <f>BI51+1</f>
        <v>7</v>
      </c>
      <c r="BJ54" s="31">
        <v>8</v>
      </c>
      <c r="BK54" s="107">
        <f>$H$32*H47</f>
        <v>4.331595969743977E-7</v>
      </c>
    </row>
    <row r="55" spans="1:63" x14ac:dyDescent="0.25">
      <c r="BI55" s="31">
        <f>BI52+1</f>
        <v>7</v>
      </c>
      <c r="BJ55" s="31">
        <v>9</v>
      </c>
      <c r="BK55" s="107">
        <f>$H$32*H48</f>
        <v>3.7123502026265018E-8</v>
      </c>
    </row>
    <row r="56" spans="1:63" x14ac:dyDescent="0.25">
      <c r="BI56" s="31">
        <f>BI53+1</f>
        <v>7</v>
      </c>
      <c r="BJ56" s="31">
        <v>10</v>
      </c>
      <c r="BK56" s="107">
        <f>$H$32*H49</f>
        <v>2.2342893181870538E-9</v>
      </c>
    </row>
    <row r="57" spans="1:63" x14ac:dyDescent="0.25">
      <c r="BI57" s="31">
        <f>BI55+1</f>
        <v>8</v>
      </c>
      <c r="BJ57" s="31">
        <v>9</v>
      </c>
      <c r="BK57" s="107">
        <f>$H$33*H48</f>
        <v>6.9190442747665715E-9</v>
      </c>
    </row>
    <row r="58" spans="1:63" x14ac:dyDescent="0.25">
      <c r="BI58" s="31">
        <f>BI56+1</f>
        <v>8</v>
      </c>
      <c r="BJ58" s="31">
        <v>10</v>
      </c>
      <c r="BK58" s="107">
        <f>$H$33*H49</f>
        <v>4.1642479484389257E-10</v>
      </c>
    </row>
    <row r="59" spans="1:63" x14ac:dyDescent="0.25">
      <c r="BI59" s="31">
        <f>BI58+1</f>
        <v>9</v>
      </c>
      <c r="BJ59" s="31">
        <v>10</v>
      </c>
      <c r="BK59" s="107">
        <f>$H$34*H49</f>
        <v>5.8260597843660005E-11</v>
      </c>
    </row>
  </sheetData>
  <mergeCells count="2">
    <mergeCell ref="Q1:R1"/>
    <mergeCell ref="B3:C3"/>
  </mergeCells>
  <conditionalFormatting sqref="H49">
    <cfRule type="cellIs" dxfId="97" priority="1" operator="greaterThan">
      <formula>0.15</formula>
    </cfRule>
  </conditionalFormatting>
  <conditionalFormatting sqref="H39:H49">
    <cfRule type="cellIs" dxfId="96" priority="2" operator="greaterThan">
      <formula>0.15</formula>
    </cfRule>
  </conditionalFormatting>
  <conditionalFormatting sqref="H49">
    <cfRule type="cellIs" dxfId="95" priority="3" operator="greaterThan">
      <formula>0.15</formula>
    </cfRule>
  </conditionalFormatting>
  <conditionalFormatting sqref="H39:H49">
    <cfRule type="cellIs" dxfId="94" priority="4" operator="greaterThan">
      <formula>0.15</formula>
    </cfRule>
  </conditionalFormatting>
  <conditionalFormatting sqref="H35">
    <cfRule type="cellIs" dxfId="93" priority="5" operator="greaterThan">
      <formula>0.15</formula>
    </cfRule>
  </conditionalFormatting>
  <conditionalFormatting sqref="H25:H35">
    <cfRule type="cellIs" dxfId="92" priority="6" operator="greaterThan">
      <formula>0.15</formula>
    </cfRule>
  </conditionalFormatting>
  <conditionalFormatting sqref="H35">
    <cfRule type="cellIs" dxfId="91" priority="7" operator="greaterThan">
      <formula>0.15</formula>
    </cfRule>
  </conditionalFormatting>
  <conditionalFormatting sqref="H25:H35">
    <cfRule type="cellIs" dxfId="90" priority="8" operator="greaterThan">
      <formula>0.15</formula>
    </cfRule>
  </conditionalFormatting>
  <conditionalFormatting sqref="V49">
    <cfRule type="cellIs" dxfId="89" priority="9" operator="greaterThan">
      <formula>0.15</formula>
    </cfRule>
  </conditionalFormatting>
  <conditionalFormatting sqref="V35">
    <cfRule type="cellIs" dxfId="88" priority="10" operator="greaterThan">
      <formula>0.15</formula>
    </cfRule>
  </conditionalFormatting>
  <conditionalFormatting sqref="V25:V35 V39:V49">
    <cfRule type="cellIs" dxfId="87" priority="11" operator="greaterThan">
      <formula>0.15</formula>
    </cfRule>
  </conditionalFormatting>
  <conditionalFormatting sqref="V49">
    <cfRule type="cellIs" dxfId="86" priority="12" operator="greaterThan">
      <formula>0.15</formula>
    </cfRule>
  </conditionalFormatting>
  <conditionalFormatting sqref="V35">
    <cfRule type="cellIs" dxfId="85" priority="13" operator="greaterThan">
      <formula>0.15</formula>
    </cfRule>
  </conditionalFormatting>
  <conditionalFormatting sqref="V25:V35 V39:V49">
    <cfRule type="cellIs" dxfId="84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1DF29-E2DE-4384-B127-BB7731412739}">
  <sheetPr>
    <tabColor rgb="FFFFFF00"/>
  </sheetPr>
  <dimension ref="A1:BS59"/>
  <sheetViews>
    <sheetView zoomScale="90" zoomScaleNormal="90" workbookViewId="0">
      <selection activeCell="C33" sqref="C33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570312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6.28515625" style="31" bestFit="1" customWidth="1"/>
    <col min="29" max="29" width="7.7109375" style="31" bestFit="1" customWidth="1"/>
    <col min="30" max="30" width="6.285156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18" t="s">
        <v>143</v>
      </c>
      <c r="B1" s="31" t="s">
        <v>0</v>
      </c>
      <c r="E1" s="285">
        <v>1.5</v>
      </c>
      <c r="F1" s="285">
        <v>2.5</v>
      </c>
      <c r="G1" s="285">
        <v>3.5</v>
      </c>
      <c r="H1" s="221"/>
      <c r="I1" s="220"/>
      <c r="J1" s="222"/>
      <c r="K1" s="221"/>
      <c r="L1" s="221"/>
      <c r="M1" s="221"/>
      <c r="N1" s="221">
        <f>COUNTIF(B17:C17,"JC")</f>
        <v>0</v>
      </c>
      <c r="O1" s="220"/>
      <c r="P1" s="220"/>
      <c r="Q1" s="304"/>
      <c r="R1" s="304"/>
      <c r="S1" s="223"/>
      <c r="T1" s="223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4"/>
      <c r="AK1" s="220"/>
      <c r="AL1" s="220"/>
      <c r="AM1" s="220"/>
      <c r="AN1" s="220"/>
      <c r="AO1" s="220"/>
      <c r="AP1" s="220"/>
      <c r="AQ1" s="220"/>
      <c r="AR1" s="220"/>
      <c r="AS1" s="220"/>
      <c r="AT1" s="220"/>
      <c r="AU1" s="220"/>
      <c r="AV1" s="220"/>
      <c r="AW1" s="220"/>
      <c r="AX1" s="220"/>
      <c r="AY1" s="220"/>
      <c r="AZ1" s="220"/>
    </row>
    <row r="2" spans="1:71" ht="15.75" x14ac:dyDescent="0.25">
      <c r="A2" s="218" t="s">
        <v>146</v>
      </c>
      <c r="B2" s="31" t="s">
        <v>0</v>
      </c>
      <c r="E2" s="245"/>
      <c r="F2" s="245"/>
      <c r="G2" s="245"/>
      <c r="H2" s="245"/>
      <c r="I2" s="245"/>
      <c r="J2" s="245"/>
      <c r="K2" s="245"/>
      <c r="L2" s="245"/>
      <c r="M2" s="245"/>
      <c r="N2" s="261">
        <f>SUM(N4:N15)</f>
        <v>3.5750000000000002</v>
      </c>
      <c r="O2" s="245"/>
      <c r="P2" s="247"/>
      <c r="Q2" s="247"/>
      <c r="R2" s="198">
        <f>SUM(R4:R15)</f>
        <v>1.6799999999999997</v>
      </c>
      <c r="S2" s="198">
        <f>SUM(S4:S15)</f>
        <v>3.5750000000000006</v>
      </c>
      <c r="T2" s="256">
        <f t="shared" ref="T2:U2" si="0">SUM(T4:T15)</f>
        <v>1.6724879535147399</v>
      </c>
      <c r="U2" s="256">
        <f t="shared" si="0"/>
        <v>0.83852395124716561</v>
      </c>
      <c r="V2" s="158"/>
      <c r="W2" s="158"/>
      <c r="X2" s="290">
        <f t="shared" ref="X2:Y2" si="1">SUM(X4:X15)</f>
        <v>0.83719143282312936</v>
      </c>
      <c r="Y2" s="291">
        <f t="shared" si="1"/>
        <v>0.50404156037414971</v>
      </c>
      <c r="Z2" s="220"/>
      <c r="AA2" s="226" t="s">
        <v>19</v>
      </c>
      <c r="AB2" s="226" t="s">
        <v>20</v>
      </c>
      <c r="AC2" s="226" t="s">
        <v>21</v>
      </c>
      <c r="AD2" s="226" t="s">
        <v>22</v>
      </c>
      <c r="AE2" s="228"/>
      <c r="AF2" s="220"/>
      <c r="AG2" s="227" t="s">
        <v>24</v>
      </c>
      <c r="AH2" s="227" t="s">
        <v>20</v>
      </c>
      <c r="AI2" s="227" t="s">
        <v>21</v>
      </c>
      <c r="AJ2" s="227" t="s">
        <v>22</v>
      </c>
      <c r="AK2" s="229"/>
      <c r="AL2" s="220"/>
      <c r="AM2" s="220"/>
      <c r="AN2" s="220"/>
      <c r="AO2" s="220"/>
      <c r="AP2" s="220"/>
      <c r="AQ2" s="220"/>
      <c r="AR2" s="220"/>
      <c r="AS2" s="220"/>
      <c r="AT2" s="220"/>
      <c r="AU2" s="220"/>
      <c r="AV2" s="220"/>
      <c r="AW2" s="220"/>
      <c r="AX2" s="220"/>
      <c r="AY2" s="220"/>
      <c r="AZ2" s="220"/>
    </row>
    <row r="3" spans="1:71" ht="15.75" x14ac:dyDescent="0.25">
      <c r="A3" s="157" t="s">
        <v>4</v>
      </c>
      <c r="B3" s="305" t="s">
        <v>5</v>
      </c>
      <c r="C3" s="305"/>
      <c r="D3" s="31" t="str">
        <f>IF(B3="Sol","SI",IF(B3="Lluvia","SI","NO"))</f>
        <v>SI</v>
      </c>
      <c r="E3" s="248"/>
      <c r="F3" s="249"/>
      <c r="G3" s="279" t="s">
        <v>163</v>
      </c>
      <c r="H3" s="248"/>
      <c r="I3" s="248"/>
      <c r="J3" s="245"/>
      <c r="K3" s="257" t="s">
        <v>167</v>
      </c>
      <c r="L3" s="257" t="s">
        <v>168</v>
      </c>
      <c r="M3" s="257" t="s">
        <v>28</v>
      </c>
      <c r="N3" s="257" t="s">
        <v>28</v>
      </c>
      <c r="O3" s="257" t="s">
        <v>169</v>
      </c>
      <c r="P3" s="262" t="s">
        <v>170</v>
      </c>
      <c r="Q3" s="264" t="s">
        <v>171</v>
      </c>
      <c r="R3" s="257" t="s">
        <v>28</v>
      </c>
      <c r="S3" s="257" t="s">
        <v>172</v>
      </c>
      <c r="T3" s="262" t="s">
        <v>173</v>
      </c>
      <c r="U3" s="264" t="s">
        <v>174</v>
      </c>
      <c r="V3" s="262" t="s">
        <v>175</v>
      </c>
      <c r="W3" s="264" t="s">
        <v>176</v>
      </c>
      <c r="X3" s="286" t="s">
        <v>177</v>
      </c>
      <c r="Y3" s="287" t="s">
        <v>178</v>
      </c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5"/>
      <c r="AO3" s="225"/>
      <c r="AP3" s="220"/>
      <c r="AQ3" s="220"/>
      <c r="AR3" s="220"/>
      <c r="AS3" s="220"/>
      <c r="AT3" s="220"/>
      <c r="AU3" s="220"/>
      <c r="AV3" s="220"/>
      <c r="AW3" s="220"/>
      <c r="AX3" s="220"/>
      <c r="AY3" s="220"/>
      <c r="AZ3" s="220"/>
    </row>
    <row r="4" spans="1:71" ht="15.75" x14ac:dyDescent="0.25">
      <c r="A4" s="122"/>
      <c r="B4" s="8" t="s">
        <v>9</v>
      </c>
      <c r="C4" s="9" t="s">
        <v>10</v>
      </c>
      <c r="D4" s="158"/>
      <c r="E4" s="279" t="s">
        <v>163</v>
      </c>
      <c r="F4" s="279" t="s">
        <v>163</v>
      </c>
      <c r="G4" s="279" t="s">
        <v>163</v>
      </c>
      <c r="H4" s="279" t="s">
        <v>163</v>
      </c>
      <c r="I4" s="279" t="s">
        <v>163</v>
      </c>
      <c r="J4" s="245"/>
      <c r="K4" s="246">
        <v>5</v>
      </c>
      <c r="L4" s="246">
        <v>6</v>
      </c>
      <c r="M4" s="259">
        <v>0.45</v>
      </c>
      <c r="N4" s="259">
        <f>IF($N$1=2,M4*$G$1/$E$1,IF($N$1=1,M4*$F$1/$E$1,M4))</f>
        <v>0.45</v>
      </c>
      <c r="O4" s="246" t="s">
        <v>179</v>
      </c>
      <c r="P4" s="249">
        <f>COUNTIF(E3:I4,"IMP")</f>
        <v>0</v>
      </c>
      <c r="Q4" s="251">
        <f>COUNTIF(E8:I9,"IMP")</f>
        <v>0</v>
      </c>
      <c r="R4" s="258">
        <f t="shared" ref="R4:R15" si="2">IF(P4+Q4=0,0,N4)</f>
        <v>0</v>
      </c>
      <c r="S4" s="258">
        <f t="shared" ref="S4:S15" si="3">R4*$N$2/$R$2</f>
        <v>0</v>
      </c>
      <c r="T4" s="263">
        <f t="shared" ref="T4:T9" si="4">IF(S4=0,0,IF(Q4=0,S4*P4/L4,S4*P4/(L4*2)))</f>
        <v>0</v>
      </c>
      <c r="U4" s="265">
        <f t="shared" ref="U4:U9" si="5">IF(S4=0,0,IF(P4=0,S4*Q4/L4,S4*Q4/(L4*2)))</f>
        <v>0</v>
      </c>
      <c r="V4" s="255">
        <f>$G$17</f>
        <v>0.56999999999999995</v>
      </c>
      <c r="W4" s="253">
        <f>$H$17</f>
        <v>0.56999999999999995</v>
      </c>
      <c r="X4" s="288">
        <f>V4*T4</f>
        <v>0</v>
      </c>
      <c r="Y4" s="289">
        <f>W4*U4</f>
        <v>0</v>
      </c>
      <c r="Z4" s="227"/>
      <c r="AA4" s="281">
        <f t="shared" ref="AA4:AA14" si="6">X5</f>
        <v>0</v>
      </c>
      <c r="AB4" s="282">
        <f t="shared" ref="AB4:AB15" si="7">(1-AA4)</f>
        <v>1</v>
      </c>
      <c r="AC4" s="282">
        <f>AA4*AB3*PRODUCT(AB5:AB17)</f>
        <v>0</v>
      </c>
      <c r="AD4" s="282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220"/>
      <c r="AF4" s="227"/>
      <c r="AG4" s="283">
        <f>Y4</f>
        <v>0</v>
      </c>
      <c r="AH4" s="284">
        <f t="shared" ref="AH4:AH15" si="8">(1-AG4)</f>
        <v>1</v>
      </c>
      <c r="AI4" s="284">
        <f>AG4*AH3*PRODUCT(AH5:AH17)</f>
        <v>0</v>
      </c>
      <c r="AJ4" s="284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220"/>
      <c r="AL4" s="227"/>
      <c r="AM4" s="227"/>
      <c r="AN4" s="221"/>
      <c r="AO4" s="220"/>
      <c r="AP4" s="220"/>
      <c r="AQ4" s="220"/>
      <c r="AR4" s="220"/>
      <c r="AS4" s="220"/>
      <c r="AT4" s="220"/>
      <c r="AU4" s="220"/>
      <c r="AV4" s="220"/>
      <c r="AW4" s="220"/>
      <c r="AX4" s="220"/>
      <c r="AY4" s="220"/>
      <c r="AZ4" s="220"/>
      <c r="BI4" s="31">
        <v>0</v>
      </c>
      <c r="BJ4" s="31">
        <v>1</v>
      </c>
      <c r="BK4" s="107">
        <f t="shared" ref="BK4:BK13" si="9">$H$25*H40</f>
        <v>3.312916540316675E-3</v>
      </c>
      <c r="BM4" s="31">
        <v>0</v>
      </c>
      <c r="BN4" s="31">
        <v>0</v>
      </c>
      <c r="BO4" s="107">
        <f>H25*H39</f>
        <v>4.9015589173713285E-4</v>
      </c>
      <c r="BQ4" s="31">
        <v>1</v>
      </c>
      <c r="BR4" s="31">
        <v>0</v>
      </c>
      <c r="BS4" s="107">
        <f>$H$26*H39</f>
        <v>1.2316117976385217E-3</v>
      </c>
    </row>
    <row r="5" spans="1:71" ht="15.75" x14ac:dyDescent="0.25">
      <c r="A5" s="40" t="s">
        <v>30</v>
      </c>
      <c r="B5" s="154">
        <v>352</v>
      </c>
      <c r="C5" s="154">
        <v>352</v>
      </c>
      <c r="E5" s="279" t="s">
        <v>1</v>
      </c>
      <c r="F5" s="279" t="s">
        <v>163</v>
      </c>
      <c r="G5" s="279" t="s">
        <v>144</v>
      </c>
      <c r="H5" s="279" t="s">
        <v>163</v>
      </c>
      <c r="I5" s="279" t="s">
        <v>1</v>
      </c>
      <c r="J5" s="245"/>
      <c r="K5" s="246">
        <v>6</v>
      </c>
      <c r="L5" s="246">
        <v>8</v>
      </c>
      <c r="M5" s="259">
        <v>0.35</v>
      </c>
      <c r="N5" s="259">
        <f t="shared" ref="N5:N15" si="10">IF($N$1=2,M5*$G$1/$E$1,IF($N$1=1,M5*$F$1/$E$1,M5))</f>
        <v>0.35</v>
      </c>
      <c r="O5" s="246" t="s">
        <v>180</v>
      </c>
      <c r="P5" s="249">
        <f>COUNTIF(E5:I6,"IMP")</f>
        <v>0</v>
      </c>
      <c r="Q5" s="251">
        <f>COUNTIF(E10:I11,"IMP")</f>
        <v>0</v>
      </c>
      <c r="R5" s="258">
        <f t="shared" si="2"/>
        <v>0</v>
      </c>
      <c r="S5" s="258">
        <f t="shared" si="3"/>
        <v>0</v>
      </c>
      <c r="T5" s="263">
        <f t="shared" si="4"/>
        <v>0</v>
      </c>
      <c r="U5" s="265">
        <f t="shared" si="5"/>
        <v>0</v>
      </c>
      <c r="V5" s="255">
        <f>$G$17</f>
        <v>0.56999999999999995</v>
      </c>
      <c r="W5" s="253">
        <f>$H$17</f>
        <v>0.56999999999999995</v>
      </c>
      <c r="X5" s="288">
        <f t="shared" ref="X5:Y15" si="11">V5*T5</f>
        <v>0</v>
      </c>
      <c r="Y5" s="289">
        <f t="shared" si="11"/>
        <v>0</v>
      </c>
      <c r="Z5" s="236"/>
      <c r="AA5" s="281">
        <f t="shared" si="6"/>
        <v>0</v>
      </c>
      <c r="AB5" s="282">
        <f t="shared" si="7"/>
        <v>1</v>
      </c>
      <c r="AC5" s="282">
        <f>AA5*PRODUCT(AB3:AB4)*PRODUCT(AB6:AB17)</f>
        <v>0</v>
      </c>
      <c r="AD5" s="282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0</v>
      </c>
      <c r="AE5" s="220"/>
      <c r="AF5" s="234"/>
      <c r="AG5" s="283">
        <f t="shared" ref="AG5:AG15" si="12">Y5</f>
        <v>0</v>
      </c>
      <c r="AH5" s="284">
        <f t="shared" si="8"/>
        <v>1</v>
      </c>
      <c r="AI5" s="284">
        <f>AG5*PRODUCT(AH3:AH4)*PRODUCT(AH6:AH17)</f>
        <v>0</v>
      </c>
      <c r="AJ5" s="284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0</v>
      </c>
      <c r="AK5" s="220"/>
      <c r="AL5" s="237"/>
      <c r="AM5" s="220"/>
      <c r="AN5" s="225"/>
      <c r="AO5" s="239"/>
      <c r="AP5" s="220"/>
      <c r="AQ5" s="220"/>
      <c r="AR5" s="220"/>
      <c r="AS5" s="220"/>
      <c r="AT5" s="220"/>
      <c r="AU5" s="220"/>
      <c r="AV5" s="220"/>
      <c r="AW5" s="220"/>
      <c r="AX5" s="220"/>
      <c r="AY5" s="220"/>
      <c r="AZ5" s="220"/>
      <c r="BI5" s="31">
        <v>0</v>
      </c>
      <c r="BJ5" s="31">
        <v>2</v>
      </c>
      <c r="BK5" s="107">
        <f t="shared" si="9"/>
        <v>1.0240944872970474E-2</v>
      </c>
      <c r="BM5" s="31">
        <v>1</v>
      </c>
      <c r="BN5" s="31">
        <v>1</v>
      </c>
      <c r="BO5" s="107">
        <f>$H$26*H40</f>
        <v>8.3243457121066483E-3</v>
      </c>
      <c r="BQ5" s="31">
        <f>BQ4+1</f>
        <v>2</v>
      </c>
      <c r="BR5" s="31">
        <v>0</v>
      </c>
      <c r="BS5" s="107">
        <f>$H$27*H39</f>
        <v>1.4028311690083171E-3</v>
      </c>
    </row>
    <row r="6" spans="1:71" ht="15.75" x14ac:dyDescent="0.25">
      <c r="A6" s="2" t="s">
        <v>35</v>
      </c>
      <c r="B6" s="269">
        <v>10</v>
      </c>
      <c r="C6" s="270">
        <v>11</v>
      </c>
      <c r="E6" s="248"/>
      <c r="F6" s="279" t="s">
        <v>1</v>
      </c>
      <c r="G6" s="279" t="s">
        <v>163</v>
      </c>
      <c r="H6" s="279" t="s">
        <v>1</v>
      </c>
      <c r="I6" s="248"/>
      <c r="J6" s="245"/>
      <c r="K6" s="246">
        <v>8</v>
      </c>
      <c r="L6" s="246">
        <v>13</v>
      </c>
      <c r="M6" s="259">
        <v>0.45</v>
      </c>
      <c r="N6" s="259">
        <f t="shared" si="10"/>
        <v>0.45</v>
      </c>
      <c r="O6" s="246" t="s">
        <v>37</v>
      </c>
      <c r="P6" s="249">
        <f>COUNTIF(E4:I6,"IMP")</f>
        <v>0</v>
      </c>
      <c r="Q6" s="251">
        <f>COUNTIF(E9:I11,"IMP")</f>
        <v>0</v>
      </c>
      <c r="R6" s="258">
        <f t="shared" si="2"/>
        <v>0</v>
      </c>
      <c r="S6" s="258">
        <f t="shared" si="3"/>
        <v>0</v>
      </c>
      <c r="T6" s="263">
        <f t="shared" si="4"/>
        <v>0</v>
      </c>
      <c r="U6" s="265">
        <f t="shared" si="5"/>
        <v>0</v>
      </c>
      <c r="V6" s="255">
        <f>$G$18</f>
        <v>0.45</v>
      </c>
      <c r="W6" s="253">
        <f>$H$18</f>
        <v>0.45</v>
      </c>
      <c r="X6" s="288">
        <f t="shared" si="11"/>
        <v>0</v>
      </c>
      <c r="Y6" s="289">
        <f t="shared" si="11"/>
        <v>0</v>
      </c>
      <c r="Z6" s="236"/>
      <c r="AA6" s="281">
        <f t="shared" si="6"/>
        <v>0</v>
      </c>
      <c r="AB6" s="282">
        <f t="shared" si="7"/>
        <v>1</v>
      </c>
      <c r="AC6" s="282">
        <f>AA6*PRODUCT(AB3:AB5)*PRODUCT(AB7:AB17)</f>
        <v>0</v>
      </c>
      <c r="AD6" s="282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0</v>
      </c>
      <c r="AE6" s="220"/>
      <c r="AF6" s="234"/>
      <c r="AG6" s="283">
        <f t="shared" si="12"/>
        <v>0</v>
      </c>
      <c r="AH6" s="284">
        <f t="shared" si="8"/>
        <v>1</v>
      </c>
      <c r="AI6" s="284">
        <f>AG6*PRODUCT(AH3:AH5)*PRODUCT(AH7:AH17)</f>
        <v>0</v>
      </c>
      <c r="AJ6" s="284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0</v>
      </c>
      <c r="AK6" s="220"/>
      <c r="AL6" s="237"/>
      <c r="AM6" s="220"/>
      <c r="AN6" s="225"/>
      <c r="AO6" s="239"/>
      <c r="AP6" s="220"/>
      <c r="AQ6" s="220"/>
      <c r="AR6" s="220"/>
      <c r="AS6" s="220"/>
      <c r="AT6" s="220"/>
      <c r="AU6" s="220"/>
      <c r="AV6" s="220"/>
      <c r="AW6" s="220"/>
      <c r="AX6" s="220"/>
      <c r="AY6" s="220"/>
      <c r="AZ6" s="220"/>
      <c r="BI6" s="31">
        <v>0</v>
      </c>
      <c r="BJ6" s="31">
        <v>3</v>
      </c>
      <c r="BK6" s="107">
        <f t="shared" si="9"/>
        <v>1.9154551098705209E-2</v>
      </c>
      <c r="BM6" s="31">
        <f>BI14+1</f>
        <v>2</v>
      </c>
      <c r="BN6" s="31">
        <v>2</v>
      </c>
      <c r="BO6" s="107">
        <f>$H$27*H41</f>
        <v>2.9309688835900922E-2</v>
      </c>
      <c r="BQ6" s="31">
        <f>BM5+1</f>
        <v>2</v>
      </c>
      <c r="BR6" s="31">
        <v>1</v>
      </c>
      <c r="BS6" s="107">
        <f>$H$27*H40</f>
        <v>9.48160097924893E-3</v>
      </c>
    </row>
    <row r="7" spans="1:71" ht="15.75" x14ac:dyDescent="0.25">
      <c r="A7" s="5" t="s">
        <v>40</v>
      </c>
      <c r="B7" s="269">
        <v>10</v>
      </c>
      <c r="C7" s="270">
        <v>12</v>
      </c>
      <c r="E7" s="247"/>
      <c r="F7" s="247"/>
      <c r="G7" s="247"/>
      <c r="H7" s="247"/>
      <c r="I7" s="247"/>
      <c r="J7" s="245"/>
      <c r="K7" s="246">
        <v>9</v>
      </c>
      <c r="L7" s="246">
        <v>8</v>
      </c>
      <c r="M7" s="259">
        <v>0.02</v>
      </c>
      <c r="N7" s="259">
        <f t="shared" si="10"/>
        <v>0.02</v>
      </c>
      <c r="O7" s="246" t="s">
        <v>181</v>
      </c>
      <c r="P7" s="249">
        <f>COUNTIF(E9:I9,"IMP")+COUNTIF(F10:H10,"IMP")</f>
        <v>0</v>
      </c>
      <c r="Q7" s="251">
        <f>COUNTIF(E4:I4,"IMP")+COUNTIF(F5:H5,"IMP")</f>
        <v>0</v>
      </c>
      <c r="R7" s="258">
        <f t="shared" si="2"/>
        <v>0</v>
      </c>
      <c r="S7" s="258">
        <f t="shared" si="3"/>
        <v>0</v>
      </c>
      <c r="T7" s="263">
        <f t="shared" si="4"/>
        <v>0</v>
      </c>
      <c r="U7" s="265">
        <f t="shared" si="5"/>
        <v>0</v>
      </c>
      <c r="V7" s="255">
        <f>$G$18</f>
        <v>0.45</v>
      </c>
      <c r="W7" s="253">
        <f>$H$18</f>
        <v>0.45</v>
      </c>
      <c r="X7" s="288">
        <f t="shared" si="11"/>
        <v>0</v>
      </c>
      <c r="Y7" s="289">
        <f t="shared" si="11"/>
        <v>0</v>
      </c>
      <c r="Z7" s="236"/>
      <c r="AA7" s="281">
        <f t="shared" si="6"/>
        <v>0.30323660714285722</v>
      </c>
      <c r="AB7" s="282">
        <f t="shared" si="7"/>
        <v>0.69676339285714284</v>
      </c>
      <c r="AC7" s="282">
        <f>AA7*PRODUCT(AB3:AB6)*PRODUCT(AB8:AB17)</f>
        <v>0.16651377767806427</v>
      </c>
      <c r="AD7" s="282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0.11340878576683398</v>
      </c>
      <c r="AE7" s="220"/>
      <c r="AF7" s="234"/>
      <c r="AG7" s="283">
        <f t="shared" si="12"/>
        <v>0</v>
      </c>
      <c r="AH7" s="284">
        <f t="shared" si="8"/>
        <v>1</v>
      </c>
      <c r="AI7" s="284">
        <f>AG7*PRODUCT(AH3:AH6)*PRODUCT(AH8:AH17)</f>
        <v>0</v>
      </c>
      <c r="AJ7" s="284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0</v>
      </c>
      <c r="AK7" s="220"/>
      <c r="AL7" s="237"/>
      <c r="AM7" s="220"/>
      <c r="AN7" s="225"/>
      <c r="AO7" s="239"/>
      <c r="AP7" s="220"/>
      <c r="AQ7" s="220"/>
      <c r="AR7" s="220"/>
      <c r="AS7" s="220"/>
      <c r="AT7" s="220"/>
      <c r="AU7" s="220"/>
      <c r="AV7" s="220"/>
      <c r="AW7" s="220"/>
      <c r="AX7" s="220"/>
      <c r="AY7" s="220"/>
      <c r="AZ7" s="220"/>
      <c r="BI7" s="31">
        <v>0</v>
      </c>
      <c r="BJ7" s="31">
        <v>4</v>
      </c>
      <c r="BK7" s="107">
        <f t="shared" si="9"/>
        <v>2.416410198603625E-2</v>
      </c>
      <c r="BM7" s="31">
        <f>BI23+1</f>
        <v>3</v>
      </c>
      <c r="BN7" s="31">
        <v>3</v>
      </c>
      <c r="BO7" s="107">
        <f>$H$28*H42</f>
        <v>3.7787784332545628E-2</v>
      </c>
      <c r="BQ7" s="31">
        <f>BQ5+1</f>
        <v>3</v>
      </c>
      <c r="BR7" s="31">
        <v>0</v>
      </c>
      <c r="BS7" s="107">
        <f>$H$28*H39</f>
        <v>9.6697150618901134E-4</v>
      </c>
    </row>
    <row r="8" spans="1:71" ht="15.75" x14ac:dyDescent="0.25">
      <c r="A8" s="5" t="s">
        <v>44</v>
      </c>
      <c r="B8" s="269">
        <v>10</v>
      </c>
      <c r="C8" s="270">
        <v>12</v>
      </c>
      <c r="E8" s="250"/>
      <c r="F8" s="251"/>
      <c r="G8" s="280" t="s">
        <v>163</v>
      </c>
      <c r="H8" s="250"/>
      <c r="I8" s="250"/>
      <c r="J8" s="245"/>
      <c r="K8" s="246">
        <v>15</v>
      </c>
      <c r="L8" s="246">
        <v>8</v>
      </c>
      <c r="M8" s="259">
        <v>0.5</v>
      </c>
      <c r="N8" s="259">
        <f t="shared" si="10"/>
        <v>0.5</v>
      </c>
      <c r="O8" s="246" t="s">
        <v>182</v>
      </c>
      <c r="P8" s="249">
        <f>COUNTIF(E5:I6,"RAP")</f>
        <v>4</v>
      </c>
      <c r="Q8" s="251">
        <f>COUNTIF(E10:I11,"RAP")</f>
        <v>0</v>
      </c>
      <c r="R8" s="258">
        <f t="shared" si="2"/>
        <v>0.5</v>
      </c>
      <c r="S8" s="258">
        <f t="shared" si="3"/>
        <v>1.0639880952380956</v>
      </c>
      <c r="T8" s="263">
        <f t="shared" si="4"/>
        <v>0.53199404761904778</v>
      </c>
      <c r="U8" s="265">
        <f t="shared" si="5"/>
        <v>0</v>
      </c>
      <c r="V8" s="255">
        <f>$G$17</f>
        <v>0.56999999999999995</v>
      </c>
      <c r="W8" s="253">
        <f>$H$17</f>
        <v>0.56999999999999995</v>
      </c>
      <c r="X8" s="288">
        <f t="shared" si="11"/>
        <v>0.30323660714285722</v>
      </c>
      <c r="Y8" s="289">
        <f t="shared" si="11"/>
        <v>0</v>
      </c>
      <c r="Z8" s="236"/>
      <c r="AA8" s="281">
        <f t="shared" si="6"/>
        <v>0.30323660714285722</v>
      </c>
      <c r="AB8" s="282">
        <f t="shared" si="7"/>
        <v>0.69676339285714284</v>
      </c>
      <c r="AC8" s="282">
        <f>AA8*PRODUCT(AB3:AB7)*PRODUCT(AB9:AB17)</f>
        <v>0.16651377767806425</v>
      </c>
      <c r="AD8" s="282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4.0940752136960419E-2</v>
      </c>
      <c r="AE8" s="220"/>
      <c r="AF8" s="234"/>
      <c r="AG8" s="283">
        <f t="shared" si="12"/>
        <v>0</v>
      </c>
      <c r="AH8" s="284">
        <f t="shared" si="8"/>
        <v>1</v>
      </c>
      <c r="AI8" s="284">
        <f>AG8*PRODUCT(AH3:AH7)*PRODUCT(AH9:AH17)</f>
        <v>0</v>
      </c>
      <c r="AJ8" s="284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0</v>
      </c>
      <c r="AK8" s="220"/>
      <c r="AL8" s="237"/>
      <c r="AM8" s="220"/>
      <c r="AN8" s="225"/>
      <c r="AO8" s="239"/>
      <c r="AP8" s="220"/>
      <c r="AQ8" s="220"/>
      <c r="AR8" s="220"/>
      <c r="AS8" s="220"/>
      <c r="AT8" s="220"/>
      <c r="AU8" s="220"/>
      <c r="AV8" s="220"/>
      <c r="AW8" s="220"/>
      <c r="AX8" s="220"/>
      <c r="AY8" s="220"/>
      <c r="AZ8" s="220"/>
      <c r="BI8" s="31">
        <v>0</v>
      </c>
      <c r="BJ8" s="31">
        <v>5</v>
      </c>
      <c r="BK8" s="107">
        <f t="shared" si="9"/>
        <v>2.1692666417673191E-2</v>
      </c>
      <c r="BM8" s="31">
        <f>BI31+1</f>
        <v>4</v>
      </c>
      <c r="BN8" s="31">
        <v>4</v>
      </c>
      <c r="BO8" s="107">
        <f>$H$29*H43</f>
        <v>2.2201567808692185E-2</v>
      </c>
      <c r="BQ8" s="31">
        <f>BQ6+1</f>
        <v>3</v>
      </c>
      <c r="BR8" s="31">
        <v>1</v>
      </c>
      <c r="BS8" s="107">
        <f>$H$28*H40</f>
        <v>6.535667429223754E-3</v>
      </c>
    </row>
    <row r="9" spans="1:71" ht="15.75" x14ac:dyDescent="0.25">
      <c r="A9" s="5" t="s">
        <v>47</v>
      </c>
      <c r="B9" s="269">
        <v>10</v>
      </c>
      <c r="C9" s="270">
        <v>12</v>
      </c>
      <c r="E9" s="280" t="s">
        <v>163</v>
      </c>
      <c r="F9" s="280" t="s">
        <v>163</v>
      </c>
      <c r="G9" s="280" t="s">
        <v>163</v>
      </c>
      <c r="H9" s="280" t="s">
        <v>163</v>
      </c>
      <c r="I9" s="280" t="s">
        <v>163</v>
      </c>
      <c r="J9" s="245"/>
      <c r="K9" s="246">
        <v>16</v>
      </c>
      <c r="L9" s="246">
        <v>8</v>
      </c>
      <c r="M9" s="259">
        <v>0.5</v>
      </c>
      <c r="N9" s="259">
        <f t="shared" si="10"/>
        <v>0.5</v>
      </c>
      <c r="O9" s="246" t="s">
        <v>183</v>
      </c>
      <c r="P9" s="249">
        <f>COUNTIF(E5:I6,"RAP")</f>
        <v>4</v>
      </c>
      <c r="Q9" s="251">
        <f>COUNTIF(E10:I11,"RAP")</f>
        <v>0</v>
      </c>
      <c r="R9" s="258">
        <f t="shared" si="2"/>
        <v>0.5</v>
      </c>
      <c r="S9" s="258">
        <f t="shared" si="3"/>
        <v>1.0639880952380956</v>
      </c>
      <c r="T9" s="263">
        <f t="shared" si="4"/>
        <v>0.53199404761904778</v>
      </c>
      <c r="U9" s="265">
        <f t="shared" si="5"/>
        <v>0</v>
      </c>
      <c r="V9" s="255">
        <f>$G$17</f>
        <v>0.56999999999999995</v>
      </c>
      <c r="W9" s="253">
        <f>$H$17</f>
        <v>0.56999999999999995</v>
      </c>
      <c r="X9" s="288">
        <f t="shared" si="11"/>
        <v>0.30323660714285722</v>
      </c>
      <c r="Y9" s="289">
        <f t="shared" si="11"/>
        <v>0</v>
      </c>
      <c r="Z9" s="236"/>
      <c r="AA9" s="281">
        <f t="shared" si="6"/>
        <v>6.8399234693877556E-2</v>
      </c>
      <c r="AB9" s="282">
        <f t="shared" si="7"/>
        <v>0.93160076530612246</v>
      </c>
      <c r="AC9" s="282">
        <f>AA9*PRODUCT(AB3:AB8)*PRODUCT(AB10:AB17)</f>
        <v>2.8091522398663849E-2</v>
      </c>
      <c r="AD9" s="282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4.8443512948613508E-3</v>
      </c>
      <c r="AE9" s="220"/>
      <c r="AF9" s="234"/>
      <c r="AG9" s="283">
        <f t="shared" si="12"/>
        <v>0</v>
      </c>
      <c r="AH9" s="284">
        <f t="shared" si="8"/>
        <v>1</v>
      </c>
      <c r="AI9" s="284">
        <f>AG9*PRODUCT(AH3:AH8)*PRODUCT(AH10:AH17)</f>
        <v>0</v>
      </c>
      <c r="AJ9" s="284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0</v>
      </c>
      <c r="AK9" s="220"/>
      <c r="AL9" s="237"/>
      <c r="AM9" s="220"/>
      <c r="AN9" s="225"/>
      <c r="AO9" s="239"/>
      <c r="AP9" s="220"/>
      <c r="AQ9" s="220"/>
      <c r="AR9" s="220"/>
      <c r="AS9" s="220"/>
      <c r="AT9" s="220"/>
      <c r="AU9" s="220"/>
      <c r="AV9" s="220"/>
      <c r="AW9" s="220"/>
      <c r="AX9" s="220"/>
      <c r="AY9" s="220"/>
      <c r="AZ9" s="220"/>
      <c r="BI9" s="31">
        <v>0</v>
      </c>
      <c r="BJ9" s="31">
        <v>6</v>
      </c>
      <c r="BK9" s="107">
        <f t="shared" si="9"/>
        <v>1.4245566223877853E-2</v>
      </c>
      <c r="BM9" s="31">
        <f>BI38+1</f>
        <v>5</v>
      </c>
      <c r="BN9" s="31">
        <v>5</v>
      </c>
      <c r="BO9" s="107">
        <f>$H$30*H44</f>
        <v>6.6139918370802606E-3</v>
      </c>
      <c r="BQ9" s="31">
        <f>BM6+1</f>
        <v>3</v>
      </c>
      <c r="BR9" s="31">
        <v>2</v>
      </c>
      <c r="BS9" s="107">
        <f>$H$28*H41</f>
        <v>2.0203168125796277E-2</v>
      </c>
    </row>
    <row r="10" spans="1:71" ht="15.75" x14ac:dyDescent="0.25">
      <c r="A10" s="6" t="s">
        <v>50</v>
      </c>
      <c r="B10" s="269">
        <v>9</v>
      </c>
      <c r="C10" s="270">
        <v>14</v>
      </c>
      <c r="E10" s="280" t="s">
        <v>163</v>
      </c>
      <c r="F10" s="280" t="s">
        <v>144</v>
      </c>
      <c r="G10" s="280" t="s">
        <v>163</v>
      </c>
      <c r="H10" s="280" t="s">
        <v>144</v>
      </c>
      <c r="I10" s="280" t="s">
        <v>163</v>
      </c>
      <c r="J10" s="245"/>
      <c r="K10" s="246">
        <v>18</v>
      </c>
      <c r="L10" s="246" t="s">
        <v>184</v>
      </c>
      <c r="M10" s="259">
        <v>0.15</v>
      </c>
      <c r="N10" s="259">
        <f t="shared" si="10"/>
        <v>0.15</v>
      </c>
      <c r="O10" s="246" t="s">
        <v>185</v>
      </c>
      <c r="P10" s="249">
        <v>1</v>
      </c>
      <c r="Q10" s="251">
        <v>1</v>
      </c>
      <c r="R10" s="258">
        <f t="shared" si="2"/>
        <v>0.15</v>
      </c>
      <c r="S10" s="258">
        <f t="shared" si="3"/>
        <v>0.3191964285714286</v>
      </c>
      <c r="T10" s="263">
        <f>S10*G13</f>
        <v>0.15199829931972789</v>
      </c>
      <c r="U10" s="265">
        <f>S10*G14</f>
        <v>0.16719812925170072</v>
      </c>
      <c r="V10" s="255">
        <f>$G$18</f>
        <v>0.45</v>
      </c>
      <c r="W10" s="253">
        <f>$H$18</f>
        <v>0.45</v>
      </c>
      <c r="X10" s="288">
        <f t="shared" si="11"/>
        <v>6.8399234693877556E-2</v>
      </c>
      <c r="Y10" s="289">
        <f t="shared" si="11"/>
        <v>7.5239158163265318E-2</v>
      </c>
      <c r="Z10" s="236"/>
      <c r="AA10" s="281">
        <f t="shared" si="6"/>
        <v>3.4959608843537417E-2</v>
      </c>
      <c r="AB10" s="282">
        <f t="shared" si="7"/>
        <v>0.96504039115646256</v>
      </c>
      <c r="AC10" s="282">
        <f>AA10*PRODUCT(AB3:AB9)*PRODUCT(AB11:AB17)</f>
        <v>1.3860373838941585E-2</v>
      </c>
      <c r="AD10" s="282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1.888099104890299E-3</v>
      </c>
      <c r="AE10" s="220"/>
      <c r="AF10" s="234"/>
      <c r="AG10" s="283">
        <f t="shared" si="12"/>
        <v>7.5239158163265318E-2</v>
      </c>
      <c r="AH10" s="284">
        <f t="shared" si="8"/>
        <v>0.92476084183673468</v>
      </c>
      <c r="AI10" s="284">
        <f>AG10*PRODUCT(AH3:AH9)*PRODUCT(AH11:AH17)</f>
        <v>4.7122411477524759E-2</v>
      </c>
      <c r="AJ10" s="284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2.4143163269861885E-2</v>
      </c>
      <c r="AK10" s="220"/>
      <c r="AL10" s="237"/>
      <c r="AM10" s="220"/>
      <c r="AN10" s="225"/>
      <c r="AO10" s="239"/>
      <c r="AP10" s="220"/>
      <c r="AQ10" s="220"/>
      <c r="AR10" s="220"/>
      <c r="AS10" s="220"/>
      <c r="AT10" s="220"/>
      <c r="AU10" s="220"/>
      <c r="AV10" s="220"/>
      <c r="AW10" s="220"/>
      <c r="AX10" s="220"/>
      <c r="AY10" s="220"/>
      <c r="AZ10" s="220"/>
      <c r="BI10" s="31">
        <v>0</v>
      </c>
      <c r="BJ10" s="31">
        <v>7</v>
      </c>
      <c r="BK10" s="107">
        <f t="shared" si="9"/>
        <v>6.9249772049390533E-3</v>
      </c>
      <c r="BM10" s="31">
        <f>BI44+1</f>
        <v>6</v>
      </c>
      <c r="BN10" s="31">
        <v>6</v>
      </c>
      <c r="BO10" s="107">
        <f>$H$31*H45</f>
        <v>1.055219911248025E-3</v>
      </c>
      <c r="BQ10" s="31">
        <f>BQ7+1</f>
        <v>4</v>
      </c>
      <c r="BR10" s="31">
        <v>0</v>
      </c>
      <c r="BS10" s="107">
        <f>$H$29*H39</f>
        <v>4.5034693503282153E-4</v>
      </c>
    </row>
    <row r="11" spans="1:71" ht="15.75" x14ac:dyDescent="0.25">
      <c r="A11" s="6" t="s">
        <v>53</v>
      </c>
      <c r="B11" s="269">
        <v>9</v>
      </c>
      <c r="C11" s="270">
        <v>14</v>
      </c>
      <c r="E11" s="250"/>
      <c r="F11" s="280" t="s">
        <v>144</v>
      </c>
      <c r="G11" s="280" t="s">
        <v>163</v>
      </c>
      <c r="H11" s="280" t="s">
        <v>163</v>
      </c>
      <c r="I11" s="250"/>
      <c r="J11" s="245"/>
      <c r="K11" s="246">
        <v>19</v>
      </c>
      <c r="L11" s="246" t="s">
        <v>184</v>
      </c>
      <c r="M11" s="259">
        <v>0.23</v>
      </c>
      <c r="N11" s="259">
        <f t="shared" si="10"/>
        <v>0.23</v>
      </c>
      <c r="O11" s="246" t="s">
        <v>186</v>
      </c>
      <c r="P11" s="249">
        <f>COUNTIF(E4:I6,"CAB")</f>
        <v>1</v>
      </c>
      <c r="Q11" s="251">
        <f>COUNTIF(E9:I11,"CAB")</f>
        <v>3</v>
      </c>
      <c r="R11" s="258">
        <f t="shared" si="2"/>
        <v>0.23</v>
      </c>
      <c r="S11" s="258">
        <f t="shared" si="3"/>
        <v>0.4894345238095239</v>
      </c>
      <c r="T11" s="263">
        <f>IF(P11&gt;0,S11*G13,0)</f>
        <v>0.23306405895691612</v>
      </c>
      <c r="U11" s="265">
        <f>IF(Q11&gt;0,S11*G14,0)</f>
        <v>0.25637046485260778</v>
      </c>
      <c r="V11" s="255">
        <f>IF(P11-Q11&gt;2,0.9,IF(P11-Q11&gt;1,0.75,IF(P11-Q11&gt;0,0.5,0.15)))</f>
        <v>0.15</v>
      </c>
      <c r="W11" s="253">
        <f>IF(Q11-P11&gt;2,0.9,IF(Q11-P11&gt;1,0.75,IF(Q11-P11&gt;0,0.5,0.15)))</f>
        <v>0.75</v>
      </c>
      <c r="X11" s="288">
        <f t="shared" si="11"/>
        <v>3.4959608843537417E-2</v>
      </c>
      <c r="Y11" s="289">
        <f t="shared" si="11"/>
        <v>0.19227784863945585</v>
      </c>
      <c r="Z11" s="236"/>
      <c r="AA11" s="281">
        <f t="shared" si="6"/>
        <v>0</v>
      </c>
      <c r="AB11" s="282">
        <f t="shared" si="7"/>
        <v>1</v>
      </c>
      <c r="AC11" s="282">
        <f>AA11*PRODUCT(AB3:AB10)*PRODUCT(AB12:AB17)</f>
        <v>0</v>
      </c>
      <c r="AD11" s="282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0</v>
      </c>
      <c r="AE11" s="220"/>
      <c r="AF11" s="234"/>
      <c r="AG11" s="283">
        <f t="shared" si="12"/>
        <v>0.19227784863945585</v>
      </c>
      <c r="AH11" s="284">
        <f t="shared" si="8"/>
        <v>0.80772215136054415</v>
      </c>
      <c r="AI11" s="284">
        <f>AG11*PRODUCT(AH3:AH10)*PRODUCT(AH12:AH17)</f>
        <v>0.1378733322509218</v>
      </c>
      <c r="AJ11" s="284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3.7818712497467141E-2</v>
      </c>
      <c r="AK11" s="220"/>
      <c r="AL11" s="237"/>
      <c r="AM11" s="220"/>
      <c r="AN11" s="225"/>
      <c r="AO11" s="239"/>
      <c r="AP11" s="220"/>
      <c r="AQ11" s="220"/>
      <c r="AR11" s="220"/>
      <c r="AS11" s="220"/>
      <c r="AT11" s="220"/>
      <c r="AU11" s="220"/>
      <c r="AV11" s="220"/>
      <c r="AW11" s="220"/>
      <c r="AX11" s="220"/>
      <c r="AY11" s="220"/>
      <c r="AZ11" s="220"/>
      <c r="BI11" s="31">
        <v>0</v>
      </c>
      <c r="BJ11" s="31">
        <v>8</v>
      </c>
      <c r="BK11" s="107">
        <f t="shared" si="9"/>
        <v>2.4917902334399395E-3</v>
      </c>
      <c r="BM11" s="31">
        <f>BI50+1</f>
        <v>7</v>
      </c>
      <c r="BN11" s="31">
        <v>7</v>
      </c>
      <c r="BO11" s="107">
        <f>$H$32*H46</f>
        <v>9.2317781970380731E-5</v>
      </c>
      <c r="BQ11" s="31">
        <f>BQ8+1</f>
        <v>4</v>
      </c>
      <c r="BR11" s="31">
        <v>1</v>
      </c>
      <c r="BS11" s="107">
        <f>$H$29*H40</f>
        <v>3.0438516298632642E-3</v>
      </c>
    </row>
    <row r="12" spans="1:71" ht="15.75" x14ac:dyDescent="0.25">
      <c r="A12" s="6" t="s">
        <v>57</v>
      </c>
      <c r="B12" s="269">
        <v>9</v>
      </c>
      <c r="C12" s="270">
        <v>14</v>
      </c>
      <c r="E12" s="247"/>
      <c r="F12" s="247"/>
      <c r="G12" s="247"/>
      <c r="H12" s="247"/>
      <c r="I12" s="247"/>
      <c r="J12" s="245"/>
      <c r="K12" s="246">
        <v>25</v>
      </c>
      <c r="L12" s="246">
        <v>5</v>
      </c>
      <c r="M12" s="259">
        <v>2.5000000000000001E-2</v>
      </c>
      <c r="N12" s="259">
        <f t="shared" si="10"/>
        <v>2.5000000000000001E-2</v>
      </c>
      <c r="O12" s="246" t="s">
        <v>42</v>
      </c>
      <c r="P12" s="249">
        <f>COUNTIF(F6:H6,"IMP")+COUNTIF(E5,"IMP")+COUNTIF(I5,"IMP")</f>
        <v>0</v>
      </c>
      <c r="Q12" s="251">
        <f>COUNTIF(F11:H11,"IMP")+COUNTIF(E10,"IMP")+COUNTIF(I10,"IMP")</f>
        <v>0</v>
      </c>
      <c r="R12" s="258">
        <f t="shared" si="2"/>
        <v>0</v>
      </c>
      <c r="S12" s="258">
        <f t="shared" si="3"/>
        <v>0</v>
      </c>
      <c r="T12" s="263">
        <f>IF(S12=0,0,IF(Q12=0,S12*P12/L12,S12*P12/(L12*2)))</f>
        <v>0</v>
      </c>
      <c r="U12" s="265">
        <f>IF(S12=0,0,IF(P12=0,S12*Q12/L12,S12*Q12/(L12*2)))</f>
        <v>0</v>
      </c>
      <c r="V12" s="255">
        <f>$G$18</f>
        <v>0.45</v>
      </c>
      <c r="W12" s="253">
        <f>$H$18</f>
        <v>0.45</v>
      </c>
      <c r="X12" s="288">
        <f t="shared" si="11"/>
        <v>0</v>
      </c>
      <c r="Y12" s="289">
        <f t="shared" si="11"/>
        <v>0</v>
      </c>
      <c r="Z12" s="236"/>
      <c r="AA12" s="281">
        <f t="shared" si="6"/>
        <v>5.4582589285714286E-2</v>
      </c>
      <c r="AB12" s="282">
        <f t="shared" si="7"/>
        <v>0.94541741071428576</v>
      </c>
      <c r="AC12" s="282">
        <f>AA12*PRODUCT(AB3:AB11)*PRODUCT(AB13:AB17)</f>
        <v>2.2089424848711934E-2</v>
      </c>
      <c r="AD12" s="282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1.7337759818760986E-3</v>
      </c>
      <c r="AE12" s="220"/>
      <c r="AF12" s="234"/>
      <c r="AG12" s="283">
        <f t="shared" si="12"/>
        <v>0</v>
      </c>
      <c r="AH12" s="284">
        <f t="shared" si="8"/>
        <v>1</v>
      </c>
      <c r="AI12" s="284">
        <f>AG12*PRODUCT(AH3:AH11)*PRODUCT(AH13:AH17)</f>
        <v>0</v>
      </c>
      <c r="AJ12" s="284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0</v>
      </c>
      <c r="AK12" s="220"/>
      <c r="AL12" s="237"/>
      <c r="AM12" s="220"/>
      <c r="AN12" s="225"/>
      <c r="AO12" s="239"/>
      <c r="AP12" s="220"/>
      <c r="AQ12" s="220"/>
      <c r="AR12" s="220"/>
      <c r="AS12" s="220"/>
      <c r="AT12" s="220"/>
      <c r="AU12" s="220"/>
      <c r="AV12" s="220"/>
      <c r="AW12" s="220"/>
      <c r="AX12" s="220"/>
      <c r="AY12" s="220"/>
      <c r="AZ12" s="220"/>
      <c r="BI12" s="31">
        <v>0</v>
      </c>
      <c r="BJ12" s="31">
        <v>9</v>
      </c>
      <c r="BK12" s="107">
        <f t="shared" si="9"/>
        <v>6.5610770189654757E-4</v>
      </c>
      <c r="BM12" s="31">
        <f>BI54+1</f>
        <v>8</v>
      </c>
      <c r="BN12" s="31">
        <v>8</v>
      </c>
      <c r="BO12" s="107">
        <f>$H$33*H47</f>
        <v>4.4289070536354976E-6</v>
      </c>
      <c r="BQ12" s="31">
        <f>BQ9+1</f>
        <v>4</v>
      </c>
      <c r="BR12" s="31">
        <v>2</v>
      </c>
      <c r="BS12" s="107">
        <f>$H$29*H41</f>
        <v>9.4092067710076863E-3</v>
      </c>
    </row>
    <row r="13" spans="1:71" ht="15.75" x14ac:dyDescent="0.25">
      <c r="A13" s="7" t="s">
        <v>60</v>
      </c>
      <c r="B13" s="269">
        <v>9</v>
      </c>
      <c r="C13" s="270">
        <v>9</v>
      </c>
      <c r="E13" s="247"/>
      <c r="F13" s="247" t="s">
        <v>164</v>
      </c>
      <c r="G13" s="254">
        <f>B22</f>
        <v>0.47619047619047616</v>
      </c>
      <c r="H13" s="247"/>
      <c r="I13" s="247"/>
      <c r="J13" s="245"/>
      <c r="K13" s="246">
        <v>37</v>
      </c>
      <c r="L13" s="246">
        <v>2</v>
      </c>
      <c r="M13" s="259">
        <v>0.18</v>
      </c>
      <c r="N13" s="259">
        <f t="shared" si="10"/>
        <v>0.18</v>
      </c>
      <c r="O13" s="246" t="s">
        <v>187</v>
      </c>
      <c r="P13" s="249">
        <f>COUNTIF(E5:I6,"CAB")</f>
        <v>1</v>
      </c>
      <c r="Q13" s="251">
        <f>COUNTIF(E10:I11,"CAB")</f>
        <v>3</v>
      </c>
      <c r="R13" s="258">
        <f t="shared" si="2"/>
        <v>0.18</v>
      </c>
      <c r="S13" s="258">
        <f t="shared" si="3"/>
        <v>0.38303571428571431</v>
      </c>
      <c r="T13" s="263">
        <f>IF((Q13+P13)=0,0,S13*P13/(Q13+P13))</f>
        <v>9.5758928571428578E-2</v>
      </c>
      <c r="U13" s="265">
        <f>IF(P13+Q13=0,0,S13*Q13/(Q13+P13))</f>
        <v>0.28727678571428572</v>
      </c>
      <c r="V13" s="255">
        <f>$G$17</f>
        <v>0.56999999999999995</v>
      </c>
      <c r="W13" s="253">
        <f>$H$17</f>
        <v>0.56999999999999995</v>
      </c>
      <c r="X13" s="288">
        <f t="shared" si="11"/>
        <v>5.4582589285714286E-2</v>
      </c>
      <c r="Y13" s="289">
        <f t="shared" si="11"/>
        <v>0.16374776785714285</v>
      </c>
      <c r="Z13" s="236"/>
      <c r="AA13" s="281">
        <f t="shared" si="6"/>
        <v>7.2776785714285724E-2</v>
      </c>
      <c r="AB13" s="282">
        <f t="shared" si="7"/>
        <v>0.9272232142857143</v>
      </c>
      <c r="AC13" s="282">
        <f>AA13*PRODUCT(AB3:AB12)*PRODUCT(AB14:AB17)</f>
        <v>3.0030491792241279E-2</v>
      </c>
      <c r="AD13" s="282">
        <f>AA13*AA14*PRODUCT(AB3:AB12)*PRODUCT(AB15:AB17)+AA13*AA15*PRODUCT(AB3:AB12)*AB14*PRODUCT(AB16:AB17)+AA13*AA16*PRODUCT(AB3:AB12)*AB14*AB15*AB17+AA13*AA17*PRODUCT(AB3:AB12)*AB14*AB15*AB16</f>
        <v>0</v>
      </c>
      <c r="AE13" s="220"/>
      <c r="AF13" s="234"/>
      <c r="AG13" s="283">
        <f t="shared" si="12"/>
        <v>0.16374776785714285</v>
      </c>
      <c r="AH13" s="284">
        <f t="shared" si="8"/>
        <v>0.83625223214285715</v>
      </c>
      <c r="AI13" s="284">
        <f>AG13*PRODUCT(AH3:AH12)*PRODUCT(AH14:AH17)</f>
        <v>0.11340993716565342</v>
      </c>
      <c r="AJ13" s="284">
        <f>AG13*AG14*PRODUCT(AH3:AH12)*PRODUCT(AH15:AH17)+AG13*AG15*PRODUCT(AH3:AH12)*AH14*PRODUCT(AH16:AH17)+AG13*AG16*PRODUCT(AH3:AH12)*AH14*AH15*AH17+AG13*AG17*PRODUCT(AH3:AH12)*AH14*AH15*AH16</f>
        <v>8.9014280141093433E-3</v>
      </c>
      <c r="AK13" s="220"/>
      <c r="AL13" s="237"/>
      <c r="AM13" s="220"/>
      <c r="AN13" s="225"/>
      <c r="AO13" s="239"/>
      <c r="AP13" s="220"/>
      <c r="AQ13" s="220"/>
      <c r="AR13" s="220"/>
      <c r="AS13" s="220"/>
      <c r="AT13" s="220"/>
      <c r="AU13" s="220"/>
      <c r="AV13" s="220"/>
      <c r="AW13" s="220"/>
      <c r="AX13" s="220"/>
      <c r="AY13" s="220"/>
      <c r="AZ13" s="220"/>
      <c r="BI13" s="31">
        <v>0</v>
      </c>
      <c r="BJ13" s="31">
        <v>10</v>
      </c>
      <c r="BK13" s="107">
        <f t="shared" si="9"/>
        <v>1.2319217542053383E-4</v>
      </c>
      <c r="BM13" s="31">
        <f>BI57+1</f>
        <v>9</v>
      </c>
      <c r="BN13" s="31">
        <v>9</v>
      </c>
      <c r="BO13" s="107">
        <f>$H$34*H48</f>
        <v>1.1383620991592577E-7</v>
      </c>
      <c r="BQ13" s="31">
        <f>BM7+1</f>
        <v>4</v>
      </c>
      <c r="BR13" s="31">
        <v>3</v>
      </c>
      <c r="BS13" s="107">
        <f>$H$29*H42</f>
        <v>1.7598877264659349E-2</v>
      </c>
    </row>
    <row r="14" spans="1:71" ht="15.75" x14ac:dyDescent="0.25">
      <c r="A14" s="7" t="s">
        <v>63</v>
      </c>
      <c r="B14" s="269">
        <v>4</v>
      </c>
      <c r="C14" s="270">
        <v>4</v>
      </c>
      <c r="E14" s="247"/>
      <c r="F14" s="247" t="s">
        <v>165</v>
      </c>
      <c r="G14" s="252">
        <f>C22</f>
        <v>0.52380952380952384</v>
      </c>
      <c r="H14" s="247"/>
      <c r="I14" s="247"/>
      <c r="J14" s="245"/>
      <c r="K14" s="246">
        <v>38</v>
      </c>
      <c r="L14" s="246">
        <v>2</v>
      </c>
      <c r="M14" s="259">
        <v>0.12</v>
      </c>
      <c r="N14" s="259">
        <f t="shared" si="10"/>
        <v>0.12</v>
      </c>
      <c r="O14" s="246" t="s">
        <v>188</v>
      </c>
      <c r="P14" s="249">
        <f>COUNTA(E5,I5)</f>
        <v>2</v>
      </c>
      <c r="Q14" s="251">
        <f>COUNTA(E10,I10)</f>
        <v>2</v>
      </c>
      <c r="R14" s="258">
        <f t="shared" si="2"/>
        <v>0.12</v>
      </c>
      <c r="S14" s="258">
        <f t="shared" si="3"/>
        <v>0.25535714285714289</v>
      </c>
      <c r="T14" s="263">
        <f>S14*P14/(Q14+P14)</f>
        <v>0.12767857142857145</v>
      </c>
      <c r="U14" s="265">
        <f>S14*Q14/(Q14+P14)</f>
        <v>0.12767857142857145</v>
      </c>
      <c r="V14" s="255">
        <f>$G$17</f>
        <v>0.56999999999999995</v>
      </c>
      <c r="W14" s="253">
        <f>$H$17</f>
        <v>0.56999999999999995</v>
      </c>
      <c r="X14" s="288">
        <f t="shared" si="11"/>
        <v>7.2776785714285724E-2</v>
      </c>
      <c r="Y14" s="289">
        <f t="shared" si="11"/>
        <v>7.2776785714285724E-2</v>
      </c>
      <c r="Z14" s="236"/>
      <c r="AA14" s="281">
        <f t="shared" si="6"/>
        <v>0</v>
      </c>
      <c r="AB14" s="282">
        <f t="shared" si="7"/>
        <v>1</v>
      </c>
      <c r="AC14" s="282">
        <f>AA14*PRODUCT(AB3:AB13)*PRODUCT(AB15:AB17)</f>
        <v>0</v>
      </c>
      <c r="AD14" s="282">
        <f>AA14*AA15*PRODUCT(AB3:AB13)*PRODUCT(AB16:AB17)+AA14*AA16*PRODUCT(AB3:AB13)*AB15*AB17+AA14*AA17*PRODUCT(AB3:AB13)*AB15*AB16</f>
        <v>0</v>
      </c>
      <c r="AE14" s="220"/>
      <c r="AF14" s="234"/>
      <c r="AG14" s="283">
        <f t="shared" si="12"/>
        <v>7.2776785714285724E-2</v>
      </c>
      <c r="AH14" s="284">
        <f t="shared" si="8"/>
        <v>0.9272232142857143</v>
      </c>
      <c r="AI14" s="284">
        <f>AG14*PRODUCT(AH3:AH13)*PRODUCT(AH15:AH17)</f>
        <v>4.5459178732451901E-2</v>
      </c>
      <c r="AJ14" s="284">
        <f>AG14*AG15*PRODUCT(AH3:AH13)*PRODUCT(AH16:AH17)+AG14*AG16*PRODUCT(AH3:AH13)*AH15*AH17+AG14*AG17*PRODUCT(AH3:AH13)*AH15*AH16</f>
        <v>0</v>
      </c>
      <c r="AK14" s="220"/>
      <c r="AL14" s="237"/>
      <c r="AM14" s="220"/>
      <c r="AN14" s="225"/>
      <c r="AO14" s="239"/>
      <c r="AP14" s="220"/>
      <c r="AQ14" s="220"/>
      <c r="AR14" s="220"/>
      <c r="AS14" s="220"/>
      <c r="AT14" s="220"/>
      <c r="AU14" s="220"/>
      <c r="AV14" s="220"/>
      <c r="AW14" s="220"/>
      <c r="AX14" s="220"/>
      <c r="AY14" s="220"/>
      <c r="AZ14" s="220"/>
      <c r="BI14" s="31">
        <v>1</v>
      </c>
      <c r="BJ14" s="31">
        <v>2</v>
      </c>
      <c r="BK14" s="107">
        <f t="shared" ref="BK14:BK22" si="13">$H$26*H41</f>
        <v>2.573236135102985E-2</v>
      </c>
      <c r="BM14" s="31">
        <f>BQ39+1</f>
        <v>10</v>
      </c>
      <c r="BN14" s="31">
        <v>10</v>
      </c>
      <c r="BO14" s="107">
        <f>$H$35*H49</f>
        <v>1.4866270193592051E-9</v>
      </c>
      <c r="BQ14" s="31">
        <f>BQ10+1</f>
        <v>5</v>
      </c>
      <c r="BR14" s="31">
        <v>0</v>
      </c>
      <c r="BS14" s="107">
        <f>$H$30*H39</f>
        <v>1.4944622318098253E-4</v>
      </c>
    </row>
    <row r="15" spans="1:71" ht="15.75" x14ac:dyDescent="0.25">
      <c r="A15" s="184" t="s">
        <v>67</v>
      </c>
      <c r="B15" s="271">
        <v>5</v>
      </c>
      <c r="C15" s="272">
        <v>5</v>
      </c>
      <c r="E15" s="247"/>
      <c r="F15" s="247"/>
      <c r="G15" s="247"/>
      <c r="H15" s="247"/>
      <c r="I15" s="247"/>
      <c r="J15" s="245"/>
      <c r="K15" s="246">
        <v>39</v>
      </c>
      <c r="L15" s="246">
        <v>8</v>
      </c>
      <c r="M15" s="259">
        <v>0.6</v>
      </c>
      <c r="N15" s="259">
        <f t="shared" si="10"/>
        <v>0.6</v>
      </c>
      <c r="O15" s="246" t="s">
        <v>189</v>
      </c>
      <c r="P15" s="249">
        <f>COUNTIF(E5:I6,"TEC")</f>
        <v>0</v>
      </c>
      <c r="Q15" s="251">
        <f>COUNTIF(E10:I11,"TEC")</f>
        <v>0</v>
      </c>
      <c r="R15" s="258">
        <f t="shared" si="2"/>
        <v>0</v>
      </c>
      <c r="S15" s="258">
        <f t="shared" si="3"/>
        <v>0</v>
      </c>
      <c r="T15" s="263">
        <f>IF(COUNTIF(F10:H10,"CAB") + COUNTIF(E9:I9,"CAB") =0,0, IF(S15=0,0,IF(Q15=0,S15*P15/L15,S15*P15/(L15*2))))</f>
        <v>0</v>
      </c>
      <c r="U15" s="265">
        <f>IF( COUNTIF(F5:H5,"CAB") + COUNTIF(E4:I4,"CAB") =0,0,IF(S15=0,0,IF(P15=0,S15*Q15/L15,S15*Q15/(L15*2))))</f>
        <v>0</v>
      </c>
      <c r="V15" s="255">
        <f>$G$17</f>
        <v>0.56999999999999995</v>
      </c>
      <c r="W15" s="253">
        <f>$H$17</f>
        <v>0.56999999999999995</v>
      </c>
      <c r="X15" s="288">
        <f t="shared" si="11"/>
        <v>0</v>
      </c>
      <c r="Y15" s="289">
        <f t="shared" si="11"/>
        <v>0</v>
      </c>
      <c r="Z15" s="236"/>
      <c r="AA15" s="281">
        <f>X16</f>
        <v>0</v>
      </c>
      <c r="AB15" s="282">
        <f t="shared" si="7"/>
        <v>1</v>
      </c>
      <c r="AC15" s="282">
        <f>AA15*PRODUCT(AB3:AB14)*PRODUCT(AB16:AB17)</f>
        <v>0</v>
      </c>
      <c r="AD15" s="282">
        <f>AA15*AA16*PRODUCT(AB3:AB14)*AB17+AA15*AA17*PRODUCT(AB3:AB14)*AB16</f>
        <v>0</v>
      </c>
      <c r="AE15" s="220"/>
      <c r="AF15" s="234"/>
      <c r="AG15" s="283">
        <f t="shared" si="12"/>
        <v>0</v>
      </c>
      <c r="AH15" s="284">
        <f t="shared" si="8"/>
        <v>1</v>
      </c>
      <c r="AI15" s="284">
        <f>AG15*PRODUCT(AH3:AH14)*PRODUCT(AH16:AH17)</f>
        <v>0</v>
      </c>
      <c r="AJ15" s="284">
        <f>AG15*AG16*PRODUCT(AH3:AH14)*AH17+AG15*AG17*PRODUCT(AH3:AH14)*AH16</f>
        <v>0</v>
      </c>
      <c r="AK15" s="220"/>
      <c r="AL15" s="237"/>
      <c r="AM15" s="220"/>
      <c r="AN15" s="225"/>
      <c r="AO15" s="239"/>
      <c r="AP15" s="220"/>
      <c r="AQ15" s="220"/>
      <c r="AR15" s="220"/>
      <c r="AS15" s="220"/>
      <c r="AT15" s="220"/>
      <c r="AU15" s="220"/>
      <c r="AV15" s="220"/>
      <c r="AW15" s="220"/>
      <c r="AX15" s="220"/>
      <c r="AY15" s="220"/>
      <c r="AZ15" s="220"/>
      <c r="BI15" s="31">
        <v>1</v>
      </c>
      <c r="BJ15" s="31">
        <v>3</v>
      </c>
      <c r="BK15" s="107">
        <f t="shared" si="13"/>
        <v>4.8129526767551167E-2</v>
      </c>
      <c r="BQ15" s="31">
        <f>BQ11+1</f>
        <v>5</v>
      </c>
      <c r="BR15" s="31">
        <v>1</v>
      </c>
      <c r="BS15" s="107">
        <f>$H$30*H40</f>
        <v>1.0100926521753502E-3</v>
      </c>
    </row>
    <row r="16" spans="1:71" x14ac:dyDescent="0.25">
      <c r="A16" s="184" t="s">
        <v>70</v>
      </c>
      <c r="B16" s="52">
        <v>12</v>
      </c>
      <c r="C16" s="54">
        <v>12</v>
      </c>
      <c r="E16" s="247"/>
      <c r="F16" s="247" t="s">
        <v>8</v>
      </c>
      <c r="G16" s="277">
        <v>0.7</v>
      </c>
      <c r="H16" s="278">
        <v>0.7</v>
      </c>
      <c r="I16" s="247"/>
      <c r="J16" s="245"/>
      <c r="K16" s="245"/>
      <c r="L16" s="245"/>
      <c r="M16" s="245"/>
      <c r="N16" s="245"/>
      <c r="O16" s="245"/>
      <c r="P16" s="247"/>
      <c r="Q16" s="247"/>
      <c r="V16" s="158"/>
      <c r="W16" s="158"/>
      <c r="X16" s="158"/>
      <c r="Y16" s="158"/>
      <c r="Z16" s="236"/>
      <c r="AA16" s="236"/>
      <c r="AB16" s="236"/>
      <c r="AC16" s="236"/>
      <c r="AD16" s="236"/>
      <c r="AE16" s="236"/>
      <c r="AF16" s="236"/>
      <c r="AG16" s="236"/>
      <c r="AH16" s="236"/>
      <c r="AI16" s="236"/>
      <c r="AJ16" s="236"/>
      <c r="AK16" s="236"/>
      <c r="AL16" s="237"/>
      <c r="AM16" s="220"/>
      <c r="AN16" s="225"/>
      <c r="AO16" s="239"/>
      <c r="AP16" s="220"/>
      <c r="AQ16" s="220"/>
      <c r="AR16" s="220"/>
      <c r="AS16" s="220"/>
      <c r="AT16" s="220"/>
      <c r="AU16" s="220"/>
      <c r="AV16" s="220"/>
      <c r="AW16" s="220"/>
      <c r="AX16" s="220"/>
      <c r="AY16" s="220"/>
      <c r="AZ16" s="220"/>
      <c r="BI16" s="31">
        <v>1</v>
      </c>
      <c r="BJ16" s="31">
        <v>4</v>
      </c>
      <c r="BK16" s="107">
        <f t="shared" si="13"/>
        <v>6.0716995525381103E-2</v>
      </c>
      <c r="BQ16" s="31">
        <f>BQ12+1</f>
        <v>5</v>
      </c>
      <c r="BR16" s="31">
        <v>2</v>
      </c>
      <c r="BS16" s="107">
        <f>$H$30*H41</f>
        <v>3.122415865789215E-3</v>
      </c>
    </row>
    <row r="17" spans="1:71" x14ac:dyDescent="0.25">
      <c r="A17" s="183" t="s">
        <v>74</v>
      </c>
      <c r="B17" s="273" t="s">
        <v>75</v>
      </c>
      <c r="C17" s="274" t="s">
        <v>75</v>
      </c>
      <c r="E17" s="247"/>
      <c r="F17" s="247" t="s">
        <v>166</v>
      </c>
      <c r="G17" s="277">
        <v>0.56999999999999995</v>
      </c>
      <c r="H17" s="278">
        <v>0.56999999999999995</v>
      </c>
      <c r="I17" s="247"/>
      <c r="J17" s="245"/>
      <c r="K17" s="246"/>
      <c r="L17" s="246"/>
      <c r="M17" s="246"/>
      <c r="N17" s="246"/>
      <c r="O17" s="246"/>
      <c r="P17" s="246"/>
      <c r="Q17" s="247"/>
      <c r="V17" s="158"/>
      <c r="W17" s="158"/>
      <c r="X17" s="158"/>
      <c r="Y17" s="158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6"/>
      <c r="AL17" s="237"/>
      <c r="AM17" s="220"/>
      <c r="AN17" s="225"/>
      <c r="AO17" s="239"/>
      <c r="AP17" s="220"/>
      <c r="AQ17" s="220"/>
      <c r="AR17" s="220"/>
      <c r="AS17" s="220"/>
      <c r="AT17" s="220"/>
      <c r="AU17" s="220"/>
      <c r="AV17" s="220"/>
      <c r="AW17" s="220"/>
      <c r="AX17" s="220"/>
      <c r="AY17" s="220"/>
      <c r="AZ17" s="220"/>
      <c r="BI17" s="31">
        <v>1</v>
      </c>
      <c r="BJ17" s="31">
        <v>5</v>
      </c>
      <c r="BK17" s="107">
        <f t="shared" si="13"/>
        <v>5.4507034053099541E-2</v>
      </c>
      <c r="BQ17" s="31">
        <f>BQ13+1</f>
        <v>5</v>
      </c>
      <c r="BR17" s="31">
        <v>3</v>
      </c>
      <c r="BS17" s="107">
        <f>$H$30*H42</f>
        <v>5.8401324286515201E-3</v>
      </c>
    </row>
    <row r="18" spans="1:71" x14ac:dyDescent="0.25">
      <c r="A18" s="183" t="s">
        <v>78</v>
      </c>
      <c r="B18" s="273">
        <v>20</v>
      </c>
      <c r="C18" s="274">
        <v>20</v>
      </c>
      <c r="E18" s="247"/>
      <c r="F18" s="246" t="s">
        <v>3</v>
      </c>
      <c r="G18" s="277">
        <v>0.45</v>
      </c>
      <c r="H18" s="278">
        <v>0.45</v>
      </c>
      <c r="I18" s="247"/>
      <c r="J18" s="245"/>
      <c r="K18" s="246"/>
      <c r="L18" s="246"/>
      <c r="M18" s="246"/>
      <c r="N18" s="246"/>
      <c r="O18" s="246"/>
      <c r="P18" s="260"/>
      <c r="Q18" s="247"/>
      <c r="V18" s="158"/>
      <c r="W18" s="158"/>
      <c r="X18" s="158"/>
      <c r="Y18" s="158"/>
      <c r="Z18" s="236"/>
      <c r="AB18" s="175">
        <f>PRODUCT(AB3:AB17)</f>
        <v>0.38260784469788545</v>
      </c>
      <c r="AC18" s="176">
        <f>SUM(AC3:AC17)</f>
        <v>0.42709936823468714</v>
      </c>
      <c r="AD18" s="176">
        <f>SUM(AD3:AD17)</f>
        <v>0.16281576428542216</v>
      </c>
      <c r="AE18" s="176">
        <f>1-AB18-AC18-AD18</f>
        <v>2.7477022782005256E-2</v>
      </c>
      <c r="AF18" s="234"/>
      <c r="AG18" s="158"/>
      <c r="AH18" s="179">
        <f>PRODUCT(AH3:AH17)</f>
        <v>0.57917927275014069</v>
      </c>
      <c r="AI18" s="176">
        <f>SUM(AI3:AI17)</f>
        <v>0.34386485962655194</v>
      </c>
      <c r="AJ18" s="176">
        <f>SUM(AJ3:AJ17)</f>
        <v>7.0863303781438375E-2</v>
      </c>
      <c r="AK18" s="176">
        <f>1-AH18-AI18-AJ18</f>
        <v>6.0925638418689865E-3</v>
      </c>
      <c r="AL18" s="237"/>
      <c r="AM18" s="220"/>
      <c r="AN18" s="225"/>
      <c r="AO18" s="239"/>
      <c r="AP18" s="220"/>
      <c r="AQ18" s="220"/>
      <c r="AR18" s="220"/>
      <c r="AS18" s="220"/>
      <c r="AT18" s="220"/>
      <c r="AU18" s="220"/>
      <c r="AV18" s="220"/>
      <c r="AW18" s="220"/>
      <c r="AX18" s="220"/>
      <c r="AY18" s="220"/>
      <c r="AZ18" s="220"/>
      <c r="BI18" s="31">
        <v>1</v>
      </c>
      <c r="BJ18" s="31">
        <v>6</v>
      </c>
      <c r="BK18" s="107">
        <f t="shared" si="13"/>
        <v>3.5794749631976423E-2</v>
      </c>
      <c r="BQ18" s="31">
        <f>BM8+1</f>
        <v>5</v>
      </c>
      <c r="BR18" s="31">
        <v>4</v>
      </c>
      <c r="BS18" s="107">
        <f>$H$30*H43</f>
        <v>7.3675209035534263E-3</v>
      </c>
    </row>
    <row r="19" spans="1:71" ht="9" customHeight="1" x14ac:dyDescent="0.25">
      <c r="E19" s="220"/>
      <c r="F19" s="220"/>
      <c r="G19" s="220"/>
      <c r="H19" s="221"/>
      <c r="I19" s="220"/>
      <c r="J19" s="220"/>
      <c r="K19" s="220"/>
      <c r="L19" s="221"/>
      <c r="M19" s="221"/>
      <c r="N19" s="220"/>
      <c r="O19" s="220"/>
      <c r="P19" s="230"/>
      <c r="Q19" s="231"/>
      <c r="R19" s="232"/>
      <c r="S19" s="233"/>
      <c r="T19" s="234"/>
      <c r="U19" s="234"/>
      <c r="V19" s="234"/>
      <c r="W19" s="240"/>
      <c r="X19" s="220"/>
      <c r="Y19" s="235"/>
      <c r="Z19" s="236"/>
      <c r="AA19" s="236"/>
      <c r="AB19" s="236"/>
      <c r="AC19" s="233"/>
      <c r="AD19" s="234"/>
      <c r="AE19" s="234"/>
      <c r="AF19" s="234"/>
      <c r="AG19" s="240"/>
      <c r="AH19" s="237"/>
      <c r="AI19" s="220"/>
      <c r="AJ19" s="238"/>
      <c r="AK19" s="220"/>
      <c r="AL19" s="237"/>
      <c r="AM19" s="220"/>
      <c r="AN19" s="225"/>
      <c r="AO19" s="239"/>
      <c r="AP19" s="220"/>
      <c r="AQ19" s="220"/>
      <c r="AR19" s="220"/>
      <c r="AS19" s="220"/>
      <c r="AT19" s="220"/>
      <c r="AU19" s="220"/>
      <c r="AV19" s="220"/>
      <c r="AW19" s="220"/>
      <c r="AX19" s="220"/>
      <c r="AY19" s="220"/>
      <c r="AZ19" s="220"/>
      <c r="BI19" s="31">
        <v>1</v>
      </c>
      <c r="BJ19" s="31">
        <v>7</v>
      </c>
      <c r="BK19" s="107">
        <f t="shared" si="13"/>
        <v>1.7400349088438079E-2</v>
      </c>
      <c r="BQ19" s="31">
        <f>BQ15+1</f>
        <v>6</v>
      </c>
      <c r="BR19" s="31">
        <v>1</v>
      </c>
      <c r="BS19" s="107">
        <f>$H$31*H40</f>
        <v>2.4539954696819712E-4</v>
      </c>
    </row>
    <row r="20" spans="1:71" x14ac:dyDescent="0.25">
      <c r="A20" s="185" t="s">
        <v>85</v>
      </c>
      <c r="B20" s="31">
        <f>IF(B17="Pres",IF(C17="Pres",2,1),IF(C17="Pres",1,0))</f>
        <v>0</v>
      </c>
      <c r="D20" s="205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41"/>
      <c r="Q20" s="241"/>
      <c r="R20" s="241"/>
      <c r="S20" s="220"/>
      <c r="T20" s="242"/>
      <c r="U20" s="243"/>
      <c r="V20" s="243"/>
      <c r="W20" s="243"/>
      <c r="X20" s="220"/>
      <c r="Y20" s="241"/>
      <c r="Z20" s="241"/>
      <c r="AA20" s="241"/>
      <c r="AB20" s="241"/>
      <c r="AC20" s="221"/>
      <c r="AD20" s="244"/>
      <c r="AE20" s="243"/>
      <c r="AF20" s="243"/>
      <c r="AG20" s="243"/>
      <c r="AH20" s="220"/>
      <c r="AI20" s="220"/>
      <c r="AJ20" s="220"/>
      <c r="AK20" s="220"/>
      <c r="AL20" s="220"/>
      <c r="AM20" s="220"/>
      <c r="AN20" s="220"/>
      <c r="AO20" s="220"/>
      <c r="AP20" s="220"/>
      <c r="AQ20" s="220"/>
      <c r="AR20" s="220"/>
      <c r="AS20" s="220"/>
      <c r="AT20" s="220"/>
      <c r="AU20" s="220"/>
      <c r="AV20" s="220"/>
      <c r="AW20" s="220"/>
      <c r="AX20" s="220"/>
      <c r="AY20" s="220"/>
      <c r="AZ20" s="220"/>
      <c r="BI20" s="31">
        <v>1</v>
      </c>
      <c r="BJ20" s="31">
        <v>8</v>
      </c>
      <c r="BK20" s="107">
        <f t="shared" si="13"/>
        <v>6.261106518313392E-3</v>
      </c>
      <c r="BQ20" s="31">
        <f>BQ16+1</f>
        <v>6</v>
      </c>
      <c r="BR20" s="31">
        <v>2</v>
      </c>
      <c r="BS20" s="107">
        <f>$H$31*H41</f>
        <v>7.5858332130305075E-4</v>
      </c>
    </row>
    <row r="21" spans="1:71" x14ac:dyDescent="0.25">
      <c r="A21" s="185" t="s">
        <v>86</v>
      </c>
      <c r="B21" s="186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3"/>
        <v>1.6485979252711881E-3</v>
      </c>
      <c r="BQ21" s="31">
        <f>BQ17+1</f>
        <v>6</v>
      </c>
      <c r="BR21" s="31">
        <v>3</v>
      </c>
      <c r="BS21" s="107">
        <f>$H$31*H42</f>
        <v>1.4188459337258548E-3</v>
      </c>
    </row>
    <row r="22" spans="1:71" x14ac:dyDescent="0.25">
      <c r="A22" s="26" t="s">
        <v>87</v>
      </c>
      <c r="B22" s="206">
        <f>(B6)/((B6)+(C6))</f>
        <v>0.47619047619047616</v>
      </c>
      <c r="C22" s="207">
        <f>1-B22</f>
        <v>0.52380952380952384</v>
      </c>
      <c r="V22" s="208">
        <f>SUM(V25:V35)</f>
        <v>1</v>
      </c>
      <c r="AS22" s="82">
        <f>Y23+AA23+AC23+AE23+AG23+AI23+AK23+AM23+AO23+AQ23+AS23</f>
        <v>0.99999999999999989</v>
      </c>
      <c r="BI22" s="31">
        <v>1</v>
      </c>
      <c r="BJ22" s="31">
        <v>10</v>
      </c>
      <c r="BK22" s="107">
        <f t="shared" si="13"/>
        <v>3.0954424741680517E-4</v>
      </c>
      <c r="BQ22" s="31">
        <f>BQ18+1</f>
        <v>6</v>
      </c>
      <c r="BR22" s="31">
        <v>4</v>
      </c>
      <c r="BS22" s="107">
        <f>$H$31*H43</f>
        <v>1.7899212395189963E-3</v>
      </c>
    </row>
    <row r="23" spans="1:71" ht="15.75" thickBot="1" x14ac:dyDescent="0.3">
      <c r="A23" s="40" t="s">
        <v>88</v>
      </c>
      <c r="B23" s="56">
        <f>((B22^2.8)/((B22^2.8)+(C22^2.8)))*B21</f>
        <v>2.1683801689912157</v>
      </c>
      <c r="C23" s="57">
        <f>B21-B23</f>
        <v>2.8316198310087843</v>
      </c>
      <c r="D23" s="149">
        <f>SUM(D25:D30)</f>
        <v>1</v>
      </c>
      <c r="E23" s="149">
        <f>SUM(E25:E30)</f>
        <v>1</v>
      </c>
      <c r="H23" s="266">
        <f>SUM(H25:H35)</f>
        <v>0.99999993956596989</v>
      </c>
      <c r="I23" s="81"/>
      <c r="J23" s="266">
        <f>SUM(J25:J35)</f>
        <v>0.99999999999999989</v>
      </c>
      <c r="K23" s="266"/>
      <c r="L23" s="266">
        <f>SUM(L25:L35)</f>
        <v>1</v>
      </c>
      <c r="M23" s="81"/>
      <c r="N23" s="266">
        <f>SUM(N25:N35)</f>
        <v>0.99999999999999989</v>
      </c>
      <c r="O23" s="81"/>
      <c r="P23" s="266">
        <f>SUM(P25:P35)</f>
        <v>0.99999999999999989</v>
      </c>
      <c r="Q23" s="81"/>
      <c r="R23" s="266">
        <f>SUM(R25:R35)</f>
        <v>0.99999999999999989</v>
      </c>
      <c r="S23" s="81"/>
      <c r="T23" s="266">
        <f>SUM(T25:T35)</f>
        <v>1</v>
      </c>
      <c r="V23" s="208">
        <f>SUM(V25:V34)</f>
        <v>0.99974931781276</v>
      </c>
      <c r="Y23" s="205">
        <f>SUM(Y25:Y35)</f>
        <v>3.3765445915655752E-3</v>
      </c>
      <c r="Z23" s="81"/>
      <c r="AA23" s="205">
        <f>SUM(AA25:AA35)</f>
        <v>2.5873660086668103E-2</v>
      </c>
      <c r="AB23" s="81"/>
      <c r="AC23" s="205">
        <f>SUM(AC25:AC35)</f>
        <v>8.9231628252390352E-2</v>
      </c>
      <c r="AD23" s="81"/>
      <c r="AE23" s="205">
        <f>SUM(AE25:AE35)</f>
        <v>0.18239905448332949</v>
      </c>
      <c r="AF23" s="81"/>
      <c r="AG23" s="205">
        <f>SUM(AG25:AG35)</f>
        <v>0.24474801787537889</v>
      </c>
      <c r="AH23" s="81"/>
      <c r="AI23" s="205">
        <f>SUM(AI25:AI35)</f>
        <v>0.22529102499748441</v>
      </c>
      <c r="AJ23" s="81"/>
      <c r="AK23" s="205">
        <f>SUM(AK25:AK35)</f>
        <v>0.14411233921871039</v>
      </c>
      <c r="AL23" s="81"/>
      <c r="AM23" s="205">
        <f>SUM(AM25:AM35)</f>
        <v>6.3287220894066035E-2</v>
      </c>
      <c r="AN23" s="81"/>
      <c r="AO23" s="205">
        <f>SUM(AO25:AO35)</f>
        <v>1.8281965297063971E-2</v>
      </c>
      <c r="AP23" s="81"/>
      <c r="AQ23" s="205">
        <f>SUM(AQ25:AQ35)</f>
        <v>3.1478621161027897E-3</v>
      </c>
      <c r="AR23" s="81"/>
      <c r="AS23" s="205">
        <f>SUM(AS25:AS35)</f>
        <v>2.506821872400033E-4</v>
      </c>
      <c r="BI23" s="31">
        <f t="shared" ref="BI23:BI29" si="14">BI15+1</f>
        <v>2</v>
      </c>
      <c r="BJ23" s="31">
        <v>3</v>
      </c>
      <c r="BK23" s="107">
        <f t="shared" ref="BK23:BK30" si="15">$H$27*H42</f>
        <v>5.4820520904881202E-2</v>
      </c>
      <c r="BQ23" s="31">
        <f>BM9+1</f>
        <v>6</v>
      </c>
      <c r="BR23" s="31">
        <v>5</v>
      </c>
      <c r="BS23" s="107">
        <f>$H$31*H44</f>
        <v>1.6068531901260556E-3</v>
      </c>
    </row>
    <row r="24" spans="1:71" ht="15.75" thickBot="1" x14ac:dyDescent="0.3">
      <c r="A24" s="26" t="s">
        <v>89</v>
      </c>
      <c r="B24" s="64">
        <f>B23/B21</f>
        <v>0.43367603379824315</v>
      </c>
      <c r="C24" s="65">
        <f>C23/B21</f>
        <v>0.56632396620175685</v>
      </c>
      <c r="D24" s="158" t="s">
        <v>90</v>
      </c>
      <c r="E24" s="158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4"/>
        <v>2</v>
      </c>
      <c r="BJ24" s="31">
        <v>4</v>
      </c>
      <c r="BK24" s="107">
        <f t="shared" si="15"/>
        <v>6.9157906716108136E-2</v>
      </c>
      <c r="BQ24" s="31">
        <f>BI49+1</f>
        <v>7</v>
      </c>
      <c r="BR24" s="31">
        <v>0</v>
      </c>
      <c r="BS24" s="107">
        <f t="shared" ref="BS24:BS30" si="16">$H$32*H39</f>
        <v>6.5343326635953048E-6</v>
      </c>
    </row>
    <row r="25" spans="1:71" x14ac:dyDescent="0.25">
      <c r="A25" s="26" t="s">
        <v>114</v>
      </c>
      <c r="B25" s="209">
        <f>1/(1+EXP(-3.1416*4*((B11/(B11+C8))-(3.1416/6))))</f>
        <v>0.23251449252298675</v>
      </c>
      <c r="C25" s="207">
        <f>1/(1+EXP(-3.1416*4*((C11/(C11+B8))-(3.1416/6))))</f>
        <v>0.6793166023460353</v>
      </c>
      <c r="D25" s="204">
        <f>IF(B17="AOW",0.36-0.08,IF(B17="AIM",0.36+0.08,IF(B17="TL",(0.361)-(0.36*B32),0.36)))</f>
        <v>0.36</v>
      </c>
      <c r="E25" s="204">
        <f>IF(C17="AOW",0.36-0.08,IF(C17="AIM",0.36+0.08,IF(C17="TL",(0.361)-(0.36*C32),0.36)))</f>
        <v>0.36</v>
      </c>
      <c r="G25" s="124">
        <v>0</v>
      </c>
      <c r="H25" s="125">
        <f>L25*J25</f>
        <v>0.10351394127375854</v>
      </c>
      <c r="I25" s="97">
        <v>0</v>
      </c>
      <c r="J25" s="98">
        <f t="shared" ref="J25:J35" si="17">Y25+AA25+AC25+AE25+AG25+AI25+AK25+AM25+AO25+AQ25+AS25</f>
        <v>0.27054840277907827</v>
      </c>
      <c r="K25" s="97">
        <v>0</v>
      </c>
      <c r="L25" s="98">
        <f>AB18</f>
        <v>0.38260784469788545</v>
      </c>
      <c r="M25" s="85">
        <v>0</v>
      </c>
      <c r="N25" s="210">
        <f>(1-$B$24)^$B$21</f>
        <v>5.8253859548764761E-2</v>
      </c>
      <c r="O25" s="72">
        <v>0</v>
      </c>
      <c r="P25" s="210">
        <f t="shared" ref="P25:P30" si="18">N25</f>
        <v>5.8253859548764761E-2</v>
      </c>
      <c r="Q25" s="28">
        <v>0</v>
      </c>
      <c r="R25" s="211">
        <f>P25*N25</f>
        <v>3.3935121523272112E-3</v>
      </c>
      <c r="S25" s="72">
        <v>0</v>
      </c>
      <c r="T25" s="212">
        <f>(1-$B$33)^(INT(C23*2*(1-C31)))</f>
        <v>0.995</v>
      </c>
      <c r="U25" s="138">
        <v>0</v>
      </c>
      <c r="V25" s="86">
        <f>R25*T25</f>
        <v>3.3765445915655752E-3</v>
      </c>
      <c r="W25" s="134">
        <f>B31</f>
        <v>0.28228854946744131</v>
      </c>
      <c r="X25" s="28">
        <v>0</v>
      </c>
      <c r="Y25" s="213">
        <f>V25</f>
        <v>3.3765445915655752E-3</v>
      </c>
      <c r="Z25" s="28">
        <v>0</v>
      </c>
      <c r="AA25" s="213">
        <f>((1-W25)^Z26)*V26</f>
        <v>1.8569822111388933E-2</v>
      </c>
      <c r="AB25" s="28">
        <v>0</v>
      </c>
      <c r="AC25" s="213">
        <f>(((1-$W$25)^AB27))*V27</f>
        <v>4.596407959974879E-2</v>
      </c>
      <c r="AD25" s="28">
        <v>0</v>
      </c>
      <c r="AE25" s="213">
        <f>(((1-$W$25)^AB28))*V28</f>
        <v>6.7432957582147166E-2</v>
      </c>
      <c r="AF25" s="28">
        <v>0</v>
      </c>
      <c r="AG25" s="213">
        <f>(((1-$W$25)^AB29))*V29</f>
        <v>6.4940956922224E-2</v>
      </c>
      <c r="AH25" s="28">
        <v>0</v>
      </c>
      <c r="AI25" s="213">
        <f>(((1-$W$25)^AB30))*V30</f>
        <v>4.290355372466393E-2</v>
      </c>
      <c r="AJ25" s="28">
        <v>0</v>
      </c>
      <c r="AK25" s="213">
        <f>(((1-$W$25)^AB31))*V31</f>
        <v>1.9697015124709574E-2</v>
      </c>
      <c r="AL25" s="28">
        <v>0</v>
      </c>
      <c r="AM25" s="213">
        <f>(((1-$W$25)^AB32))*V32</f>
        <v>6.2081921588654221E-3</v>
      </c>
      <c r="AN25" s="28">
        <v>0</v>
      </c>
      <c r="AO25" s="213">
        <f>(((1-$W$25)^AB33))*V33</f>
        <v>1.2871284244145504E-3</v>
      </c>
      <c r="AP25" s="28">
        <v>0</v>
      </c>
      <c r="AQ25" s="213">
        <f>(((1-$W$25)^AB34))*V34</f>
        <v>1.5906131811362984E-4</v>
      </c>
      <c r="AR25" s="28">
        <v>0</v>
      </c>
      <c r="AS25" s="213">
        <f>(((1-$W$25)^AB35))*V35</f>
        <v>9.0912212367568771E-6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4"/>
        <v>2</v>
      </c>
      <c r="BJ25" s="31">
        <v>5</v>
      </c>
      <c r="BK25" s="107">
        <f t="shared" si="15"/>
        <v>6.2084632874171299E-2</v>
      </c>
      <c r="BQ25" s="31">
        <f>BQ19+1</f>
        <v>7</v>
      </c>
      <c r="BR25" s="31">
        <v>1</v>
      </c>
      <c r="BS25" s="107">
        <f t="shared" si="16"/>
        <v>4.416492615122111E-5</v>
      </c>
    </row>
    <row r="26" spans="1:71" x14ac:dyDescent="0.25">
      <c r="A26" s="40" t="s">
        <v>115</v>
      </c>
      <c r="B26" s="206">
        <f>1/(1+EXP(-3.1416*4*((B10/(B10+C9))-(3.1416/6))))</f>
        <v>0.23251449252298675</v>
      </c>
      <c r="C26" s="207">
        <f>1/(1+EXP(-3.1416*4*((C10/(C10+B9))-(3.1416/6))))</f>
        <v>0.6793166023460353</v>
      </c>
      <c r="D26" s="204">
        <f>IF(B17="AOW",0.257+0.04,IF(B17="AIM",0.257-0.04,IF(B17="TL",(0.257)-(0.257*B32),0.257)))</f>
        <v>0.25700000000000001</v>
      </c>
      <c r="E26" s="204">
        <f>IF(C17="AOW",0.257+0.04,IF(C17="AIM",0.257-0.04,IF(C17="TL",(0.257)-(0.257*C32),0.257)))</f>
        <v>0.25700000000000001</v>
      </c>
      <c r="G26" s="87">
        <v>1</v>
      </c>
      <c r="H26" s="126">
        <f>L25*J26+L26*J25</f>
        <v>0.26009886536504917</v>
      </c>
      <c r="I26" s="138">
        <v>1</v>
      </c>
      <c r="J26" s="86">
        <f t="shared" si="17"/>
        <v>0.37779626179734743</v>
      </c>
      <c r="K26" s="138">
        <v>1</v>
      </c>
      <c r="L26" s="86">
        <f>AC18</f>
        <v>0.42709936823468714</v>
      </c>
      <c r="M26" s="85">
        <v>1</v>
      </c>
      <c r="N26" s="210">
        <f>(($B$24)^M26)*((1-($B$24))^($B$21-M26))*HLOOKUP($B$21,$AV$24:$BF$34,M26+1)</f>
        <v>0.22304638572851768</v>
      </c>
      <c r="O26" s="72">
        <v>1</v>
      </c>
      <c r="P26" s="210">
        <f t="shared" si="18"/>
        <v>0.22304638572851768</v>
      </c>
      <c r="Q26" s="28">
        <v>1</v>
      </c>
      <c r="R26" s="211">
        <f>N26*P25+P26*N25</f>
        <v>2.5986625654177354E-2</v>
      </c>
      <c r="S26" s="72">
        <v>1</v>
      </c>
      <c r="T26" s="212">
        <f t="shared" ref="T26:T35" si="19">(($B$33)^S26)*((1-($B$33))^(INT($C$23*2*(1-$C$31))-S26))*HLOOKUP(INT($C$23*2*(1-$C$31)),$AV$24:$BF$34,S26+1)</f>
        <v>5.0000000000000001E-3</v>
      </c>
      <c r="U26" s="138">
        <v>1</v>
      </c>
      <c r="V26" s="86">
        <f>R26*T25+T26*R25</f>
        <v>2.5873660086668103E-2</v>
      </c>
      <c r="W26" s="214"/>
      <c r="X26" s="28">
        <v>1</v>
      </c>
      <c r="Y26" s="211"/>
      <c r="Z26" s="28">
        <v>1</v>
      </c>
      <c r="AA26" s="213">
        <f>(1-((1-W25)^Z26))*V26</f>
        <v>7.3038379752791704E-3</v>
      </c>
      <c r="AB26" s="28">
        <v>1</v>
      </c>
      <c r="AC26" s="213">
        <f>((($W$25)^M26)*((1-($W$25))^($U$27-M26))*HLOOKUP($U$27,$AV$24:$BF$34,M26+1))*V27</f>
        <v>3.6156963493312655E-2</v>
      </c>
      <c r="AD26" s="28">
        <v>1</v>
      </c>
      <c r="AE26" s="213">
        <f>((($W$25)^M26)*((1-($W$25))^($U$28-M26))*HLOOKUP($U$28,$AV$24:$BF$34,M26+1))*V28</f>
        <v>7.9567708309679325E-2</v>
      </c>
      <c r="AF26" s="28">
        <v>1</v>
      </c>
      <c r="AG26" s="213">
        <f>((($W$25)^M26)*((1-($W$25))^($U$29-M26))*HLOOKUP($U$29,$AV$24:$BF$34,M26+1))*V29</f>
        <v>0.10216968681215476</v>
      </c>
      <c r="AH26" s="28">
        <v>1</v>
      </c>
      <c r="AI26" s="213">
        <f>((($W$25)^M26)*((1-($W$25))^($U$30-M26))*HLOOKUP($U$30,$AV$24:$BF$34,M26+1))*V30</f>
        <v>8.4373615183003139E-2</v>
      </c>
      <c r="AJ26" s="28">
        <v>1</v>
      </c>
      <c r="AK26" s="213">
        <f>((($W$25)^M26)*((1-($W$25))^($U$31-M26))*HLOOKUP($U$31,$AV$24:$BF$34,M26+1))*V31</f>
        <v>4.6483096996153724E-2</v>
      </c>
      <c r="AL26" s="28">
        <v>1</v>
      </c>
      <c r="AM26" s="213">
        <f>((($W$25)^Q26)*((1-($W$25))^($U$32-Q26))*HLOOKUP($U$32,$AV$24:$BF$34,Q26+1))*V32</f>
        <v>1.7092538939271571E-2</v>
      </c>
      <c r="AN26" s="28">
        <v>1</v>
      </c>
      <c r="AO26" s="213">
        <f>((($W$25)^Q26)*((1-($W$25))^($U$33-Q26))*HLOOKUP($U$33,$AV$24:$BF$34,Q26+1))*V33</f>
        <v>4.0500021632558728E-3</v>
      </c>
      <c r="AP26" s="28">
        <v>1</v>
      </c>
      <c r="AQ26" s="213">
        <f>((($W$25)^Q26)*((1-($W$25))^($U$34-Q26))*HLOOKUP($U$34,$AV$24:$BF$34,Q26+1))*V34</f>
        <v>5.6305455151958738E-4</v>
      </c>
      <c r="AR26" s="28">
        <v>1</v>
      </c>
      <c r="AS26" s="213">
        <f>((($W$25)^Q26)*((1-($W$25))^($U$35-Q26))*HLOOKUP($U$35,$AV$24:$BF$34,Q26+1))*V35</f>
        <v>3.5757373717632724E-5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4"/>
        <v>2</v>
      </c>
      <c r="BJ26" s="31">
        <v>6</v>
      </c>
      <c r="BK26" s="107">
        <f t="shared" si="15"/>
        <v>4.0770956048704017E-2</v>
      </c>
      <c r="BQ26" s="31">
        <f>BQ20+1</f>
        <v>7</v>
      </c>
      <c r="BR26" s="31">
        <v>2</v>
      </c>
      <c r="BS26" s="107">
        <f t="shared" si="16"/>
        <v>1.3652338310648595E-4</v>
      </c>
    </row>
    <row r="27" spans="1:71" x14ac:dyDescent="0.25">
      <c r="A27" s="26" t="s">
        <v>116</v>
      </c>
      <c r="B27" s="206">
        <f>1/(1+EXP(-3.1416*4*((B12/(B12+C7))-(3.1416/6))))</f>
        <v>0.23251449252298675</v>
      </c>
      <c r="C27" s="207">
        <f>1/(1+EXP(-3.1416*4*((C12/(C12+B7))-(3.1416/6))))</f>
        <v>0.6793166023460353</v>
      </c>
      <c r="D27" s="204">
        <f>D26</f>
        <v>0.25700000000000001</v>
      </c>
      <c r="E27" s="204">
        <f>E26</f>
        <v>0.25700000000000001</v>
      </c>
      <c r="G27" s="87">
        <v>2</v>
      </c>
      <c r="H27" s="126">
        <f>L25*J27+J26*L26+J25*L27</f>
        <v>0.29625795730228921</v>
      </c>
      <c r="I27" s="138">
        <v>2</v>
      </c>
      <c r="J27" s="86">
        <f t="shared" si="17"/>
        <v>0.23745427296264196</v>
      </c>
      <c r="K27" s="138">
        <v>2</v>
      </c>
      <c r="L27" s="86">
        <f>AD18</f>
        <v>0.16281576428542216</v>
      </c>
      <c r="M27" s="85">
        <v>2</v>
      </c>
      <c r="N27" s="210">
        <f>(($B$24)^M27)*((1-($B$24))^($B$21-M27))*HLOOKUP($B$21,$AV$24:$BF$34,M27+1)</f>
        <v>0.34160613955481417</v>
      </c>
      <c r="O27" s="72">
        <v>2</v>
      </c>
      <c r="P27" s="210">
        <f t="shared" si="18"/>
        <v>0.34160613955481417</v>
      </c>
      <c r="Q27" s="28">
        <v>2</v>
      </c>
      <c r="R27" s="211">
        <f>P25*N27+P26*N26+P27*N25</f>
        <v>8.9549442335798451E-2</v>
      </c>
      <c r="S27" s="72">
        <v>2</v>
      </c>
      <c r="T27" s="212">
        <f t="shared" si="19"/>
        <v>0</v>
      </c>
      <c r="U27" s="138">
        <v>2</v>
      </c>
      <c r="V27" s="86">
        <f>R27*T25+T26*R26+R25*T27</f>
        <v>8.9231628252390352E-2</v>
      </c>
      <c r="W27" s="214"/>
      <c r="X27" s="28">
        <v>2</v>
      </c>
      <c r="Y27" s="211"/>
      <c r="Z27" s="28">
        <v>2</v>
      </c>
      <c r="AA27" s="213"/>
      <c r="AB27" s="28">
        <v>2</v>
      </c>
      <c r="AC27" s="213">
        <f>((($W$25)^M27)*((1-($W$25))^($U$27-M27))*HLOOKUP($U$27,$AV$24:$BF$34,M27+1))*V27</f>
        <v>7.1105851593288999E-3</v>
      </c>
      <c r="AD27" s="28">
        <v>2</v>
      </c>
      <c r="AE27" s="213">
        <f>((($W$25)^M27)*((1-($W$25))^($U$28-M27))*HLOOKUP($U$28,$AV$24:$BF$34,M27+1))*V28</f>
        <v>3.1295380541192741E-2</v>
      </c>
      <c r="AF27" s="28">
        <v>2</v>
      </c>
      <c r="AG27" s="213">
        <f>((($W$25)^M27)*((1-($W$25))^($U$29-M27))*HLOOKUP($U$29,$AV$24:$BF$34,M27+1))*V29</f>
        <v>6.0277704922385572E-2</v>
      </c>
      <c r="AH27" s="28">
        <v>2</v>
      </c>
      <c r="AI27" s="213">
        <f>((($W$25)^M27)*((1-($W$25))^($U$30-M27))*HLOOKUP($U$30,$AV$24:$BF$34,M27+1))*V30</f>
        <v>6.6371256653800767E-2</v>
      </c>
      <c r="AJ27" s="28">
        <v>2</v>
      </c>
      <c r="AK27" s="213">
        <f>((($W$25)^M27)*((1-($W$25))^($U$31-M27))*HLOOKUP($U$31,$AV$24:$BF$34,M27+1))*V31</f>
        <v>4.5706551066107569E-2</v>
      </c>
      <c r="AL27" s="28">
        <v>2</v>
      </c>
      <c r="AM27" s="213">
        <f>((($W$25)^Q27)*((1-($W$25))^($U$32-Q27))*HLOOKUP($U$32,$AV$24:$BF$34,Q27+1))*V32</f>
        <v>2.0168389484252112E-2</v>
      </c>
      <c r="AN27" s="28">
        <v>2</v>
      </c>
      <c r="AO27" s="213">
        <f>((($W$25)^Q27)*((1-($W$25))^($U$33-Q27))*HLOOKUP($U$33,$AV$24:$BF$34,Q27+1))*V33</f>
        <v>5.5752800419306189E-3</v>
      </c>
      <c r="AP27" s="28">
        <v>2</v>
      </c>
      <c r="AQ27" s="213">
        <f>((($W$25)^Q27)*((1-($W$25))^($U$34-Q27))*HLOOKUP($U$34,$AV$24:$BF$34,Q27+1))*V34</f>
        <v>8.8583707283234779E-4</v>
      </c>
      <c r="AR27" s="28">
        <v>2</v>
      </c>
      <c r="AS27" s="213">
        <f>((($W$25)^Q27)*((1-($W$25))^($U$35-Q27))*HLOOKUP($U$35,$AV$24:$BF$34,Q27+1))*V35</f>
        <v>6.3288020811311138E-5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4"/>
        <v>2</v>
      </c>
      <c r="BJ27" s="31">
        <v>7</v>
      </c>
      <c r="BK27" s="107">
        <f t="shared" si="15"/>
        <v>1.9819355497965652E-2</v>
      </c>
      <c r="BQ27" s="31">
        <f>BQ21+1</f>
        <v>7</v>
      </c>
      <c r="BR27" s="31">
        <v>3</v>
      </c>
      <c r="BS27" s="107">
        <f t="shared" si="16"/>
        <v>2.5535184012007839E-4</v>
      </c>
    </row>
    <row r="28" spans="1:71" x14ac:dyDescent="0.25">
      <c r="A28" s="26" t="s">
        <v>117</v>
      </c>
      <c r="B28" s="275">
        <v>0.9</v>
      </c>
      <c r="C28" s="276">
        <v>0.9</v>
      </c>
      <c r="D28" s="204">
        <v>8.5000000000000006E-2</v>
      </c>
      <c r="E28" s="204">
        <v>8.5000000000000006E-2</v>
      </c>
      <c r="G28" s="87">
        <v>3</v>
      </c>
      <c r="H28" s="126">
        <f>J28*L25+J27*L26+L28*J25+L27*J26</f>
        <v>0.20421060603863439</v>
      </c>
      <c r="I28" s="138">
        <v>3</v>
      </c>
      <c r="J28" s="86">
        <f t="shared" si="17"/>
        <v>8.8469133096014868E-2</v>
      </c>
      <c r="K28" s="138">
        <v>3</v>
      </c>
      <c r="L28" s="86">
        <f>AE18</f>
        <v>2.7477022782005256E-2</v>
      </c>
      <c r="M28" s="85">
        <v>3</v>
      </c>
      <c r="N28" s="210">
        <f>(($B$24)^M28)*((1-($B$24))^($B$21-M28))*HLOOKUP($B$21,$AV$24:$BF$34,M28+1)</f>
        <v>0.26159301842169036</v>
      </c>
      <c r="O28" s="72">
        <v>3</v>
      </c>
      <c r="P28" s="210">
        <f t="shared" si="18"/>
        <v>0.26159301842169036</v>
      </c>
      <c r="Q28" s="28">
        <v>3</v>
      </c>
      <c r="R28" s="211">
        <f>P25*N28+P26*N27+P27*N26+P28*N25</f>
        <v>0.182865635448895</v>
      </c>
      <c r="S28" s="72">
        <v>3</v>
      </c>
      <c r="T28" s="212">
        <f t="shared" si="19"/>
        <v>0</v>
      </c>
      <c r="U28" s="138">
        <v>3</v>
      </c>
      <c r="V28" s="86">
        <f>R28*T25+R27*T26+R26*T27+R25*T28</f>
        <v>0.18239905448332952</v>
      </c>
      <c r="W28" s="214"/>
      <c r="X28" s="28">
        <v>3</v>
      </c>
      <c r="Y28" s="211"/>
      <c r="Z28" s="28">
        <v>3</v>
      </c>
      <c r="AA28" s="213"/>
      <c r="AB28" s="28">
        <v>3</v>
      </c>
      <c r="AC28" s="213"/>
      <c r="AD28" s="28">
        <v>3</v>
      </c>
      <c r="AE28" s="213">
        <f>((($W$25)^M28)*((1-($W$25))^($U$28-M28))*HLOOKUP($U$28,$AV$24:$BF$34,M28+1))*V28</f>
        <v>4.1030080503102872E-3</v>
      </c>
      <c r="AF28" s="28">
        <v>3</v>
      </c>
      <c r="AG28" s="213">
        <f>((($W$25)^M28)*((1-($W$25))^($U$29-M28))*HLOOKUP($U$29,$AV$24:$BF$34,M28+1))*V29</f>
        <v>1.5805521727095772E-2</v>
      </c>
      <c r="AH28" s="28">
        <v>3</v>
      </c>
      <c r="AI28" s="213">
        <f>((($W$25)^M28)*((1-($W$25))^($U$30-M28))*HLOOKUP($U$30,$AV$24:$BF$34,M28+1))*V30</f>
        <v>2.6104983769215672E-2</v>
      </c>
      <c r="AJ28" s="28">
        <v>3</v>
      </c>
      <c r="AK28" s="213">
        <f>((($W$25)^M28)*((1-($W$25))^($U$31-M28))*HLOOKUP($U$31,$AV$24:$BF$34,M28+1))*V31</f>
        <v>2.3969588320463385E-2</v>
      </c>
      <c r="AL28" s="28">
        <v>3</v>
      </c>
      <c r="AM28" s="213">
        <f>((($W$25)^Q28)*((1-($W$25))^($U$32-Q28))*HLOOKUP($U$32,$AV$24:$BF$34,Q28+1))*V32</f>
        <v>1.3220971112135571E-2</v>
      </c>
      <c r="AN28" s="28">
        <v>3</v>
      </c>
      <c r="AO28" s="213">
        <f>((($W$25)^Q28)*((1-($W$25))^($U$33-Q28))*HLOOKUP($U$33,$AV$24:$BF$34,Q28+1))*V33</f>
        <v>4.3857115968918853E-3</v>
      </c>
      <c r="AP28" s="28">
        <v>3</v>
      </c>
      <c r="AQ28" s="213">
        <f>((($W$25)^Q28)*((1-($W$25))^($U$34-Q28))*HLOOKUP($U$34,$AV$24:$BF$34,Q28+1))*V34</f>
        <v>8.12969072357901E-4</v>
      </c>
      <c r="AR28" s="28">
        <v>3</v>
      </c>
      <c r="AS28" s="213">
        <f>((($W$25)^Q28)*((1-($W$25))^($U$35-Q28))*HLOOKUP($U$35,$AV$24:$BF$34,Q28+1))*V35</f>
        <v>6.6379447544399282E-5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0">BE27+BE28</f>
        <v>210</v>
      </c>
      <c r="BI28" s="31">
        <f t="shared" si="14"/>
        <v>2</v>
      </c>
      <c r="BJ28" s="31">
        <v>8</v>
      </c>
      <c r="BK28" s="107">
        <f t="shared" si="15"/>
        <v>7.1315291013062075E-3</v>
      </c>
      <c r="BQ28" s="31">
        <f>BQ22+1</f>
        <v>7</v>
      </c>
      <c r="BR28" s="31">
        <v>4</v>
      </c>
      <c r="BS28" s="107">
        <f t="shared" si="16"/>
        <v>3.2213482191188986E-4</v>
      </c>
    </row>
    <row r="29" spans="1:71" x14ac:dyDescent="0.25">
      <c r="A29" s="26" t="s">
        <v>118</v>
      </c>
      <c r="B29" s="206">
        <f>1/(1+EXP(-3.1416*4*((B14/(B14+C13))-(3.1416/6))))</f>
        <v>6.2199958135446112E-2</v>
      </c>
      <c r="C29" s="207">
        <f>1/(1+EXP(-3.1416*4*((C14/(C14+B13))-(3.1416/6))))</f>
        <v>6.2199958135446112E-2</v>
      </c>
      <c r="D29" s="204">
        <v>0.04</v>
      </c>
      <c r="E29" s="204">
        <v>0.04</v>
      </c>
      <c r="G29" s="87">
        <v>4</v>
      </c>
      <c r="H29" s="126">
        <f>J29*L25+J28*L26+J27*L27+J26*L28</f>
        <v>9.5106856760593855E-2</v>
      </c>
      <c r="I29" s="138">
        <v>4</v>
      </c>
      <c r="J29" s="86">
        <f t="shared" si="17"/>
        <v>2.1640252791835353E-2</v>
      </c>
      <c r="K29" s="138">
        <v>4</v>
      </c>
      <c r="L29" s="86"/>
      <c r="M29" s="85">
        <v>4</v>
      </c>
      <c r="N29" s="210">
        <f>(($B$24)^M29)*((1-($B$24))^($B$21-M29))*HLOOKUP($B$21,$AV$24:$BF$34,M29+1)</f>
        <v>0.10016053484306656</v>
      </c>
      <c r="O29" s="72">
        <v>4</v>
      </c>
      <c r="P29" s="210">
        <f t="shared" si="18"/>
        <v>0.10016053484306656</v>
      </c>
      <c r="Q29" s="28">
        <v>4</v>
      </c>
      <c r="R29" s="211">
        <f>P25*N29+P26*N28+P27*N27+P28*N26+P29*N25</f>
        <v>0.24505898462124065</v>
      </c>
      <c r="S29" s="72">
        <v>4</v>
      </c>
      <c r="T29" s="212">
        <f t="shared" si="19"/>
        <v>0</v>
      </c>
      <c r="U29" s="138">
        <v>4</v>
      </c>
      <c r="V29" s="86">
        <f>T29*R25+T28*R26+T27*R27+T26*R28+T25*R29</f>
        <v>0.24474801787537892</v>
      </c>
      <c r="W29" s="214"/>
      <c r="X29" s="28">
        <v>4</v>
      </c>
      <c r="Y29" s="211"/>
      <c r="Z29" s="28">
        <v>4</v>
      </c>
      <c r="AA29" s="213"/>
      <c r="AB29" s="28">
        <v>4</v>
      </c>
      <c r="AC29" s="213"/>
      <c r="AD29" s="28">
        <v>4</v>
      </c>
      <c r="AE29" s="213"/>
      <c r="AF29" s="28">
        <v>4</v>
      </c>
      <c r="AG29" s="213">
        <f>((($W$25)^M29)*((1-($W$25))^($U$29-M29))*HLOOKUP($U$29,$AV$24:$BF$34,M29+1))*V29</f>
        <v>1.5541474915188043E-3</v>
      </c>
      <c r="AH29" s="28">
        <v>4</v>
      </c>
      <c r="AI29" s="213">
        <f>((($W$25)^M29)*((1-($W$25))^($U$30-M29))*HLOOKUP($U$30,$AV$24:$BF$34,M29+1))*V30</f>
        <v>5.1337748593915551E-3</v>
      </c>
      <c r="AJ29" s="28">
        <v>4</v>
      </c>
      <c r="AK29" s="213">
        <f>((($W$25)^M29)*((1-($W$25))^($U$31-M29))*HLOOKUP($U$31,$AV$24:$BF$34,M29+1))*V31</f>
        <v>7.0707458198847354E-3</v>
      </c>
      <c r="AL29" s="28">
        <v>4</v>
      </c>
      <c r="AM29" s="213">
        <f>((($W$25)^Q29)*((1-($W$25))^($U$32-Q29))*HLOOKUP($U$32,$AV$24:$BF$34,Q29+1))*V32</f>
        <v>5.2000407058106265E-3</v>
      </c>
      <c r="AN29" s="28">
        <v>4</v>
      </c>
      <c r="AO29" s="213">
        <f>((($W$25)^Q29)*((1-($W$25))^($U$33-Q29))*HLOOKUP($U$33,$AV$24:$BF$34,Q29+1))*V33</f>
        <v>2.1562219819512675E-3</v>
      </c>
      <c r="AP29" s="28">
        <v>4</v>
      </c>
      <c r="AQ29" s="213">
        <f>((($W$25)^Q29)*((1-($W$25))^($U$34-Q29))*HLOOKUP($U$34,$AV$24:$BF$34,Q29+1))*V34</f>
        <v>4.7963257384464505E-4</v>
      </c>
      <c r="AR29" s="28">
        <v>4</v>
      </c>
      <c r="AS29" s="213">
        <f>((($W$25)^Q29)*((1-($W$25))^($U$35-Q29))*HLOOKUP($U$35,$AV$24:$BF$34,Q29+1))*V35</f>
        <v>4.5689359433718462E-5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0"/>
        <v>252</v>
      </c>
      <c r="BI29" s="31">
        <f t="shared" si="14"/>
        <v>2</v>
      </c>
      <c r="BJ29" s="31">
        <v>9</v>
      </c>
      <c r="BK29" s="107">
        <f t="shared" si="15"/>
        <v>1.8777869448532568E-3</v>
      </c>
      <c r="BQ29" s="31">
        <f>BQ23+1</f>
        <v>7</v>
      </c>
      <c r="BR29" s="31">
        <v>5</v>
      </c>
      <c r="BS29" s="107">
        <f t="shared" si="16"/>
        <v>2.8918778927887874E-4</v>
      </c>
    </row>
    <row r="30" spans="1:71" x14ac:dyDescent="0.25">
      <c r="A30" s="26" t="s">
        <v>119</v>
      </c>
      <c r="B30" s="275">
        <v>0.15</v>
      </c>
      <c r="C30" s="276">
        <v>0.15</v>
      </c>
      <c r="D30" s="204">
        <f>IF(B17="TL",0.875*B32,0.001)</f>
        <v>1E-3</v>
      </c>
      <c r="E30" s="204">
        <f>IF(C17="TL",0.875*C32,0.001)</f>
        <v>1E-3</v>
      </c>
      <c r="G30" s="87">
        <v>5</v>
      </c>
      <c r="H30" s="126">
        <f>J30*L25+J29*L26+J28*L27+J27*L28</f>
        <v>3.1560913233370999E-2</v>
      </c>
      <c r="I30" s="138">
        <v>5</v>
      </c>
      <c r="J30" s="86">
        <f t="shared" si="17"/>
        <v>3.6320973765216337E-3</v>
      </c>
      <c r="K30" s="138">
        <v>5</v>
      </c>
      <c r="L30" s="86"/>
      <c r="M30" s="85">
        <v>5</v>
      </c>
      <c r="N30" s="210">
        <f>(($B$24)^M30)*((1-($B$24))^($B$21-M30))*HLOOKUP($B$21,$AV$24:$BF$34,M30+1)</f>
        <v>1.5340061903146452E-2</v>
      </c>
      <c r="O30" s="72">
        <v>5</v>
      </c>
      <c r="P30" s="210">
        <f t="shared" si="18"/>
        <v>1.5340061903146452E-2</v>
      </c>
      <c r="Q30" s="28">
        <v>5</v>
      </c>
      <c r="R30" s="211">
        <f>P25*N30+P26*N29+P27*N28+P28*N27+P29*N26+P30*N25</f>
        <v>0.22519168851696308</v>
      </c>
      <c r="S30" s="72">
        <v>5</v>
      </c>
      <c r="T30" s="212">
        <f t="shared" si="19"/>
        <v>0</v>
      </c>
      <c r="U30" s="138">
        <v>5</v>
      </c>
      <c r="V30" s="86">
        <f>T30*R25+T29*R26+T28*R27+T27*R28+T26*R29+T25*R30</f>
        <v>0.22529102499748446</v>
      </c>
      <c r="W30" s="214"/>
      <c r="X30" s="28">
        <v>5</v>
      </c>
      <c r="Y30" s="211"/>
      <c r="Z30" s="28">
        <v>5</v>
      </c>
      <c r="AA30" s="213"/>
      <c r="AB30" s="28">
        <v>5</v>
      </c>
      <c r="AC30" s="213"/>
      <c r="AD30" s="28">
        <v>5</v>
      </c>
      <c r="AE30" s="213"/>
      <c r="AF30" s="28">
        <v>5</v>
      </c>
      <c r="AG30" s="213"/>
      <c r="AH30" s="28">
        <v>5</v>
      </c>
      <c r="AI30" s="213">
        <f>((($W$25)^M30)*((1-($W$25))^($U$30-M30))*HLOOKUP($U$30,$AV$24:$BF$34,M30+1))*V30</f>
        <v>4.0384080740936065E-4</v>
      </c>
      <c r="AJ30" s="28">
        <v>5</v>
      </c>
      <c r="AK30" s="213">
        <f>((($W$25)^M30)*((1-($W$25))^($U$31-M30))*HLOOKUP($U$31,$AV$24:$BF$34,M30+1))*V31</f>
        <v>1.1124195271886297E-3</v>
      </c>
      <c r="AL30" s="28">
        <v>5</v>
      </c>
      <c r="AM30" s="213">
        <f>((($W$25)^Q30)*((1-($W$25))^($U$32-Q30))*HLOOKUP($U$32,$AV$24:$BF$34,Q30+1))*V32</f>
        <v>1.2271605366689132E-3</v>
      </c>
      <c r="AN30" s="28">
        <v>5</v>
      </c>
      <c r="AO30" s="213">
        <f>((($W$25)^Q30)*((1-($W$25))^($U$33-Q30))*HLOOKUP($U$33,$AV$24:$BF$34,Q30+1))*V33</f>
        <v>6.7846405422478052E-4</v>
      </c>
      <c r="AP30" s="28">
        <v>5</v>
      </c>
      <c r="AQ30" s="213">
        <f>((($W$25)^Q30)*((1-($W$25))^($U$34-Q30))*HLOOKUP($U$34,$AV$24:$BF$34,Q30+1))*V34</f>
        <v>1.8864793566756416E-4</v>
      </c>
      <c r="AR30" s="28">
        <v>5</v>
      </c>
      <c r="AS30" s="213">
        <f>((($W$25)^Q30)*((1-($W$25))^($U$35-Q30))*HLOOKUP($U$35,$AV$24:$BF$34,Q30+1))*V35</f>
        <v>2.1564515362385199E-5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0"/>
        <v>210</v>
      </c>
      <c r="BI30" s="31">
        <f t="shared" ref="BI30" si="21">BI22+1</f>
        <v>2</v>
      </c>
      <c r="BJ30" s="31">
        <v>10</v>
      </c>
      <c r="BK30" s="107">
        <f t="shared" si="15"/>
        <v>3.5257726444007771E-4</v>
      </c>
      <c r="BQ30" s="31">
        <f>BM10+1</f>
        <v>7</v>
      </c>
      <c r="BR30" s="31">
        <v>6</v>
      </c>
      <c r="BS30" s="107">
        <f t="shared" si="16"/>
        <v>1.8990951706853308E-4</v>
      </c>
    </row>
    <row r="31" spans="1:71" x14ac:dyDescent="0.25">
      <c r="A31" s="184" t="s">
        <v>120</v>
      </c>
      <c r="B31" s="60">
        <f>(B25*D25)+(B26*D26)+(B27*D27)+(B28*D28)+(B29*D29)+(B30*D30)/(B25+B26+B27+B28+B29+B30)</f>
        <v>0.28228854946744131</v>
      </c>
      <c r="C31" s="61">
        <f>(C25*E25)+(C26*E26)+(C27*E27)+(C28*E28)+(C29*E29)+(C30*E30)/(C25+C26+C27+C28+C29+C30)</f>
        <v>0.67275832555955561</v>
      </c>
      <c r="G31" s="87">
        <v>6</v>
      </c>
      <c r="H31" s="126">
        <f>J31*L25+J30*L26+J29*L27+J28*L28</f>
        <v>7.6676469160447845E-3</v>
      </c>
      <c r="I31" s="138">
        <v>6</v>
      </c>
      <c r="J31" s="86">
        <f t="shared" si="17"/>
        <v>4.2377003032357532E-4</v>
      </c>
      <c r="K31" s="138">
        <v>6</v>
      </c>
      <c r="L31" s="86"/>
      <c r="M31" s="85"/>
      <c r="N31" s="211"/>
      <c r="O31" s="211"/>
      <c r="P31" s="211"/>
      <c r="Q31" s="28">
        <v>6</v>
      </c>
      <c r="R31" s="211">
        <f>P26*N30+P27*N29+P28*N28+P29*N27+P30*N26</f>
        <v>0.14370490530263877</v>
      </c>
      <c r="S31" s="72">
        <v>6</v>
      </c>
      <c r="T31" s="212">
        <f t="shared" si="19"/>
        <v>0</v>
      </c>
      <c r="U31" s="138">
        <v>6</v>
      </c>
      <c r="V31" s="86">
        <f>T31*R25+T30*R26+T29*R27+T28*R28+T27*R29+T26*R30+T25*R31</f>
        <v>0.14411233921871039</v>
      </c>
      <c r="W31" s="214"/>
      <c r="X31" s="28">
        <v>6</v>
      </c>
      <c r="Y31" s="211"/>
      <c r="Z31" s="28">
        <v>6</v>
      </c>
      <c r="AA31" s="213"/>
      <c r="AB31" s="28">
        <v>6</v>
      </c>
      <c r="AC31" s="213"/>
      <c r="AD31" s="28">
        <v>6</v>
      </c>
      <c r="AE31" s="213"/>
      <c r="AF31" s="28">
        <v>6</v>
      </c>
      <c r="AG31" s="213"/>
      <c r="AH31" s="28">
        <v>6</v>
      </c>
      <c r="AI31" s="213"/>
      <c r="AJ31" s="28">
        <v>6</v>
      </c>
      <c r="AK31" s="213">
        <f>((($W$25)^Q31)*((1-($W$25))^($U$31-Q31))*HLOOKUP($U$31,$AV$24:$BF$34,Q31+1))*V31</f>
        <v>7.2922364202754575E-5</v>
      </c>
      <c r="AL31" s="28">
        <v>6</v>
      </c>
      <c r="AM31" s="213">
        <f>((($W$25)^Q31)*((1-($W$25))^($U$32-Q31))*HLOOKUP($U$32,$AV$24:$BF$34,Q31+1))*V32</f>
        <v>1.6088794812219105E-4</v>
      </c>
      <c r="AN31" s="28">
        <v>6</v>
      </c>
      <c r="AO31" s="213">
        <f>((($W$25)^Q31)*((1-($W$25))^($U$33-Q31))*HLOOKUP($U$33,$AV$24:$BF$34,Q31+1))*V33</f>
        <v>1.3342592875646505E-4</v>
      </c>
      <c r="AP31" s="28">
        <v>6</v>
      </c>
      <c r="AQ31" s="213">
        <f>((($W$25)^Q31)*((1-($W$25))^($U$34-Q31))*HLOOKUP($U$34,$AV$24:$BF$34,Q31+1))*V34</f>
        <v>4.9465702946134123E-5</v>
      </c>
      <c r="AR31" s="28">
        <v>6</v>
      </c>
      <c r="AS31" s="213">
        <f>((($W$25)^Q31)*((1-($W$25))^($U$35-Q31))*HLOOKUP($U$35,$AV$24:$BF$34,Q31+1))*V35</f>
        <v>7.0680862960305614E-6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0"/>
        <v>120</v>
      </c>
      <c r="BI31" s="31">
        <f t="shared" ref="BI31:BI37" si="22">BI24+1</f>
        <v>3</v>
      </c>
      <c r="BJ31" s="31">
        <v>4</v>
      </c>
      <c r="BK31" s="107">
        <f t="shared" ref="BK31:BK37" si="23">$H$28*H43</f>
        <v>4.7670544182040295E-2</v>
      </c>
      <c r="BQ31" s="31">
        <f t="shared" ref="BQ31:BQ37" si="24">BQ24+1</f>
        <v>8</v>
      </c>
      <c r="BR31" s="31">
        <v>0</v>
      </c>
      <c r="BS31" s="107">
        <f t="shared" ref="BS31:BS38" si="25">$H$33*H39</f>
        <v>8.7120290350391956E-7</v>
      </c>
    </row>
    <row r="32" spans="1:71" x14ac:dyDescent="0.25">
      <c r="A32" s="26" t="s">
        <v>121</v>
      </c>
      <c r="B32" s="215">
        <f>IF(B17&lt;&gt;"TL",0.001,IF(B18&lt;5,0.1,IF(B18&lt;10,0.2,IF(B18&lt;14,0.3,0.35))))</f>
        <v>1E-3</v>
      </c>
      <c r="C32" s="216">
        <f>IF(C17&lt;&gt;"TL",0.001,IF(C18&lt;5,0.1,IF(C18&lt;10,0.2,IF(C18&lt;14,0.3,0.35))))</f>
        <v>1E-3</v>
      </c>
      <c r="G32" s="87">
        <v>7</v>
      </c>
      <c r="H32" s="126">
        <f>J32*L25+J31*L26+J30*L27+J29*L28</f>
        <v>1.3799579664449944E-3</v>
      </c>
      <c r="I32" s="138">
        <v>7</v>
      </c>
      <c r="J32" s="86">
        <f t="shared" si="17"/>
        <v>3.3960686143802637E-5</v>
      </c>
      <c r="K32" s="138">
        <v>7</v>
      </c>
      <c r="L32" s="86"/>
      <c r="M32" s="85"/>
      <c r="N32" s="211"/>
      <c r="O32" s="211"/>
      <c r="P32" s="211"/>
      <c r="Q32" s="28">
        <v>7</v>
      </c>
      <c r="R32" s="211">
        <f>P27*N30+P28*N29+P29*N28+P30*N27</f>
        <v>6.2883111927188803E-2</v>
      </c>
      <c r="S32" s="72">
        <v>7</v>
      </c>
      <c r="T32" s="212">
        <f t="shared" si="19"/>
        <v>0</v>
      </c>
      <c r="U32" s="138">
        <v>7</v>
      </c>
      <c r="V32" s="86">
        <f>T32*R25+T31*R26+T30*R27+T29*R28+T28*R29+T27*R30+T26*R31+T25*R32</f>
        <v>6.3287220894066049E-2</v>
      </c>
      <c r="W32" s="214"/>
      <c r="X32" s="28">
        <v>7</v>
      </c>
      <c r="Y32" s="211"/>
      <c r="Z32" s="28">
        <v>7</v>
      </c>
      <c r="AA32" s="213"/>
      <c r="AB32" s="28">
        <v>7</v>
      </c>
      <c r="AC32" s="213"/>
      <c r="AD32" s="28">
        <v>7</v>
      </c>
      <c r="AE32" s="213"/>
      <c r="AF32" s="28">
        <v>7</v>
      </c>
      <c r="AG32" s="213"/>
      <c r="AH32" s="28">
        <v>7</v>
      </c>
      <c r="AI32" s="213"/>
      <c r="AJ32" s="28">
        <v>7</v>
      </c>
      <c r="AK32" s="213"/>
      <c r="AL32" s="28">
        <v>7</v>
      </c>
      <c r="AM32" s="213">
        <f>((($W$25)^Q32)*((1-($W$25))^($U$32-Q32))*HLOOKUP($U$32,$AV$24:$BF$34,Q32+1))*V32</f>
        <v>9.0400089396264658E-6</v>
      </c>
      <c r="AN32" s="28">
        <v>7</v>
      </c>
      <c r="AO32" s="213">
        <f>((($W$25)^Q32)*((1-($W$25))^($U$33-Q32))*HLOOKUP($U$33,$AV$24:$BF$34,Q32+1))*V33</f>
        <v>1.4993933390465591E-5</v>
      </c>
      <c r="AP32" s="28">
        <v>7</v>
      </c>
      <c r="AQ32" s="213">
        <f>((($W$25)^Q32)*((1-($W$25))^($U$34-Q32))*HLOOKUP($U$34,$AV$24:$BF$34,Q32+1))*V34</f>
        <v>8.3381707963298113E-6</v>
      </c>
      <c r="AR32" s="28">
        <v>7</v>
      </c>
      <c r="AS32" s="213">
        <f>((($W$25)^Q32)*((1-($W$25))^($U$35-Q32))*HLOOKUP($U$35,$AV$24:$BF$34,Q32+1))*V35</f>
        <v>1.5885730173807733E-6</v>
      </c>
      <c r="AV32" s="14">
        <v>8</v>
      </c>
      <c r="BD32" s="31">
        <v>1</v>
      </c>
      <c r="BE32" s="31">
        <v>9</v>
      </c>
      <c r="BF32" s="31">
        <f t="shared" si="20"/>
        <v>45</v>
      </c>
      <c r="BI32" s="31">
        <f t="shared" si="22"/>
        <v>3</v>
      </c>
      <c r="BJ32" s="31">
        <v>5</v>
      </c>
      <c r="BK32" s="107">
        <f t="shared" si="23"/>
        <v>4.2794936616619539E-2</v>
      </c>
      <c r="BQ32" s="31">
        <f t="shared" si="24"/>
        <v>8</v>
      </c>
      <c r="BR32" s="31">
        <v>1</v>
      </c>
      <c r="BS32" s="107">
        <f t="shared" si="25"/>
        <v>5.8883766524995849E-6</v>
      </c>
    </row>
    <row r="33" spans="1:71" x14ac:dyDescent="0.25">
      <c r="A33" s="26" t="s">
        <v>122</v>
      </c>
      <c r="B33" s="300">
        <f>IF(B17&lt;&gt;"CA",0.005,IF((B18-B16)&lt;0,0.1,0.1+0.055*(B18-B16)))</f>
        <v>5.0000000000000001E-3</v>
      </c>
      <c r="C33" s="301">
        <f>IF(C17&lt;&gt;"CA",0.005,IF((C18-C16)&lt;0,0.1,0.1+0.055*(C18-C16)))</f>
        <v>5.0000000000000001E-3</v>
      </c>
      <c r="G33" s="87">
        <v>8</v>
      </c>
      <c r="H33" s="126">
        <f>J33*L25+J32*L26+J31*L27+J30*L28</f>
        <v>1.8398564152972876E-4</v>
      </c>
      <c r="I33" s="138">
        <v>8</v>
      </c>
      <c r="J33" s="86">
        <f t="shared" si="17"/>
        <v>1.7913647429248834E-6</v>
      </c>
      <c r="K33" s="138">
        <v>8</v>
      </c>
      <c r="L33" s="86"/>
      <c r="M33" s="85"/>
      <c r="N33" s="211"/>
      <c r="O33" s="211"/>
      <c r="P33" s="211"/>
      <c r="Q33" s="28">
        <v>8</v>
      </c>
      <c r="R33" s="211">
        <f>P28*N30+P29*N29+P30*N28</f>
        <v>1.8057838932088472E-2</v>
      </c>
      <c r="S33" s="72">
        <v>8</v>
      </c>
      <c r="T33" s="212">
        <f t="shared" si="19"/>
        <v>0</v>
      </c>
      <c r="U33" s="138">
        <v>8</v>
      </c>
      <c r="V33" s="86">
        <f>T33*R25+T32*R26+T31*R27+T30*R28+T29*R29+T28*R30+T27*R31+T26*R32+T25*R33</f>
        <v>1.8281965297063975E-2</v>
      </c>
      <c r="W33" s="214"/>
      <c r="X33" s="28">
        <v>8</v>
      </c>
      <c r="Y33" s="211"/>
      <c r="Z33" s="28">
        <v>8</v>
      </c>
      <c r="AA33" s="213"/>
      <c r="AB33" s="28">
        <v>8</v>
      </c>
      <c r="AC33" s="213"/>
      <c r="AD33" s="28">
        <v>8</v>
      </c>
      <c r="AE33" s="213"/>
      <c r="AF33" s="28">
        <v>8</v>
      </c>
      <c r="AG33" s="213"/>
      <c r="AH33" s="28">
        <v>8</v>
      </c>
      <c r="AI33" s="213"/>
      <c r="AJ33" s="28">
        <v>8</v>
      </c>
      <c r="AK33" s="213"/>
      <c r="AL33" s="28">
        <v>8</v>
      </c>
      <c r="AM33" s="213"/>
      <c r="AN33" s="28">
        <v>8</v>
      </c>
      <c r="AO33" s="213">
        <f>((($W$25)^Q33)*((1-($W$25))^($U$33-Q33))*HLOOKUP($U$33,$AV$24:$BF$34,Q33+1))*V33</f>
        <v>7.3717224806453664E-7</v>
      </c>
      <c r="AP33" s="28">
        <v>8</v>
      </c>
      <c r="AQ33" s="213">
        <f>((($W$25)^Q33)*((1-($W$25))^($U$34-Q33))*HLOOKUP($U$34,$AV$24:$BF$34,Q33+1))*V34</f>
        <v>8.1988734384869092E-7</v>
      </c>
      <c r="AR33" s="28">
        <v>8</v>
      </c>
      <c r="AS33" s="213">
        <f>((($W$25)^Q33)*((1-($W$25))^($U$35-Q33))*HLOOKUP($U$35,$AV$24:$BF$34,Q33+1))*V35</f>
        <v>2.3430515101165567E-7</v>
      </c>
      <c r="AV33" s="29">
        <v>9</v>
      </c>
      <c r="BE33" s="31">
        <v>1</v>
      </c>
      <c r="BF33" s="31">
        <f t="shared" si="20"/>
        <v>10</v>
      </c>
      <c r="BI33" s="31">
        <f t="shared" si="22"/>
        <v>3</v>
      </c>
      <c r="BJ33" s="31">
        <v>6</v>
      </c>
      <c r="BK33" s="107">
        <f t="shared" si="23"/>
        <v>2.8103419463548836E-2</v>
      </c>
      <c r="BQ33" s="31">
        <f t="shared" si="24"/>
        <v>8</v>
      </c>
      <c r="BR33" s="31">
        <v>2</v>
      </c>
      <c r="BS33" s="107">
        <f t="shared" si="25"/>
        <v>1.8202251688408206E-5</v>
      </c>
    </row>
    <row r="34" spans="1:71" x14ac:dyDescent="0.25">
      <c r="A34" s="40" t="s">
        <v>123</v>
      </c>
      <c r="B34" s="56">
        <f>B23*2</f>
        <v>4.3367603379824313</v>
      </c>
      <c r="C34" s="57">
        <f>C23*2</f>
        <v>5.6632396620175687</v>
      </c>
      <c r="G34" s="87">
        <v>9</v>
      </c>
      <c r="H34" s="126">
        <f>J34*L25+J33*L26+J32*L27+J31*L28</f>
        <v>1.7959909194790075E-5</v>
      </c>
      <c r="I34" s="138">
        <v>9</v>
      </c>
      <c r="J34" s="86">
        <f t="shared" si="17"/>
        <v>5.6309867701400931E-8</v>
      </c>
      <c r="K34" s="138">
        <v>9</v>
      </c>
      <c r="L34" s="86"/>
      <c r="M34" s="85"/>
      <c r="N34" s="211"/>
      <c r="O34" s="211"/>
      <c r="P34" s="211"/>
      <c r="Q34" s="28">
        <v>9</v>
      </c>
      <c r="R34" s="211">
        <f>P29*N30+P30*N29</f>
        <v>3.0729376094897963E-3</v>
      </c>
      <c r="S34" s="72">
        <v>9</v>
      </c>
      <c r="T34" s="212">
        <f t="shared" si="19"/>
        <v>0</v>
      </c>
      <c r="U34" s="138">
        <v>9</v>
      </c>
      <c r="V34" s="86">
        <f>T34*R25+T33*R26+T32*R27+T31*R28+T30*R29+T29*R30+T28*R31+T27*R32+T26*R33+T25*R34</f>
        <v>3.1478621161027897E-3</v>
      </c>
      <c r="W34" s="214"/>
      <c r="X34" s="28">
        <v>9</v>
      </c>
      <c r="Y34" s="211"/>
      <c r="Z34" s="28">
        <v>9</v>
      </c>
      <c r="AA34" s="213"/>
      <c r="AB34" s="28">
        <v>9</v>
      </c>
      <c r="AC34" s="213"/>
      <c r="AD34" s="28">
        <v>9</v>
      </c>
      <c r="AE34" s="213"/>
      <c r="AF34" s="28">
        <v>9</v>
      </c>
      <c r="AG34" s="213"/>
      <c r="AH34" s="28">
        <v>9</v>
      </c>
      <c r="AI34" s="213"/>
      <c r="AJ34" s="28">
        <v>9</v>
      </c>
      <c r="AK34" s="213"/>
      <c r="AL34" s="28">
        <v>9</v>
      </c>
      <c r="AM34" s="213"/>
      <c r="AN34" s="28">
        <v>9</v>
      </c>
      <c r="AO34" s="213"/>
      <c r="AP34" s="28">
        <v>9</v>
      </c>
      <c r="AQ34" s="213">
        <f>((($W$25)^Q34)*((1-($W$25))^($U$34-Q34))*HLOOKUP($U$34,$AV$24:$BF$34,Q34+1))*V34</f>
        <v>3.5830680801072293E-8</v>
      </c>
      <c r="AR34" s="28">
        <v>9</v>
      </c>
      <c r="AS34" s="213">
        <f>((($W$25)^Q34)*((1-($W$25))^($U$35-Q34))*HLOOKUP($U$35,$AV$24:$BF$34,Q34+1))*V35</f>
        <v>2.0479186900328635E-8</v>
      </c>
      <c r="AV34" s="14">
        <v>10</v>
      </c>
      <c r="BF34" s="31">
        <f t="shared" si="20"/>
        <v>1</v>
      </c>
      <c r="BI34" s="31">
        <f t="shared" si="22"/>
        <v>3</v>
      </c>
      <c r="BJ34" s="31">
        <v>7</v>
      </c>
      <c r="BK34" s="107">
        <f t="shared" si="23"/>
        <v>1.3661481481845863E-2</v>
      </c>
      <c r="BQ34" s="31">
        <f t="shared" si="24"/>
        <v>8</v>
      </c>
      <c r="BR34" s="31">
        <v>3</v>
      </c>
      <c r="BS34" s="107">
        <f t="shared" si="25"/>
        <v>3.4045292148514172E-5</v>
      </c>
    </row>
    <row r="35" spans="1:71" ht="15.75" thickBot="1" x14ac:dyDescent="0.3">
      <c r="G35" s="88">
        <v>10</v>
      </c>
      <c r="H35" s="127">
        <f>J35*L25+J34*L26+J33*L27+J32*L28</f>
        <v>1.2491590594339113E-6</v>
      </c>
      <c r="I35" s="94">
        <v>10</v>
      </c>
      <c r="J35" s="89">
        <f t="shared" si="17"/>
        <v>8.0548247628998099E-10</v>
      </c>
      <c r="K35" s="94">
        <v>10</v>
      </c>
      <c r="L35" s="89"/>
      <c r="M35" s="85"/>
      <c r="N35" s="211"/>
      <c r="O35" s="211"/>
      <c r="P35" s="211"/>
      <c r="Q35" s="28">
        <v>10</v>
      </c>
      <c r="R35" s="211">
        <f>P30*N30</f>
        <v>2.3531749919236515E-4</v>
      </c>
      <c r="S35" s="72">
        <v>10</v>
      </c>
      <c r="T35" s="212">
        <f t="shared" si="19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2.5068218724000335E-4</v>
      </c>
      <c r="W35" s="214"/>
      <c r="X35" s="28">
        <v>10</v>
      </c>
      <c r="Y35" s="211"/>
      <c r="Z35" s="28">
        <v>10</v>
      </c>
      <c r="AA35" s="213"/>
      <c r="AB35" s="28">
        <v>10</v>
      </c>
      <c r="AC35" s="213"/>
      <c r="AD35" s="28">
        <v>10</v>
      </c>
      <c r="AE35" s="213"/>
      <c r="AF35" s="28">
        <v>10</v>
      </c>
      <c r="AG35" s="213"/>
      <c r="AH35" s="28">
        <v>10</v>
      </c>
      <c r="AI35" s="213"/>
      <c r="AJ35" s="28">
        <v>10</v>
      </c>
      <c r="AK35" s="213"/>
      <c r="AL35" s="28">
        <v>10</v>
      </c>
      <c r="AM35" s="213"/>
      <c r="AN35" s="28">
        <v>10</v>
      </c>
      <c r="AO35" s="213"/>
      <c r="AP35" s="28">
        <v>10</v>
      </c>
      <c r="AQ35" s="213"/>
      <c r="AR35" s="28">
        <v>10</v>
      </c>
      <c r="AS35" s="213">
        <f>((($W$25)^Q35)*((1-($W$25))^($U$35-Q35))*HLOOKUP($U$35,$AV$24:$BF$34,Q35+1))*V35</f>
        <v>8.0548247628998099E-10</v>
      </c>
      <c r="BI35" s="31">
        <f t="shared" si="22"/>
        <v>3</v>
      </c>
      <c r="BJ35" s="31">
        <v>8</v>
      </c>
      <c r="BK35" s="107">
        <f t="shared" si="23"/>
        <v>4.9157629149313153E-3</v>
      </c>
      <c r="BQ35" s="31">
        <f t="shared" si="24"/>
        <v>8</v>
      </c>
      <c r="BR35" s="31">
        <v>4</v>
      </c>
      <c r="BS35" s="107">
        <f t="shared" si="25"/>
        <v>4.2949266071639024E-5</v>
      </c>
    </row>
    <row r="36" spans="1:71" ht="15.75" x14ac:dyDescent="0.25">
      <c r="A36" s="109" t="s">
        <v>124</v>
      </c>
      <c r="B36" s="219">
        <f>SUM(BO4:BO14)</f>
        <v>0.10587961634117178</v>
      </c>
      <c r="C36" s="1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208">
        <f>SUM(V39:V49)</f>
        <v>1</v>
      </c>
      <c r="W36" s="158"/>
      <c r="X36" s="158"/>
      <c r="AS36" s="82">
        <f>Y37+AA37+AC37+AE37+AG37+AI37+AK37+AM37+AO37+AQ37+AS37</f>
        <v>1</v>
      </c>
      <c r="BI36" s="31">
        <f t="shared" si="22"/>
        <v>3</v>
      </c>
      <c r="BJ36" s="31">
        <v>9</v>
      </c>
      <c r="BK36" s="107">
        <f t="shared" si="23"/>
        <v>1.2943585161786851E-3</v>
      </c>
      <c r="BQ36" s="31">
        <f t="shared" si="24"/>
        <v>8</v>
      </c>
      <c r="BR36" s="31">
        <v>5</v>
      </c>
      <c r="BS36" s="107">
        <f t="shared" si="25"/>
        <v>3.8556537392299878E-5</v>
      </c>
    </row>
    <row r="37" spans="1:71" ht="16.5" thickBot="1" x14ac:dyDescent="0.3">
      <c r="A37" s="110" t="s">
        <v>125</v>
      </c>
      <c r="B37" s="219">
        <f>SUM(BK4:BK59)</f>
        <v>0.79888201282353499</v>
      </c>
      <c r="G37" s="158"/>
      <c r="H37" s="266">
        <f>SUM(H39:H49)</f>
        <v>0.999836051776825</v>
      </c>
      <c r="I37" s="267"/>
      <c r="J37" s="266">
        <f>SUM(J39:J49)</f>
        <v>1</v>
      </c>
      <c r="K37" s="266"/>
      <c r="L37" s="266">
        <f>SUM(L39:L49)</f>
        <v>1</v>
      </c>
      <c r="M37" s="267"/>
      <c r="N37" s="268">
        <f>SUM(N39:N49)</f>
        <v>0.99999999999999989</v>
      </c>
      <c r="O37" s="267"/>
      <c r="P37" s="268">
        <f>SUM(P39:P49)</f>
        <v>0.99999999999999989</v>
      </c>
      <c r="Q37" s="267"/>
      <c r="R37" s="266">
        <f>SUM(R39:R49)</f>
        <v>0.99999999999999989</v>
      </c>
      <c r="S37" s="267"/>
      <c r="T37" s="266">
        <f>SUM(T39:T49)</f>
        <v>1</v>
      </c>
      <c r="U37" s="267"/>
      <c r="V37" s="208">
        <f>SUM(V39:V48)</f>
        <v>0.99621191753243699</v>
      </c>
      <c r="W37" s="158"/>
      <c r="X37" s="158"/>
      <c r="Y37" s="205">
        <f>SUM(Y39:Y49)</f>
        <v>2.3180535610223171E-4</v>
      </c>
      <c r="Z37" s="81"/>
      <c r="AA37" s="205">
        <f>SUM(AA39:AA49)</f>
        <v>3.0305681846580289E-3</v>
      </c>
      <c r="AB37" s="81"/>
      <c r="AC37" s="205">
        <f>SUM(AC39:AC49)</f>
        <v>1.7833975265218092E-2</v>
      </c>
      <c r="AD37" s="81"/>
      <c r="AE37" s="205">
        <f>SUM(AE39:AE49)</f>
        <v>6.2212968648501427E-2</v>
      </c>
      <c r="AF37" s="81"/>
      <c r="AG37" s="205">
        <f>SUM(AG39:AG49)</f>
        <v>0.14249527737151696</v>
      </c>
      <c r="AH37" s="81"/>
      <c r="AI37" s="205">
        <f>SUM(AI39:AI49)</f>
        <v>0.22396944105942748</v>
      </c>
      <c r="AJ37" s="81"/>
      <c r="AK37" s="205">
        <f>SUM(AK39:AK49)</f>
        <v>0.24475636150370289</v>
      </c>
      <c r="AL37" s="81"/>
      <c r="AM37" s="205">
        <f>SUM(AM39:AM49)</f>
        <v>0.18379238369322923</v>
      </c>
      <c r="AN37" s="81"/>
      <c r="AO37" s="205">
        <f>SUM(AO39:AO49)</f>
        <v>9.0946844651974182E-2</v>
      </c>
      <c r="AP37" s="81"/>
      <c r="AQ37" s="205">
        <f>SUM(AQ39:AQ49)</f>
        <v>2.6942291798106491E-2</v>
      </c>
      <c r="AR37" s="81"/>
      <c r="AS37" s="205">
        <f>SUM(AS39:AS49)</f>
        <v>3.7880824675630143E-3</v>
      </c>
      <c r="BI37" s="31">
        <f t="shared" si="22"/>
        <v>3</v>
      </c>
      <c r="BJ37" s="31">
        <v>10</v>
      </c>
      <c r="BK37" s="107">
        <f t="shared" si="23"/>
        <v>2.4303150370164175E-4</v>
      </c>
      <c r="BQ37" s="31">
        <f t="shared" si="24"/>
        <v>8</v>
      </c>
      <c r="BR37" s="31">
        <v>6</v>
      </c>
      <c r="BS37" s="107">
        <f t="shared" si="25"/>
        <v>2.5320064219396482E-5</v>
      </c>
    </row>
    <row r="38" spans="1:71" ht="16.5" thickBot="1" x14ac:dyDescent="0.3">
      <c r="A38" s="111" t="s">
        <v>126</v>
      </c>
      <c r="B38" s="219">
        <f>SUM(BS4:BS47)</f>
        <v>9.5073114720361299E-2</v>
      </c>
      <c r="G38" s="103" t="str">
        <f t="shared" ref="G38:AS38" si="26">G24</f>
        <v>G</v>
      </c>
      <c r="H38" s="104" t="str">
        <f t="shared" si="26"/>
        <v>p</v>
      </c>
      <c r="I38" s="103" t="str">
        <f t="shared" si="26"/>
        <v>GT</v>
      </c>
      <c r="J38" s="105" t="str">
        <f t="shared" si="26"/>
        <v>p(x)</v>
      </c>
      <c r="K38" s="106" t="str">
        <f t="shared" si="26"/>
        <v>EE(x)</v>
      </c>
      <c r="L38" s="105" t="str">
        <f t="shared" si="26"/>
        <v>p</v>
      </c>
      <c r="M38" s="90" t="str">
        <f t="shared" si="26"/>
        <v>OcaS</v>
      </c>
      <c r="N38" s="30" t="str">
        <f t="shared" si="26"/>
        <v>P</v>
      </c>
      <c r="O38" s="30" t="str">
        <f t="shared" si="26"/>
        <v>O_CA</v>
      </c>
      <c r="P38" s="30" t="str">
        <f t="shared" si="26"/>
        <v>p</v>
      </c>
      <c r="Q38" s="30" t="str">
        <f t="shared" si="26"/>
        <v>TotalN</v>
      </c>
      <c r="R38" s="30" t="str">
        <f t="shared" si="26"/>
        <v>p</v>
      </c>
      <c r="S38" s="30" t="str">
        <f t="shared" si="26"/>
        <v>OcaCA</v>
      </c>
      <c r="T38" s="139" t="str">
        <f t="shared" si="26"/>
        <v>p</v>
      </c>
      <c r="U38" s="140" t="str">
        <f t="shared" si="26"/>
        <v>Total</v>
      </c>
      <c r="V38" s="141" t="str">
        <f t="shared" si="26"/>
        <v>P</v>
      </c>
      <c r="W38" s="90" t="str">
        <f t="shared" si="26"/>
        <v>E(x)</v>
      </c>
      <c r="X38" s="30" t="str">
        <f t="shared" si="26"/>
        <v>G0</v>
      </c>
      <c r="Y38" s="30" t="str">
        <f t="shared" si="26"/>
        <v>p</v>
      </c>
      <c r="Z38" s="30" t="str">
        <f t="shared" si="26"/>
        <v>G1</v>
      </c>
      <c r="AA38" s="30" t="str">
        <f t="shared" si="26"/>
        <v>p</v>
      </c>
      <c r="AB38" s="30" t="str">
        <f t="shared" si="26"/>
        <v>G2</v>
      </c>
      <c r="AC38" s="30" t="str">
        <f t="shared" si="26"/>
        <v>p</v>
      </c>
      <c r="AD38" s="30" t="str">
        <f t="shared" si="26"/>
        <v>G3</v>
      </c>
      <c r="AE38" s="30" t="str">
        <f t="shared" si="26"/>
        <v>p</v>
      </c>
      <c r="AF38" s="30" t="str">
        <f t="shared" si="26"/>
        <v>G4</v>
      </c>
      <c r="AG38" s="30" t="str">
        <f t="shared" si="26"/>
        <v>p</v>
      </c>
      <c r="AH38" s="30" t="str">
        <f t="shared" si="26"/>
        <v>G5</v>
      </c>
      <c r="AI38" s="30" t="str">
        <f t="shared" si="26"/>
        <v>p</v>
      </c>
      <c r="AJ38" s="30" t="str">
        <f t="shared" si="26"/>
        <v>G6</v>
      </c>
      <c r="AK38" s="30" t="str">
        <f t="shared" si="26"/>
        <v>p</v>
      </c>
      <c r="AL38" s="30" t="str">
        <f t="shared" si="26"/>
        <v>G7</v>
      </c>
      <c r="AM38" s="30" t="str">
        <f t="shared" si="26"/>
        <v>p</v>
      </c>
      <c r="AN38" s="30" t="str">
        <f t="shared" si="26"/>
        <v>G8</v>
      </c>
      <c r="AO38" s="30" t="str">
        <f t="shared" si="26"/>
        <v>p</v>
      </c>
      <c r="AP38" s="30" t="str">
        <f t="shared" si="26"/>
        <v>G9</v>
      </c>
      <c r="AQ38" s="30" t="str">
        <f t="shared" si="26"/>
        <v>p</v>
      </c>
      <c r="AR38" s="30" t="str">
        <f t="shared" si="26"/>
        <v>G10</v>
      </c>
      <c r="AS38" s="30" t="str">
        <f t="shared" si="26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7">BI32+1</f>
        <v>4</v>
      </c>
      <c r="BJ38" s="31">
        <v>5</v>
      </c>
      <c r="BK38" s="107">
        <f t="shared" ref="BK38:BK43" si="28">$H$29*H44</f>
        <v>1.9930854649662572E-2</v>
      </c>
      <c r="BQ38" s="31">
        <f>BM11+1</f>
        <v>8</v>
      </c>
      <c r="BR38" s="31">
        <v>7</v>
      </c>
      <c r="BS38" s="107">
        <f t="shared" si="25"/>
        <v>1.230845196261937E-5</v>
      </c>
    </row>
    <row r="39" spans="1:71" x14ac:dyDescent="0.25">
      <c r="G39" s="128">
        <v>0</v>
      </c>
      <c r="H39" s="129">
        <f>L39*J39</f>
        <v>4.7351678982142141E-3</v>
      </c>
      <c r="I39" s="97">
        <v>0</v>
      </c>
      <c r="J39" s="98">
        <f t="shared" ref="J39:J49" si="29">Y39+AA39+AC39+AE39+AG39+AI39+AK39+AM39+AO39+AQ39+AS39</f>
        <v>8.1756515141331327E-3</v>
      </c>
      <c r="K39" s="102">
        <v>0</v>
      </c>
      <c r="L39" s="98">
        <f>AH18</f>
        <v>0.57917927275014069</v>
      </c>
      <c r="M39" s="85">
        <v>0</v>
      </c>
      <c r="N39" s="210">
        <f>(1-$C$24)^$B$21</f>
        <v>1.5340061903146452E-2</v>
      </c>
      <c r="O39" s="72">
        <v>0</v>
      </c>
      <c r="P39" s="210">
        <f t="shared" ref="P39:P44" si="30">N39</f>
        <v>1.5340061903146452E-2</v>
      </c>
      <c r="Q39" s="28">
        <v>0</v>
      </c>
      <c r="R39" s="211">
        <f>P39*N39</f>
        <v>2.3531749919236515E-4</v>
      </c>
      <c r="S39" s="72">
        <v>0</v>
      </c>
      <c r="T39" s="212">
        <f>(1-$C$33)^(INT(B23*2*(1-B31)))</f>
        <v>0.98507487500000002</v>
      </c>
      <c r="U39" s="138">
        <v>0</v>
      </c>
      <c r="V39" s="86">
        <f>R39*T39</f>
        <v>2.3180535610223171E-4</v>
      </c>
      <c r="W39" s="134">
        <f>C31</f>
        <v>0.67275832555955561</v>
      </c>
      <c r="X39" s="28">
        <v>0</v>
      </c>
      <c r="Y39" s="213">
        <f>V39</f>
        <v>2.3180535610223171E-4</v>
      </c>
      <c r="Z39" s="28">
        <v>0</v>
      </c>
      <c r="AA39" s="213">
        <f>((1-W39)^Z40)*V40</f>
        <v>9.9172820725343131E-4</v>
      </c>
      <c r="AB39" s="28">
        <v>0</v>
      </c>
      <c r="AC39" s="213">
        <f>(((1-$W$39)^AB41))*V41</f>
        <v>1.9097889332147097E-3</v>
      </c>
      <c r="AD39" s="28">
        <v>0</v>
      </c>
      <c r="AE39" s="213">
        <f>(((1-$W$39)^AB42))*V42</f>
        <v>2.1801518508046645E-3</v>
      </c>
      <c r="AF39" s="28">
        <v>0</v>
      </c>
      <c r="AG39" s="213">
        <f>(((1-$W$39)^AB43))*V43</f>
        <v>1.6340859498438114E-3</v>
      </c>
      <c r="AH39" s="28">
        <v>0</v>
      </c>
      <c r="AI39" s="213">
        <f>(((1-$W$39)^AB44))*V44</f>
        <v>8.4048854186004514E-4</v>
      </c>
      <c r="AJ39" s="28">
        <v>0</v>
      </c>
      <c r="AK39" s="213">
        <f>(((1-$W$39)^AB45))*V45</f>
        <v>3.0056999609432219E-4</v>
      </c>
      <c r="AL39" s="28">
        <v>0</v>
      </c>
      <c r="AM39" s="213">
        <f>(((1-$W$39)^AB46))*V46</f>
        <v>7.385973647996512E-5</v>
      </c>
      <c r="AN39" s="28">
        <v>0</v>
      </c>
      <c r="AO39" s="213">
        <f>(((1-$W$39)^AB47))*V47</f>
        <v>1.1960146124198113E-5</v>
      </c>
      <c r="AP39" s="28">
        <v>0</v>
      </c>
      <c r="AQ39" s="213">
        <f>(((1-$W$39)^AB48))*V48</f>
        <v>1.1594499102868507E-6</v>
      </c>
      <c r="AR39" s="28">
        <v>0</v>
      </c>
      <c r="AS39" s="213">
        <f>(((1-$W$39)^AB49))*V49</f>
        <v>5.3346445467719119E-8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7"/>
        <v>4</v>
      </c>
      <c r="BJ39" s="31">
        <v>6</v>
      </c>
      <c r="BK39" s="107">
        <f t="shared" si="28"/>
        <v>1.3088585070341326E-2</v>
      </c>
      <c r="BQ39" s="31">
        <f t="shared" ref="BQ39:BQ46" si="31">BQ31+1</f>
        <v>9</v>
      </c>
      <c r="BR39" s="31">
        <v>0</v>
      </c>
      <c r="BS39" s="107">
        <f t="shared" ref="BS39:BS47" si="32">$H$34*H39</f>
        <v>8.5043185474012262E-8</v>
      </c>
    </row>
    <row r="40" spans="1:71" x14ac:dyDescent="0.25">
      <c r="G40" s="91">
        <v>1</v>
      </c>
      <c r="H40" s="130">
        <f>L39*J40+L40*J39</f>
        <v>3.2004544504349974E-2</v>
      </c>
      <c r="I40" s="138">
        <v>1</v>
      </c>
      <c r="J40" s="86">
        <f t="shared" si="29"/>
        <v>5.0404471668103024E-2</v>
      </c>
      <c r="K40" s="95">
        <v>1</v>
      </c>
      <c r="L40" s="86">
        <f>AI18</f>
        <v>0.34386485962655194</v>
      </c>
      <c r="M40" s="85">
        <v>1</v>
      </c>
      <c r="N40" s="210">
        <f>(($C$24)^M26)*((1-($C$24))^($B$21-M26))*HLOOKUP($B$21,$AV$24:$BF$34,M26+1)</f>
        <v>0.10016053484306656</v>
      </c>
      <c r="O40" s="72">
        <v>1</v>
      </c>
      <c r="P40" s="210">
        <f t="shared" si="30"/>
        <v>0.10016053484306656</v>
      </c>
      <c r="Q40" s="28">
        <v>1</v>
      </c>
      <c r="R40" s="211">
        <f>P40*N39+P39*N40</f>
        <v>3.0729376094897963E-3</v>
      </c>
      <c r="S40" s="72">
        <v>1</v>
      </c>
      <c r="T40" s="212">
        <f t="shared" ref="T40:T49" si="33">(($C$33)^S40)*((1-($C$33))^(INT($B$23*2*(1-$B$31))-S40))*HLOOKUP(INT($B$23*2*(1-$B$31)),$AV$24:$BF$34,S40+1)</f>
        <v>1.4850375000000002E-2</v>
      </c>
      <c r="U40" s="138">
        <v>1</v>
      </c>
      <c r="V40" s="86">
        <f>R40*T39+T40*R39</f>
        <v>3.0305681846580289E-3</v>
      </c>
      <c r="W40" s="214"/>
      <c r="X40" s="28">
        <v>1</v>
      </c>
      <c r="Y40" s="211"/>
      <c r="Z40" s="28">
        <v>1</v>
      </c>
      <c r="AA40" s="213">
        <f>(1-((1-W39)^Z40))*V40</f>
        <v>2.0388399774045976E-3</v>
      </c>
      <c r="AB40" s="28">
        <v>1</v>
      </c>
      <c r="AC40" s="213">
        <f>((($W$39)^M40)*((1-($W$39))^($U$27-M40))*HLOOKUP($U$27,$AV$24:$BF$34,M40+1))*V41</f>
        <v>7.852461989009454E-3</v>
      </c>
      <c r="AD40" s="28">
        <v>1</v>
      </c>
      <c r="AE40" s="213">
        <f>((($W$39)^M40)*((1-($W$39))^($U$28-M40))*HLOOKUP($U$28,$AV$24:$BF$34,M40+1))*V42</f>
        <v>1.344616615033099E-2</v>
      </c>
      <c r="AF40" s="28">
        <v>1</v>
      </c>
      <c r="AG40" s="213">
        <f>((($W$39)^M40)*((1-($W$39))^($U$29-M40))*HLOOKUP($U$29,$AV$24:$BF$34,M40+1))*V43</f>
        <v>1.3437713021327194E-2</v>
      </c>
      <c r="AH40" s="28">
        <v>1</v>
      </c>
      <c r="AI40" s="213">
        <f>((($W$39)^M40)*((1-($W$39))^($U$30-M40))*HLOOKUP($U$30,$AV$24:$BF$34,M40+1))*V44</f>
        <v>8.6395729553795479E-3</v>
      </c>
      <c r="AJ40" s="28">
        <v>1</v>
      </c>
      <c r="AK40" s="213">
        <f>((($W$39)^M40)*((1-($W$39))^($U$31-M40))*HLOOKUP($U$31,$AV$24:$BF$34,M40+1))*V45</f>
        <v>3.7075528530702341E-3</v>
      </c>
      <c r="AL40" s="28">
        <v>1</v>
      </c>
      <c r="AM40" s="213">
        <f>((($W$39)^Q40)*((1-($W$39))^($U$32-Q40))*HLOOKUP($U$32,$AV$24:$BF$34,Q40+1))*V46</f>
        <v>1.0629094508774789E-3</v>
      </c>
      <c r="AN40" s="28">
        <v>1</v>
      </c>
      <c r="AO40" s="213">
        <f>((($W$39)^Q40)*((1-($W$39))^($U$33-Q40))*HLOOKUP($U$33,$AV$24:$BF$34,Q40+1))*V47</f>
        <v>1.9670570122149884E-4</v>
      </c>
      <c r="AP40" s="28">
        <v>1</v>
      </c>
      <c r="AQ40" s="213">
        <f>((($W$39)^Q40)*((1-($W$39))^($U$34-Q40))*HLOOKUP($U$34,$AV$24:$BF$34,Q40+1))*V48</f>
        <v>2.1452848980610094E-5</v>
      </c>
      <c r="AR40" s="28">
        <v>1</v>
      </c>
      <c r="AS40" s="213">
        <f>((($W$39)^Q40)*((1-($W$39))^($U$35-Q40))*HLOOKUP($U$35,$AV$24:$BF$34,Q40+1))*V49</f>
        <v>1.096720501408767E-6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7"/>
        <v>4</v>
      </c>
      <c r="BJ40" s="31">
        <v>7</v>
      </c>
      <c r="BK40" s="107">
        <f t="shared" si="28"/>
        <v>6.3625518166554318E-3</v>
      </c>
      <c r="BQ40" s="31">
        <f t="shared" si="31"/>
        <v>9</v>
      </c>
      <c r="BR40" s="31">
        <v>1</v>
      </c>
      <c r="BS40" s="107">
        <f t="shared" si="32"/>
        <v>5.747987131187433E-7</v>
      </c>
    </row>
    <row r="41" spans="1:71" x14ac:dyDescent="0.25">
      <c r="G41" s="91">
        <v>2</v>
      </c>
      <c r="H41" s="130">
        <f>L39*J41+J40*L40+J39*L41</f>
        <v>9.8933001168284379E-2</v>
      </c>
      <c r="I41" s="138">
        <v>2</v>
      </c>
      <c r="J41" s="86">
        <f t="shared" si="29"/>
        <v>0.13988988337239275</v>
      </c>
      <c r="K41" s="95">
        <v>2</v>
      </c>
      <c r="L41" s="86">
        <f>AJ18</f>
        <v>7.0863303781438375E-2</v>
      </c>
      <c r="M41" s="85">
        <v>2</v>
      </c>
      <c r="N41" s="210">
        <f>(($C$24)^M27)*((1-($C$24))^($B$21-M27))*HLOOKUP($B$21,$AV$24:$BF$34,M27+1)</f>
        <v>0.26159301842169036</v>
      </c>
      <c r="O41" s="72">
        <v>2</v>
      </c>
      <c r="P41" s="210">
        <f t="shared" si="30"/>
        <v>0.26159301842169036</v>
      </c>
      <c r="Q41" s="28">
        <v>2</v>
      </c>
      <c r="R41" s="211">
        <f>P41*N39+P40*N40+P39*N41</f>
        <v>1.8057838932088472E-2</v>
      </c>
      <c r="S41" s="72">
        <v>2</v>
      </c>
      <c r="T41" s="212">
        <f t="shared" si="33"/>
        <v>7.4625000000000011E-5</v>
      </c>
      <c r="U41" s="138">
        <v>2</v>
      </c>
      <c r="V41" s="86">
        <f>R41*T39+T40*R40+R39*T41</f>
        <v>1.7833975265218092E-2</v>
      </c>
      <c r="W41" s="214"/>
      <c r="X41" s="28">
        <v>2</v>
      </c>
      <c r="Y41" s="211"/>
      <c r="Z41" s="28">
        <v>2</v>
      </c>
      <c r="AA41" s="213"/>
      <c r="AB41" s="28">
        <v>2</v>
      </c>
      <c r="AC41" s="213">
        <f>((($W$39)^M41)*((1-($W$39))^($U$27-M41))*HLOOKUP($U$27,$AV$24:$BF$34,M41+1))*V41</f>
        <v>8.071724342993929E-3</v>
      </c>
      <c r="AD41" s="28">
        <v>2</v>
      </c>
      <c r="AE41" s="213">
        <f>((($W$39)^M41)*((1-($W$39))^($U$28-M41))*HLOOKUP($U$28,$AV$24:$BF$34,M41+1))*V42</f>
        <v>2.7643240244263456E-2</v>
      </c>
      <c r="AF41" s="28">
        <v>2</v>
      </c>
      <c r="AG41" s="213">
        <f>((($W$39)^M41)*((1-($W$39))^($U$29-M41))*HLOOKUP($U$29,$AV$24:$BF$34,M41+1))*V43</f>
        <v>4.1438792875492375E-2</v>
      </c>
      <c r="AH41" s="28">
        <v>2</v>
      </c>
      <c r="AI41" s="213">
        <f>((($W$39)^M41)*((1-($W$39))^($U$30-M41))*HLOOKUP($U$30,$AV$24:$BF$34,M41+1))*V44</f>
        <v>3.5523254456813216E-2</v>
      </c>
      <c r="AJ41" s="28">
        <v>2</v>
      </c>
      <c r="AK41" s="213">
        <f>((($W$39)^M41)*((1-($W$39))^($U$31-M41))*HLOOKUP($U$31,$AV$24:$BF$34,M41+1))*V45</f>
        <v>1.9055389672022246E-2</v>
      </c>
      <c r="AL41" s="28">
        <v>2</v>
      </c>
      <c r="AM41" s="213">
        <f>((($W$39)^Q41)*((1-($W$39))^($U$32-Q41))*HLOOKUP($U$32,$AV$24:$BF$34,Q41+1))*V46</f>
        <v>6.5555328515216277E-3</v>
      </c>
      <c r="AN41" s="28">
        <v>2</v>
      </c>
      <c r="AO41" s="213">
        <f>((($W$39)^Q41)*((1-($W$39))^($U$33-Q41))*HLOOKUP($U$33,$AV$24:$BF$34,Q41+1))*V47</f>
        <v>1.4153878610609926E-3</v>
      </c>
      <c r="AP41" s="28">
        <v>2</v>
      </c>
      <c r="AQ41" s="213">
        <f>((($W$39)^Q41)*((1-($W$39))^($U$34-Q41))*HLOOKUP($U$34,$AV$24:$BF$34,Q41+1))*V48</f>
        <v>1.7641497261442347E-4</v>
      </c>
      <c r="AR41" s="28">
        <v>2</v>
      </c>
      <c r="AS41" s="213">
        <f>((($W$39)^Q41)*((1-($W$39))^($U$35-Q41))*HLOOKUP($U$35,$AV$24:$BF$34,Q41+1))*V49</f>
        <v>1.0146095610478088E-5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7"/>
        <v>4</v>
      </c>
      <c r="BJ41" s="31">
        <v>8</v>
      </c>
      <c r="BK41" s="107">
        <f t="shared" si="28"/>
        <v>2.2894146806996E-3</v>
      </c>
      <c r="BQ41" s="31">
        <f t="shared" si="31"/>
        <v>9</v>
      </c>
      <c r="BR41" s="31">
        <v>2</v>
      </c>
      <c r="BS41" s="107">
        <f t="shared" si="32"/>
        <v>1.7768277173504477E-6</v>
      </c>
    </row>
    <row r="42" spans="1:71" ht="15" customHeight="1" x14ac:dyDescent="0.25">
      <c r="G42" s="91">
        <v>3</v>
      </c>
      <c r="H42" s="130">
        <f>J42*L39+J41*L40+L42*J39+L41*J40</f>
        <v>0.18504320155338355</v>
      </c>
      <c r="I42" s="138">
        <v>3</v>
      </c>
      <c r="J42" s="86">
        <f t="shared" si="29"/>
        <v>0.23018494385125632</v>
      </c>
      <c r="K42" s="95">
        <v>3</v>
      </c>
      <c r="L42" s="86">
        <f>AK18</f>
        <v>6.0925638418689865E-3</v>
      </c>
      <c r="M42" s="85">
        <v>3</v>
      </c>
      <c r="N42" s="210">
        <f>(($C$24)^M28)*((1-($C$24))^($B$21-M28))*HLOOKUP($B$21,$AV$24:$BF$34,M28+1)</f>
        <v>0.34160613955481417</v>
      </c>
      <c r="O42" s="72">
        <v>3</v>
      </c>
      <c r="P42" s="210">
        <f t="shared" si="30"/>
        <v>0.34160613955481417</v>
      </c>
      <c r="Q42" s="28">
        <v>3</v>
      </c>
      <c r="R42" s="211">
        <f>P42*N39+P41*N40+P40*N41+P39*N42</f>
        <v>6.2883111927188803E-2</v>
      </c>
      <c r="S42" s="72">
        <v>3</v>
      </c>
      <c r="T42" s="212">
        <f t="shared" si="33"/>
        <v>1.2500000000000002E-7</v>
      </c>
      <c r="U42" s="138">
        <v>3</v>
      </c>
      <c r="V42" s="86">
        <f>R42*T39+R41*T40+R40*T41+R39*T42</f>
        <v>6.2212968648501427E-2</v>
      </c>
      <c r="W42" s="214"/>
      <c r="X42" s="28">
        <v>3</v>
      </c>
      <c r="Y42" s="211"/>
      <c r="Z42" s="28">
        <v>3</v>
      </c>
      <c r="AA42" s="213"/>
      <c r="AB42" s="28">
        <v>3</v>
      </c>
      <c r="AC42" s="213"/>
      <c r="AD42" s="28">
        <v>3</v>
      </c>
      <c r="AE42" s="213">
        <f>((($W$39)^M42)*((1-($W$39))^($U$28-M42))*HLOOKUP($U$28,$AV$24:$BF$34,M42+1))*V42</f>
        <v>1.8943410403102316E-2</v>
      </c>
      <c r="AF42" s="28">
        <v>3</v>
      </c>
      <c r="AG42" s="213">
        <f>((($W$39)^M42)*((1-($W$39))^($U$29-M42))*HLOOKUP($U$29,$AV$24:$BF$34,M42+1))*V43</f>
        <v>5.6794504053301519E-2</v>
      </c>
      <c r="AH42" s="28">
        <v>3</v>
      </c>
      <c r="AI42" s="213">
        <f>((($W$39)^M42)*((1-($W$39))^($U$30-M42))*HLOOKUP($U$30,$AV$24:$BF$34,M42+1))*V44</f>
        <v>7.3030323010222359E-2</v>
      </c>
      <c r="AJ42" s="28">
        <v>3</v>
      </c>
      <c r="AK42" s="213">
        <f>((($W$39)^M42)*((1-($W$39))^($U$31-M42))*HLOOKUP($U$31,$AV$24:$BF$34,M42+1))*V45</f>
        <v>5.2233249613067946E-2</v>
      </c>
      <c r="AL42" s="28">
        <v>3</v>
      </c>
      <c r="AM42" s="213">
        <f>((($W$39)^Q42)*((1-($W$39))^($U$32-Q42))*HLOOKUP($U$32,$AV$24:$BF$34,Q42+1))*V46</f>
        <v>2.2461937913223571E-2</v>
      </c>
      <c r="AN42" s="28">
        <v>3</v>
      </c>
      <c r="AO42" s="213">
        <f>((($W$39)^Q42)*((1-($W$39))^($U$33-Q42))*HLOOKUP($U$33,$AV$24:$BF$34,Q42+1))*V47</f>
        <v>5.8196375449607396E-3</v>
      </c>
      <c r="AP42" s="28">
        <v>3</v>
      </c>
      <c r="AQ42" s="213">
        <f>((($W$39)^Q42)*((1-($W$39))^($U$34-Q42))*HLOOKUP($U$34,$AV$24:$BF$34,Q42+1))*V48</f>
        <v>8.4625783322431431E-4</v>
      </c>
      <c r="AR42" s="28">
        <v>3</v>
      </c>
      <c r="AS42" s="213">
        <f>((($W$39)^Q42)*((1-($W$39))^($U$35-Q42))*HLOOKUP($U$35,$AV$24:$BF$34,Q42+1))*V49</f>
        <v>5.5623480153571985E-5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4">BE41+BE42</f>
        <v>210</v>
      </c>
      <c r="BI42" s="31">
        <f t="shared" si="27"/>
        <v>4</v>
      </c>
      <c r="BJ42" s="31">
        <v>9</v>
      </c>
      <c r="BK42" s="107">
        <f t="shared" si="28"/>
        <v>6.0282064865803983E-4</v>
      </c>
      <c r="BQ42" s="31">
        <f t="shared" si="31"/>
        <v>9</v>
      </c>
      <c r="BR42" s="31">
        <v>3</v>
      </c>
      <c r="BS42" s="107">
        <f t="shared" si="32"/>
        <v>3.3233590970120063E-6</v>
      </c>
    </row>
    <row r="43" spans="1:71" ht="15" customHeight="1" x14ac:dyDescent="0.25">
      <c r="G43" s="91">
        <v>4</v>
      </c>
      <c r="H43" s="130">
        <f>J43*L39+J42*L40+J41*L41+J40*L42</f>
        <v>0.23343814068609911</v>
      </c>
      <c r="I43" s="138">
        <v>4</v>
      </c>
      <c r="J43" s="86">
        <f t="shared" si="29"/>
        <v>0.24874073071287184</v>
      </c>
      <c r="K43" s="95">
        <v>4</v>
      </c>
      <c r="L43" s="86"/>
      <c r="M43" s="85">
        <v>4</v>
      </c>
      <c r="N43" s="210">
        <f>(($C$24)^M29)*((1-($C$24))^($B$21-M29))*HLOOKUP($B$21,$AV$24:$BF$34,M29+1)</f>
        <v>0.22304638572851768</v>
      </c>
      <c r="O43" s="72">
        <v>4</v>
      </c>
      <c r="P43" s="210">
        <f t="shared" si="30"/>
        <v>0.22304638572851768</v>
      </c>
      <c r="Q43" s="28">
        <v>4</v>
      </c>
      <c r="R43" s="211">
        <f>P43*N39+P42*N40+P41*N41+P40*N42+P39*N43</f>
        <v>0.14370490530263877</v>
      </c>
      <c r="S43" s="72">
        <v>4</v>
      </c>
      <c r="T43" s="212">
        <f t="shared" si="33"/>
        <v>0</v>
      </c>
      <c r="U43" s="138">
        <v>4</v>
      </c>
      <c r="V43" s="86">
        <f>T43*R39+T42*R40+T41*R41+T40*R42+T39*R43</f>
        <v>0.14249527737151696</v>
      </c>
      <c r="W43" s="214"/>
      <c r="X43" s="28">
        <v>4</v>
      </c>
      <c r="Y43" s="211"/>
      <c r="Z43" s="28">
        <v>4</v>
      </c>
      <c r="AA43" s="213"/>
      <c r="AB43" s="28">
        <v>4</v>
      </c>
      <c r="AC43" s="213"/>
      <c r="AD43" s="28">
        <v>4</v>
      </c>
      <c r="AE43" s="213"/>
      <c r="AF43" s="28">
        <v>4</v>
      </c>
      <c r="AG43" s="213">
        <f>((($W$39)^M43)*((1-($W$39))^($U$29-M43))*HLOOKUP($U$29,$AV$24:$BF$34,M43+1))*V43</f>
        <v>2.9190181471552064E-2</v>
      </c>
      <c r="AH43" s="28">
        <v>4</v>
      </c>
      <c r="AI43" s="213">
        <f>((($W$39)^M43)*((1-($W$39))^($U$30-M43))*HLOOKUP($U$30,$AV$24:$BF$34,M43+1))*V44</f>
        <v>7.5069530657184538E-2</v>
      </c>
      <c r="AJ43" s="28">
        <v>4</v>
      </c>
      <c r="AK43" s="213">
        <f>((($W$39)^M43)*((1-($W$39))^($U$31-M43))*HLOOKUP($U$31,$AV$24:$BF$34,M43+1))*V45</f>
        <v>8.0537618584893569E-2</v>
      </c>
      <c r="AL43" s="28">
        <v>4</v>
      </c>
      <c r="AM43" s="213">
        <f>((($W$39)^Q43)*((1-($W$39))^($U$32-Q43))*HLOOKUP($U$32,$AV$24:$BF$34,Q43+1))*V46</f>
        <v>4.6178274100211414E-2</v>
      </c>
      <c r="AN43" s="28">
        <v>4</v>
      </c>
      <c r="AO43" s="213">
        <f>((($W$39)^Q43)*((1-($W$39))^($U$33-Q43))*HLOOKUP($U$33,$AV$24:$BF$34,Q43+1))*V47</f>
        <v>1.495534461192171E-2</v>
      </c>
      <c r="AP43" s="28">
        <v>4</v>
      </c>
      <c r="AQ43" s="213">
        <f>((($W$39)^Q43)*((1-($W$39))^($U$34-Q43))*HLOOKUP($U$34,$AV$24:$BF$34,Q43+1))*V48</f>
        <v>2.6096630441942419E-3</v>
      </c>
      <c r="AR43" s="28">
        <v>4</v>
      </c>
      <c r="AS43" s="213">
        <f>((($W$39)^Q43)*((1-($W$39))^($U$35-Q43))*HLOOKUP($U$35,$AV$24:$BF$34,Q43+1))*V49</f>
        <v>2.0011824291427349E-4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4"/>
        <v>252</v>
      </c>
      <c r="BI43" s="31">
        <f t="shared" si="27"/>
        <v>4</v>
      </c>
      <c r="BJ43" s="31">
        <v>10</v>
      </c>
      <c r="BK43" s="107">
        <f t="shared" si="28"/>
        <v>1.13186885143913E-4</v>
      </c>
      <c r="BQ43" s="31">
        <f t="shared" si="31"/>
        <v>9</v>
      </c>
      <c r="BR43" s="31">
        <v>4</v>
      </c>
      <c r="BS43" s="107">
        <f t="shared" si="32"/>
        <v>4.1925278093229708E-6</v>
      </c>
    </row>
    <row r="44" spans="1:71" ht="15" customHeight="1" thickBot="1" x14ac:dyDescent="0.3">
      <c r="G44" s="91">
        <v>5</v>
      </c>
      <c r="H44" s="130">
        <f>J44*L39+J43*L40+J42*L41+J41*L42</f>
        <v>0.20956275213503461</v>
      </c>
      <c r="I44" s="138">
        <v>5</v>
      </c>
      <c r="J44" s="86">
        <f t="shared" si="29"/>
        <v>0.18451213133075331</v>
      </c>
      <c r="K44" s="95">
        <v>5</v>
      </c>
      <c r="L44" s="86"/>
      <c r="M44" s="85">
        <v>5</v>
      </c>
      <c r="N44" s="210">
        <f>(($C$24)^M30)*((1-($C$24))^($B$21-M30))*HLOOKUP($B$21,$AV$24:$BF$34,M30+1)</f>
        <v>5.8253859548764761E-2</v>
      </c>
      <c r="O44" s="72">
        <v>5</v>
      </c>
      <c r="P44" s="210">
        <f t="shared" si="30"/>
        <v>5.8253859548764761E-2</v>
      </c>
      <c r="Q44" s="28">
        <v>5</v>
      </c>
      <c r="R44" s="211">
        <f>P44*N39+P43*N40+P42*N41+P41*N42+P40*N43+P39*N44</f>
        <v>0.22519168851696308</v>
      </c>
      <c r="S44" s="72">
        <v>5</v>
      </c>
      <c r="T44" s="212">
        <f t="shared" si="33"/>
        <v>0</v>
      </c>
      <c r="U44" s="138">
        <v>5</v>
      </c>
      <c r="V44" s="86">
        <f>T44*R39+T43*R40+T42*R41+T41*R42+T40*R43+T39*R44</f>
        <v>0.22396944105942745</v>
      </c>
      <c r="W44" s="214"/>
      <c r="X44" s="28">
        <v>5</v>
      </c>
      <c r="Y44" s="211"/>
      <c r="Z44" s="28">
        <v>5</v>
      </c>
      <c r="AA44" s="213"/>
      <c r="AB44" s="28">
        <v>5</v>
      </c>
      <c r="AC44" s="213"/>
      <c r="AD44" s="28">
        <v>5</v>
      </c>
      <c r="AE44" s="213"/>
      <c r="AF44" s="28">
        <v>5</v>
      </c>
      <c r="AG44" s="213"/>
      <c r="AH44" s="28">
        <v>5</v>
      </c>
      <c r="AI44" s="213">
        <f>((($W$39)^M44)*((1-($W$39))^($U$30-M44))*HLOOKUP($U$30,$AV$24:$BF$34,M44+1))*V44</f>
        <v>3.0866271437967777E-2</v>
      </c>
      <c r="AJ44" s="28">
        <v>5</v>
      </c>
      <c r="AK44" s="213">
        <f>((($W$39)^M44)*((1-($W$39))^($U$31-M44))*HLOOKUP($U$31,$AV$24:$BF$34,M44+1))*V45</f>
        <v>6.622916047153761E-2</v>
      </c>
      <c r="AL44" s="28">
        <v>5</v>
      </c>
      <c r="AM44" s="213">
        <f>((($W$39)^Q44)*((1-($W$39))^($U$32-Q44))*HLOOKUP($U$32,$AV$24:$BF$34,Q44+1))*V46</f>
        <v>5.6961238352071258E-2</v>
      </c>
      <c r="AN44" s="28">
        <v>5</v>
      </c>
      <c r="AO44" s="213">
        <f>((($W$39)^Q44)*((1-($W$39))^($U$33-Q44))*HLOOKUP($U$33,$AV$24:$BF$34,Q44+1))*V47</f>
        <v>2.4596702401029083E-2</v>
      </c>
      <c r="AP44" s="28">
        <v>5</v>
      </c>
      <c r="AQ44" s="213">
        <f>((($W$39)^Q44)*((1-($W$39))^($U$34-Q44))*HLOOKUP($U$34,$AV$24:$BF$34,Q44+1))*V48</f>
        <v>5.3650640398684619E-3</v>
      </c>
      <c r="AR44" s="28">
        <v>5</v>
      </c>
      <c r="AS44" s="213">
        <f>((($W$39)^Q44)*((1-($W$39))^($U$35-Q44))*HLOOKUP($U$35,$AV$24:$BF$34,Q44+1))*V49</f>
        <v>4.9369462827912147E-4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4"/>
        <v>210</v>
      </c>
      <c r="BI44" s="31">
        <f>BI39+1</f>
        <v>5</v>
      </c>
      <c r="BJ44" s="31">
        <v>6</v>
      </c>
      <c r="BK44" s="107">
        <f>$H$30*H45</f>
        <v>4.3434060573831782E-3</v>
      </c>
      <c r="BQ44" s="31">
        <f t="shared" si="31"/>
        <v>9</v>
      </c>
      <c r="BR44" s="31">
        <v>5</v>
      </c>
      <c r="BS44" s="107">
        <f t="shared" si="32"/>
        <v>3.7637279989555215E-6</v>
      </c>
    </row>
    <row r="45" spans="1:71" ht="15" customHeight="1" thickBot="1" x14ac:dyDescent="0.3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>
        <f>J45*L39+J44*L40+J43*L41+J42*L42</f>
        <v>0.13761978385310691</v>
      </c>
      <c r="I45" s="138">
        <v>6</v>
      </c>
      <c r="J45" s="86">
        <f t="shared" si="29"/>
        <v>9.5209794063670777E-2</v>
      </c>
      <c r="K45" s="95">
        <v>6</v>
      </c>
      <c r="L45" s="86"/>
      <c r="M45" s="85"/>
      <c r="N45" s="211"/>
      <c r="O45" s="211"/>
      <c r="P45" s="211"/>
      <c r="Q45" s="28">
        <v>6</v>
      </c>
      <c r="R45" s="211">
        <f>P44*N40+P43*N41+P42*N42+P41*N43+P40*N44</f>
        <v>0.24505898462124065</v>
      </c>
      <c r="S45" s="72">
        <v>6</v>
      </c>
      <c r="T45" s="212">
        <f t="shared" si="33"/>
        <v>0</v>
      </c>
      <c r="U45" s="138">
        <v>6</v>
      </c>
      <c r="V45" s="86">
        <f>T45*R39+T44*R40+T43*R41+T42*R42+T41*R43+T40*R44+T39*R45</f>
        <v>0.24475636150370284</v>
      </c>
      <c r="W45" s="214"/>
      <c r="X45" s="28">
        <v>6</v>
      </c>
      <c r="Y45" s="211"/>
      <c r="Z45" s="28">
        <v>6</v>
      </c>
      <c r="AA45" s="213"/>
      <c r="AB45" s="28">
        <v>6</v>
      </c>
      <c r="AC45" s="213"/>
      <c r="AD45" s="28">
        <v>6</v>
      </c>
      <c r="AE45" s="213"/>
      <c r="AF45" s="28">
        <v>6</v>
      </c>
      <c r="AG45" s="213"/>
      <c r="AH45" s="28">
        <v>6</v>
      </c>
      <c r="AI45" s="213"/>
      <c r="AJ45" s="28">
        <v>6</v>
      </c>
      <c r="AK45" s="213">
        <f>((($W$39)^Q45)*((1-($W$39))^($U$31-Q45))*HLOOKUP($U$31,$AV$24:$BF$34,Q45+1))*V45</f>
        <v>2.2692820313016934E-2</v>
      </c>
      <c r="AL45" s="28">
        <v>6</v>
      </c>
      <c r="AM45" s="213">
        <f>((($W$39)^Q45)*((1-($W$39))^($U$32-Q45))*HLOOKUP($U$32,$AV$24:$BF$34,Q45+1))*V46</f>
        <v>3.9034501948306884E-2</v>
      </c>
      <c r="AN45" s="28">
        <v>6</v>
      </c>
      <c r="AO45" s="213">
        <f>((($W$39)^Q45)*((1-($W$39))^($U$33-Q45))*HLOOKUP($U$33,$AV$24:$BF$34,Q45+1))*V47</f>
        <v>2.5283510038716935E-2</v>
      </c>
      <c r="AP45" s="28">
        <v>6</v>
      </c>
      <c r="AQ45" s="213">
        <f>((($W$39)^Q45)*((1-($W$39))^($U$34-Q45))*HLOOKUP($U$34,$AV$24:$BF$34,Q45+1))*V48</f>
        <v>7.3531618614966982E-3</v>
      </c>
      <c r="AR45" s="28">
        <v>6</v>
      </c>
      <c r="AS45" s="213">
        <f>((($W$39)^Q45)*((1-($W$39))^($U$35-Q45))*HLOOKUP($U$35,$AV$24:$BF$34,Q45+1))*V49</f>
        <v>8.4579990213332762E-4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4"/>
        <v>120</v>
      </c>
      <c r="BI45" s="31">
        <f>BI40+1</f>
        <v>5</v>
      </c>
      <c r="BJ45" s="31">
        <v>7</v>
      </c>
      <c r="BK45" s="107">
        <f>$H$30*H46</f>
        <v>2.111392939141807E-3</v>
      </c>
      <c r="BQ45" s="31">
        <f t="shared" si="31"/>
        <v>9</v>
      </c>
      <c r="BR45" s="31">
        <v>6</v>
      </c>
      <c r="BS45" s="107">
        <f t="shared" si="32"/>
        <v>2.4716388214084375E-6</v>
      </c>
    </row>
    <row r="46" spans="1:71" ht="15" customHeight="1" thickBot="1" x14ac:dyDescent="0.3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>
        <f>J46*L39+J45*L40+J44*L41+J43*L42</f>
        <v>6.6898981139408897E-2</v>
      </c>
      <c r="I46" s="138">
        <v>7</v>
      </c>
      <c r="J46" s="86">
        <f t="shared" si="29"/>
        <v>3.3787588046647596E-2</v>
      </c>
      <c r="K46" s="95">
        <v>7</v>
      </c>
      <c r="L46" s="86"/>
      <c r="M46" s="85"/>
      <c r="N46" s="211"/>
      <c r="O46" s="211"/>
      <c r="P46" s="211"/>
      <c r="Q46" s="28">
        <v>7</v>
      </c>
      <c r="R46" s="211">
        <f>P44*N41+P43*N42+P42*N43+P41*N44</f>
        <v>0.182865635448895</v>
      </c>
      <c r="S46" s="72">
        <v>7</v>
      </c>
      <c r="T46" s="212">
        <f t="shared" si="33"/>
        <v>0</v>
      </c>
      <c r="U46" s="138">
        <v>7</v>
      </c>
      <c r="V46" s="86">
        <f>T46*R39+T45*R40+T44*R41+T43*R42+T42*R43+T41*R44+T40*R45+T39*R46</f>
        <v>0.18379238369322923</v>
      </c>
      <c r="W46" s="214"/>
      <c r="X46" s="28">
        <v>7</v>
      </c>
      <c r="Y46" s="211"/>
      <c r="Z46" s="28">
        <v>7</v>
      </c>
      <c r="AA46" s="213"/>
      <c r="AB46" s="28">
        <v>7</v>
      </c>
      <c r="AC46" s="213"/>
      <c r="AD46" s="28">
        <v>7</v>
      </c>
      <c r="AE46" s="213"/>
      <c r="AF46" s="28">
        <v>7</v>
      </c>
      <c r="AG46" s="213"/>
      <c r="AH46" s="28">
        <v>7</v>
      </c>
      <c r="AI46" s="213"/>
      <c r="AJ46" s="28">
        <v>7</v>
      </c>
      <c r="AK46" s="213"/>
      <c r="AL46" s="28">
        <v>7</v>
      </c>
      <c r="AM46" s="213">
        <f>((($W$39)^Q46)*((1-($W$39))^($U$32-Q46))*HLOOKUP($U$32,$AV$24:$BF$34,Q46+1))*V46</f>
        <v>1.1464129340537029E-2</v>
      </c>
      <c r="AN46" s="28">
        <v>7</v>
      </c>
      <c r="AO46" s="213">
        <f>((($W$39)^Q46)*((1-($W$39))^($U$33-Q46))*HLOOKUP($U$33,$AV$24:$BF$34,Q46+1))*V47</f>
        <v>1.4851140134974345E-2</v>
      </c>
      <c r="AP46" s="28">
        <v>7</v>
      </c>
      <c r="AQ46" s="213">
        <f>((($W$39)^Q46)*((1-($W$39))^($U$34-Q46))*HLOOKUP($U$34,$AV$24:$BF$34,Q46+1))*V48</f>
        <v>6.4786991841527947E-3</v>
      </c>
      <c r="AR46" s="28">
        <v>7</v>
      </c>
      <c r="AS46" s="213">
        <f>((($W$39)^Q46)*((1-($W$39))^($U$35-Q46))*HLOOKUP($U$35,$AV$24:$BF$34,Q46+1))*V49</f>
        <v>9.93619386983428E-4</v>
      </c>
      <c r="AV46" s="14">
        <v>8</v>
      </c>
      <c r="BD46" s="31">
        <v>1</v>
      </c>
      <c r="BE46" s="31">
        <v>9</v>
      </c>
      <c r="BF46" s="31">
        <f t="shared" si="34"/>
        <v>45</v>
      </c>
      <c r="BI46" s="31">
        <f>BI41+1</f>
        <v>5</v>
      </c>
      <c r="BJ46" s="31">
        <v>8</v>
      </c>
      <c r="BK46" s="107">
        <f>$H$30*H47</f>
        <v>7.597351080022663E-4</v>
      </c>
      <c r="BQ46" s="31">
        <f t="shared" si="31"/>
        <v>9</v>
      </c>
      <c r="BR46" s="31">
        <v>7</v>
      </c>
      <c r="BS46" s="107">
        <f t="shared" si="32"/>
        <v>1.2014996264877578E-6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>
        <f>J47*L39+J46*L40+J45*L41+J44*L42</f>
        <v>2.4072025495097484E-2</v>
      </c>
      <c r="I47" s="138">
        <v>8</v>
      </c>
      <c r="J47" s="86">
        <f t="shared" si="29"/>
        <v>7.9122803430505071E-3</v>
      </c>
      <c r="K47" s="95">
        <v>8</v>
      </c>
      <c r="L47" s="86"/>
      <c r="M47" s="85"/>
      <c r="N47" s="211"/>
      <c r="O47" s="211"/>
      <c r="P47" s="211"/>
      <c r="Q47" s="28">
        <v>8</v>
      </c>
      <c r="R47" s="211">
        <f>P44*N42+P43*N43+P42*N44</f>
        <v>8.9549442335798451E-2</v>
      </c>
      <c r="S47" s="72">
        <v>8</v>
      </c>
      <c r="T47" s="212">
        <f t="shared" si="33"/>
        <v>0</v>
      </c>
      <c r="U47" s="138">
        <v>8</v>
      </c>
      <c r="V47" s="86">
        <f>T47*R39+T46*R40+T45*R41+T44*R42+T43*R43+T42*R44+T41*R45+T40*R46+T39*R47</f>
        <v>9.0946844651974168E-2</v>
      </c>
      <c r="W47" s="214"/>
      <c r="X47" s="28">
        <v>8</v>
      </c>
      <c r="Y47" s="211"/>
      <c r="Z47" s="28">
        <v>8</v>
      </c>
      <c r="AA47" s="213"/>
      <c r="AB47" s="28">
        <v>8</v>
      </c>
      <c r="AC47" s="213"/>
      <c r="AD47" s="28">
        <v>8</v>
      </c>
      <c r="AE47" s="213"/>
      <c r="AF47" s="28">
        <v>8</v>
      </c>
      <c r="AG47" s="213"/>
      <c r="AH47" s="28">
        <v>8</v>
      </c>
      <c r="AI47" s="213"/>
      <c r="AJ47" s="28">
        <v>8</v>
      </c>
      <c r="AK47" s="213"/>
      <c r="AL47" s="28">
        <v>8</v>
      </c>
      <c r="AM47" s="213"/>
      <c r="AN47" s="28">
        <v>8</v>
      </c>
      <c r="AO47" s="213">
        <f>((($W$39)^Q47)*((1-($W$39))^($U$33-Q47))*HLOOKUP($U$33,$AV$24:$BF$34,Q47+1))*V47</f>
        <v>3.8164562119646778E-3</v>
      </c>
      <c r="AP47" s="28">
        <v>8</v>
      </c>
      <c r="AQ47" s="213">
        <f>((($W$39)^Q47)*((1-($W$39))^($U$34-Q47))*HLOOKUP($U$34,$AV$24:$BF$34,Q47+1))*V48</f>
        <v>3.329801149553713E-3</v>
      </c>
      <c r="AR47" s="28">
        <v>8</v>
      </c>
      <c r="AS47" s="213">
        <f>((($W$39)^Q47)*((1-($W$39))^($U$35-Q47))*HLOOKUP($U$35,$AV$24:$BF$34,Q47+1))*V49</f>
        <v>7.6602298153211588E-4</v>
      </c>
      <c r="AV47" s="29">
        <v>9</v>
      </c>
      <c r="BE47" s="31">
        <v>1</v>
      </c>
      <c r="BF47" s="31">
        <f t="shared" si="34"/>
        <v>10</v>
      </c>
      <c r="BI47" s="31">
        <f>BI42+1</f>
        <v>5</v>
      </c>
      <c r="BJ47" s="31">
        <v>9</v>
      </c>
      <c r="BK47" s="107">
        <f>$H$30*H48</f>
        <v>2.0004414860931233E-4</v>
      </c>
      <c r="BQ47" s="31">
        <f>BM12+1</f>
        <v>9</v>
      </c>
      <c r="BR47" s="31">
        <v>8</v>
      </c>
      <c r="BS47" s="107">
        <f t="shared" si="32"/>
        <v>4.3233139202662243E-7</v>
      </c>
    </row>
    <row r="48" spans="1:71" ht="15" customHeight="1" thickBot="1" x14ac:dyDescent="0.3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>
        <f>J48*L39+J47*L40+J46*L41+J45*L42</f>
        <v>6.3383510841440172E-3</v>
      </c>
      <c r="I48" s="138">
        <v>9</v>
      </c>
      <c r="J48" s="86">
        <f t="shared" si="29"/>
        <v>1.1105785037937967E-3</v>
      </c>
      <c r="K48" s="95">
        <v>9</v>
      </c>
      <c r="L48" s="86"/>
      <c r="M48" s="85"/>
      <c r="N48" s="211"/>
      <c r="O48" s="211"/>
      <c r="P48" s="211"/>
      <c r="Q48" s="28">
        <v>9</v>
      </c>
      <c r="R48" s="211">
        <f>P44*N43+P43*N44</f>
        <v>2.5986625654177354E-2</v>
      </c>
      <c r="S48" s="72">
        <v>9</v>
      </c>
      <c r="T48" s="212">
        <f t="shared" si="33"/>
        <v>0</v>
      </c>
      <c r="U48" s="138">
        <v>9</v>
      </c>
      <c r="V48" s="86">
        <f>T48*R39+T47*R40+T46*R41+T45*R42+T44*R43+T43*R44+T42*R45+T41*R46+T40*R47+T39*R48</f>
        <v>2.6942291798106487E-2</v>
      </c>
      <c r="W48" s="214"/>
      <c r="X48" s="28">
        <v>9</v>
      </c>
      <c r="Y48" s="211"/>
      <c r="Z48" s="28">
        <v>9</v>
      </c>
      <c r="AA48" s="213"/>
      <c r="AB48" s="28">
        <v>9</v>
      </c>
      <c r="AC48" s="213"/>
      <c r="AD48" s="28">
        <v>9</v>
      </c>
      <c r="AE48" s="213"/>
      <c r="AF48" s="28">
        <v>9</v>
      </c>
      <c r="AG48" s="213"/>
      <c r="AH48" s="28">
        <v>9</v>
      </c>
      <c r="AI48" s="213"/>
      <c r="AJ48" s="28">
        <v>9</v>
      </c>
      <c r="AK48" s="213"/>
      <c r="AL48" s="28">
        <v>9</v>
      </c>
      <c r="AM48" s="213"/>
      <c r="AN48" s="28">
        <v>9</v>
      </c>
      <c r="AO48" s="213"/>
      <c r="AP48" s="28">
        <v>9</v>
      </c>
      <c r="AQ48" s="213">
        <f>((($W$39)^Q48)*((1-($W$39))^($U$34-Q48))*HLOOKUP($U$34,$AV$24:$BF$34,Q48+1))*V48</f>
        <v>7.6061741411094519E-4</v>
      </c>
      <c r="AR48" s="28">
        <v>9</v>
      </c>
      <c r="AS48" s="213">
        <f>((($W$39)^Q48)*((1-($W$39))^($U$35-Q48))*HLOOKUP($U$35,$AV$24:$BF$34,Q48+1))*V49</f>
        <v>3.4996108968285146E-4</v>
      </c>
      <c r="AV48" s="14">
        <v>10</v>
      </c>
      <c r="BF48" s="31">
        <f t="shared" si="34"/>
        <v>1</v>
      </c>
      <c r="BI48" s="31">
        <f>BI43+1</f>
        <v>5</v>
      </c>
      <c r="BJ48" s="31">
        <v>10</v>
      </c>
      <c r="BK48" s="107">
        <f>$H$30*H49</f>
        <v>3.7560714157285554E-5</v>
      </c>
    </row>
    <row r="49" spans="1:63" ht="15" customHeight="1" thickBot="1" x14ac:dyDescent="0.3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>
        <f>J49*L39+J48*L40+J47*L41+J46*L42</f>
        <v>1.1901022597017457E-3</v>
      </c>
      <c r="I49" s="94">
        <v>10</v>
      </c>
      <c r="J49" s="89">
        <f t="shared" si="29"/>
        <v>7.1946593326969687E-5</v>
      </c>
      <c r="K49" s="96">
        <v>10</v>
      </c>
      <c r="L49" s="89"/>
      <c r="M49" s="85"/>
      <c r="N49" s="211"/>
      <c r="O49" s="211"/>
      <c r="P49" s="211"/>
      <c r="Q49" s="28">
        <v>10</v>
      </c>
      <c r="R49" s="211">
        <f>P44*N44</f>
        <v>3.3935121523272112E-3</v>
      </c>
      <c r="S49" s="72">
        <v>10</v>
      </c>
      <c r="T49" s="212">
        <f t="shared" si="33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3.7880824675630143E-3</v>
      </c>
      <c r="W49" s="214"/>
      <c r="X49" s="28">
        <v>10</v>
      </c>
      <c r="Y49" s="211"/>
      <c r="Z49" s="28">
        <v>10</v>
      </c>
      <c r="AA49" s="213"/>
      <c r="AB49" s="28">
        <v>10</v>
      </c>
      <c r="AC49" s="213"/>
      <c r="AD49" s="28">
        <v>10</v>
      </c>
      <c r="AE49" s="213"/>
      <c r="AF49" s="28">
        <v>10</v>
      </c>
      <c r="AG49" s="213"/>
      <c r="AH49" s="28">
        <v>10</v>
      </c>
      <c r="AI49" s="213"/>
      <c r="AJ49" s="28">
        <v>10</v>
      </c>
      <c r="AK49" s="213"/>
      <c r="AL49" s="28">
        <v>10</v>
      </c>
      <c r="AM49" s="213"/>
      <c r="AN49" s="28">
        <v>10</v>
      </c>
      <c r="AO49" s="213"/>
      <c r="AP49" s="28">
        <v>10</v>
      </c>
      <c r="AQ49" s="213"/>
      <c r="AR49" s="28">
        <v>10</v>
      </c>
      <c r="AS49" s="213">
        <f>((($W$39)^Q49)*((1-($W$39))^($U$35-Q49))*HLOOKUP($U$35,$AV$24:$BF$34,Q49+1))*V49</f>
        <v>7.1946593326969687E-5</v>
      </c>
      <c r="BI49" s="31">
        <f>BQ14+1</f>
        <v>6</v>
      </c>
      <c r="BJ49" s="31">
        <v>0</v>
      </c>
      <c r="BK49" s="107">
        <f>$H$31*H39</f>
        <v>3.6307595531696483E-5</v>
      </c>
    </row>
    <row r="50" spans="1:63" ht="15.75" thickBot="1" x14ac:dyDescent="0.3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217"/>
      <c r="H50" s="77"/>
      <c r="I50" s="218"/>
      <c r="J50" s="218"/>
      <c r="K50" s="77"/>
      <c r="L50" s="77"/>
      <c r="O50" s="204"/>
      <c r="P50" s="204"/>
      <c r="Q50" s="204"/>
      <c r="R50" s="204"/>
      <c r="S50" s="217"/>
      <c r="T50" s="217"/>
      <c r="U50" s="217"/>
      <c r="V50" s="77"/>
      <c r="W50" s="218"/>
      <c r="X50" s="158"/>
      <c r="Y50" s="158"/>
      <c r="BI50" s="31">
        <f>BI45+1</f>
        <v>6</v>
      </c>
      <c r="BJ50" s="31">
        <v>7</v>
      </c>
      <c r="BK50" s="107">
        <f>$H$31*H46</f>
        <v>5.1295776642012688E-4</v>
      </c>
    </row>
    <row r="51" spans="1:63" ht="15.75" thickBot="1" x14ac:dyDescent="0.3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I51" s="31">
        <f>BI46+1</f>
        <v>6</v>
      </c>
      <c r="BJ51" s="31">
        <v>8</v>
      </c>
      <c r="BK51" s="107">
        <f>$H$31*H47</f>
        <v>1.8457579205043566E-4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4.8600238143145986E-5</v>
      </c>
    </row>
    <row r="53" spans="1:63" x14ac:dyDescent="0.25">
      <c r="BI53" s="31">
        <f>BI48+1</f>
        <v>6</v>
      </c>
      <c r="BJ53" s="31">
        <v>10</v>
      </c>
      <c r="BK53" s="107">
        <f>$H$31*H49</f>
        <v>9.1252839213800198E-6</v>
      </c>
    </row>
    <row r="54" spans="1:63" x14ac:dyDescent="0.25">
      <c r="BI54" s="31">
        <f>BI51+1</f>
        <v>7</v>
      </c>
      <c r="BJ54" s="31">
        <v>8</v>
      </c>
      <c r="BK54" s="107">
        <f>$H$32*H47</f>
        <v>3.321838335042678E-5</v>
      </c>
    </row>
    <row r="55" spans="1:63" x14ac:dyDescent="0.25">
      <c r="BI55" s="31">
        <f>BI52+1</f>
        <v>7</v>
      </c>
      <c r="BJ55" s="31">
        <v>9</v>
      </c>
      <c r="BK55" s="107">
        <f>$H$32*H48</f>
        <v>8.7466580726898033E-6</v>
      </c>
    </row>
    <row r="56" spans="1:63" x14ac:dyDescent="0.25">
      <c r="BI56" s="31">
        <f>BI53+1</f>
        <v>7</v>
      </c>
      <c r="BJ56" s="31">
        <v>10</v>
      </c>
      <c r="BK56" s="107">
        <f>$H$32*H49</f>
        <v>1.6422910941596136E-6</v>
      </c>
    </row>
    <row r="57" spans="1:63" x14ac:dyDescent="0.25">
      <c r="BI57" s="31">
        <f>BI55+1</f>
        <v>8</v>
      </c>
      <c r="BJ57" s="31">
        <v>9</v>
      </c>
      <c r="BK57" s="107">
        <f>$H$33*H48</f>
        <v>1.1661655904568888E-6</v>
      </c>
    </row>
    <row r="58" spans="1:63" x14ac:dyDescent="0.25">
      <c r="BI58" s="31">
        <f>BI56+1</f>
        <v>8</v>
      </c>
      <c r="BJ58" s="31">
        <v>10</v>
      </c>
      <c r="BK58" s="107">
        <f>$H$33*H49</f>
        <v>2.1896172773720556E-7</v>
      </c>
    </row>
    <row r="59" spans="1:63" x14ac:dyDescent="0.25">
      <c r="BI59" s="31">
        <f>BI58+1</f>
        <v>9</v>
      </c>
      <c r="BJ59" s="31">
        <v>10</v>
      </c>
      <c r="BK59" s="107">
        <f>$H$34*H49</f>
        <v>2.1374128516757828E-8</v>
      </c>
    </row>
  </sheetData>
  <mergeCells count="2">
    <mergeCell ref="Q1:R1"/>
    <mergeCell ref="B3:C3"/>
  </mergeCells>
  <conditionalFormatting sqref="H49">
    <cfRule type="cellIs" dxfId="83" priority="1" operator="greaterThan">
      <formula>0.15</formula>
    </cfRule>
  </conditionalFormatting>
  <conditionalFormatting sqref="H39:H49">
    <cfRule type="cellIs" dxfId="82" priority="2" operator="greaterThan">
      <formula>0.15</formula>
    </cfRule>
  </conditionalFormatting>
  <conditionalFormatting sqref="H49">
    <cfRule type="cellIs" dxfId="81" priority="3" operator="greaterThan">
      <formula>0.15</formula>
    </cfRule>
  </conditionalFormatting>
  <conditionalFormatting sqref="H39:H49">
    <cfRule type="cellIs" dxfId="80" priority="4" operator="greaterThan">
      <formula>0.15</formula>
    </cfRule>
  </conditionalFormatting>
  <conditionalFormatting sqref="H35">
    <cfRule type="cellIs" dxfId="79" priority="5" operator="greaterThan">
      <formula>0.15</formula>
    </cfRule>
  </conditionalFormatting>
  <conditionalFormatting sqref="H25:H35">
    <cfRule type="cellIs" dxfId="78" priority="6" operator="greaterThan">
      <formula>0.15</formula>
    </cfRule>
  </conditionalFormatting>
  <conditionalFormatting sqref="H35">
    <cfRule type="cellIs" dxfId="77" priority="7" operator="greaterThan">
      <formula>0.15</formula>
    </cfRule>
  </conditionalFormatting>
  <conditionalFormatting sqref="H25:H35">
    <cfRule type="cellIs" dxfId="76" priority="8" operator="greaterThan">
      <formula>0.15</formula>
    </cfRule>
  </conditionalFormatting>
  <conditionalFormatting sqref="V49">
    <cfRule type="cellIs" dxfId="75" priority="9" operator="greaterThan">
      <formula>0.15</formula>
    </cfRule>
  </conditionalFormatting>
  <conditionalFormatting sqref="V35">
    <cfRule type="cellIs" dxfId="74" priority="10" operator="greaterThan">
      <formula>0.15</formula>
    </cfRule>
  </conditionalFormatting>
  <conditionalFormatting sqref="V25:V35 V39:V49">
    <cfRule type="cellIs" dxfId="73" priority="11" operator="greaterThan">
      <formula>0.15</formula>
    </cfRule>
  </conditionalFormatting>
  <conditionalFormatting sqref="V49">
    <cfRule type="cellIs" dxfId="72" priority="12" operator="greaterThan">
      <formula>0.15</formula>
    </cfRule>
  </conditionalFormatting>
  <conditionalFormatting sqref="V35">
    <cfRule type="cellIs" dxfId="71" priority="13" operator="greaterThan">
      <formula>0.15</formula>
    </cfRule>
  </conditionalFormatting>
  <conditionalFormatting sqref="V25:V35 V39:V49">
    <cfRule type="cellIs" dxfId="70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BR59"/>
  <sheetViews>
    <sheetView zoomScale="80" workbookViewId="0">
      <selection activeCell="B38" sqref="B38"/>
    </sheetView>
  </sheetViews>
  <sheetFormatPr baseColWidth="10" defaultColWidth="9.140625" defaultRowHeight="15" x14ac:dyDescent="0.25"/>
  <cols>
    <col min="1" max="1" width="22.7109375" customWidth="1"/>
    <col min="4" max="4" width="11.28515625" customWidth="1"/>
    <col min="5" max="5" width="10.140625" customWidth="1"/>
    <col min="6" max="6" width="4.85546875" customWidth="1"/>
    <col min="7" max="7" width="6" customWidth="1"/>
    <col min="9" max="9" width="4.42578125" customWidth="1"/>
    <col min="11" max="11" width="6" customWidth="1"/>
    <col min="13" max="13" width="5.7109375" customWidth="1"/>
    <col min="15" max="15" width="8.42578125" customWidth="1"/>
    <col min="16" max="16" width="10.140625" customWidth="1"/>
    <col min="17" max="17" width="8.85546875" customWidth="1"/>
    <col min="19" max="19" width="8.85546875" customWidth="1"/>
    <col min="21" max="21" width="8.85546875" customWidth="1"/>
    <col min="23" max="23" width="17.42578125" customWidth="1"/>
    <col min="24" max="24" width="7.140625" customWidth="1"/>
    <col min="25" max="25" width="8.42578125" customWidth="1"/>
    <col min="26" max="26" width="8.7109375" customWidth="1"/>
    <col min="27" max="27" width="8" customWidth="1"/>
    <col min="28" max="28" width="10" customWidth="1"/>
    <col min="29" max="29" width="8.42578125" customWidth="1"/>
    <col min="30" max="30" width="8.85546875" customWidth="1"/>
    <col min="31" max="31" width="8.42578125" customWidth="1"/>
    <col min="32" max="32" width="8.7109375" customWidth="1"/>
    <col min="33" max="33" width="8.42578125" customWidth="1"/>
    <col min="34" max="34" width="3.7109375" customWidth="1"/>
    <col min="36" max="36" width="3.7109375" customWidth="1"/>
    <col min="37" max="37" width="8.42578125" customWidth="1"/>
    <col min="38" max="38" width="4.85546875" customWidth="1"/>
    <col min="42" max="42" width="4.5703125" customWidth="1"/>
    <col min="43" max="43" width="8.42578125" customWidth="1"/>
    <col min="44" max="44" width="5.42578125" customWidth="1"/>
    <col min="45" max="45" width="8.42578125" customWidth="1"/>
    <col min="46" max="46" width="2.28515625" customWidth="1"/>
    <col min="47" max="47" width="3.42578125" customWidth="1"/>
    <col min="48" max="48" width="4.28515625" customWidth="1"/>
    <col min="49" max="52" width="3" customWidth="1"/>
    <col min="53" max="56" width="3.42578125" customWidth="1"/>
    <col min="57" max="58" width="4.42578125" customWidth="1"/>
    <col min="60" max="60" width="2.42578125" customWidth="1"/>
    <col min="61" max="61" width="3.42578125" customWidth="1"/>
    <col min="62" max="62" width="6.140625" customWidth="1"/>
    <col min="63" max="63" width="4.7109375" customWidth="1"/>
    <col min="64" max="65" width="3.42578125" customWidth="1"/>
    <col min="66" max="66" width="6.140625" customWidth="1"/>
    <col min="67" max="67" width="4.42578125" customWidth="1"/>
    <col min="68" max="69" width="2.42578125" customWidth="1"/>
    <col min="70" max="70" width="5.28515625" customWidth="1"/>
  </cols>
  <sheetData>
    <row r="1" spans="1:70" x14ac:dyDescent="0.25">
      <c r="A1" s="153" t="s">
        <v>143</v>
      </c>
      <c r="B1" t="s">
        <v>0</v>
      </c>
      <c r="F1" s="194" t="s">
        <v>1</v>
      </c>
      <c r="G1" s="192">
        <f>IF(D3="SI",COUNTIF($F$6:$F$18,"RAP"),0)</f>
        <v>5</v>
      </c>
      <c r="H1" s="13"/>
      <c r="J1" s="195" t="s">
        <v>1</v>
      </c>
      <c r="K1" s="192">
        <f>IF(D3="SI",COUNTIF($J$6:$J$18,"RAP"),0)</f>
        <v>0</v>
      </c>
      <c r="L1" s="13"/>
      <c r="P1" s="306"/>
      <c r="Q1" s="306"/>
      <c r="R1" s="151"/>
      <c r="S1" s="151"/>
      <c r="U1">
        <v>1.5</v>
      </c>
      <c r="V1">
        <v>2.5</v>
      </c>
      <c r="W1">
        <v>3.5</v>
      </c>
      <c r="AI1" s="156"/>
    </row>
    <row r="2" spans="1:70" x14ac:dyDescent="0.25">
      <c r="A2" s="153" t="s">
        <v>146</v>
      </c>
      <c r="B2" t="s">
        <v>0</v>
      </c>
      <c r="F2" s="194" t="s">
        <v>2</v>
      </c>
      <c r="G2" s="192">
        <f>IF(D3="SI",COUNTIF($F$6:$F$18,"TEC"),0)</f>
        <v>0</v>
      </c>
      <c r="H2" s="13"/>
      <c r="J2" s="195" t="s">
        <v>2</v>
      </c>
      <c r="K2" s="192">
        <f>IF(D3="SI",COUNTIF($J$6:$J$18,"TEC"),0)</f>
        <v>0</v>
      </c>
      <c r="L2" s="13"/>
      <c r="M2" s="158"/>
      <c r="O2" t="s">
        <v>3</v>
      </c>
      <c r="P2" s="201">
        <v>0.45</v>
      </c>
      <c r="R2" s="151"/>
      <c r="S2" s="151"/>
      <c r="Y2" t="s">
        <v>3</v>
      </c>
      <c r="Z2" s="202">
        <v>0.45</v>
      </c>
      <c r="AI2" s="13"/>
    </row>
    <row r="3" spans="1:70" x14ac:dyDescent="0.25">
      <c r="A3" s="157" t="s">
        <v>4</v>
      </c>
      <c r="B3" s="305" t="s">
        <v>5</v>
      </c>
      <c r="C3" s="305"/>
      <c r="D3" t="str">
        <f>IF(B3="Sol","SI",IF(B3="Lluvia","SI","NO"))</f>
        <v>SI</v>
      </c>
      <c r="F3" s="194" t="s">
        <v>6</v>
      </c>
      <c r="G3" s="192">
        <f>IF(D3="SI",COUNTIF($F$6:$F$18,"POT"),0)</f>
        <v>0</v>
      </c>
      <c r="H3" s="13"/>
      <c r="J3" s="195" t="s">
        <v>6</v>
      </c>
      <c r="K3" s="192">
        <f>IF(D3="SI",COUNTIF($J$6:$J$18,"POT"),0)</f>
        <v>0</v>
      </c>
      <c r="L3" s="13"/>
      <c r="O3" t="s">
        <v>7</v>
      </c>
      <c r="P3" s="201">
        <v>0.56999999999999995</v>
      </c>
      <c r="Q3" t="s">
        <v>8</v>
      </c>
      <c r="R3" s="201">
        <v>0.7</v>
      </c>
      <c r="Y3" t="s">
        <v>7</v>
      </c>
      <c r="Z3" s="202">
        <v>0.56999999999999995</v>
      </c>
      <c r="AA3" t="s">
        <v>8</v>
      </c>
      <c r="AB3" s="202">
        <v>0.7</v>
      </c>
      <c r="AI3" s="197">
        <f>SUM(AI5:AI19)</f>
        <v>3.5810000000000004</v>
      </c>
      <c r="AM3" s="197">
        <f>SUM(AM5:AM19)</f>
        <v>3.5809999999999995</v>
      </c>
      <c r="AN3" s="197">
        <f>SUM(AN5:AN19)</f>
        <v>2.5809999999999995</v>
      </c>
    </row>
    <row r="4" spans="1:70" ht="15.75" x14ac:dyDescent="0.25">
      <c r="A4" s="122"/>
      <c r="B4" s="8" t="s">
        <v>9</v>
      </c>
      <c r="C4" s="9" t="s">
        <v>10</v>
      </c>
      <c r="D4" s="13"/>
      <c r="E4" s="13"/>
      <c r="F4" s="8" t="s">
        <v>11</v>
      </c>
      <c r="G4" s="8" t="s">
        <v>12</v>
      </c>
      <c r="H4" s="8" t="s">
        <v>13</v>
      </c>
      <c r="I4" s="8" t="s">
        <v>14</v>
      </c>
      <c r="J4" s="9" t="s">
        <v>15</v>
      </c>
      <c r="K4" s="9" t="s">
        <v>12</v>
      </c>
      <c r="L4" s="9" t="s">
        <v>13</v>
      </c>
      <c r="M4" s="9" t="s">
        <v>14</v>
      </c>
      <c r="N4" s="13"/>
      <c r="O4" s="8" t="s">
        <v>16</v>
      </c>
      <c r="P4" s="8" t="s">
        <v>17</v>
      </c>
      <c r="Q4" s="8" t="s">
        <v>18</v>
      </c>
      <c r="R4" s="8" t="s">
        <v>19</v>
      </c>
      <c r="S4" s="8" t="s">
        <v>20</v>
      </c>
      <c r="T4" s="8" t="s">
        <v>21</v>
      </c>
      <c r="U4" s="8" t="s">
        <v>22</v>
      </c>
      <c r="V4" s="153"/>
      <c r="W4" s="123"/>
      <c r="X4" s="12" t="s">
        <v>23</v>
      </c>
      <c r="Y4" s="9" t="s">
        <v>16</v>
      </c>
      <c r="Z4" s="9" t="s">
        <v>17</v>
      </c>
      <c r="AA4" s="9" t="s">
        <v>18</v>
      </c>
      <c r="AB4" s="9" t="s">
        <v>24</v>
      </c>
      <c r="AC4" s="9" t="s">
        <v>20</v>
      </c>
      <c r="AD4" s="9" t="s">
        <v>21</v>
      </c>
      <c r="AE4" s="9" t="s">
        <v>22</v>
      </c>
      <c r="AF4" s="14"/>
      <c r="AG4" s="8" t="s">
        <v>25</v>
      </c>
      <c r="AH4" s="8" t="s">
        <v>26</v>
      </c>
      <c r="AI4" s="153" t="s">
        <v>27</v>
      </c>
      <c r="AK4" s="9" t="s">
        <v>25</v>
      </c>
      <c r="AL4" s="9" t="s">
        <v>26</v>
      </c>
      <c r="AM4" s="13" t="s">
        <v>28</v>
      </c>
      <c r="AO4" t="s">
        <v>29</v>
      </c>
      <c r="BH4">
        <v>0</v>
      </c>
      <c r="BI4">
        <v>1</v>
      </c>
      <c r="BJ4" s="107">
        <f t="shared" ref="BJ4:BJ13" si="0">$H$25*H40</f>
        <v>3.7016495474050388E-3</v>
      </c>
      <c r="BL4">
        <v>0</v>
      </c>
      <c r="BM4">
        <v>0</v>
      </c>
      <c r="BN4" s="107">
        <f>H25*H39</f>
        <v>7.5212464889746827E-4</v>
      </c>
      <c r="BP4">
        <v>1</v>
      </c>
      <c r="BQ4">
        <v>0</v>
      </c>
      <c r="BR4" s="107">
        <f>$H$26*H39</f>
        <v>2.6170460048061655E-3</v>
      </c>
    </row>
    <row r="5" spans="1:70" x14ac:dyDescent="0.25">
      <c r="A5" s="40" t="s">
        <v>30</v>
      </c>
      <c r="B5" s="154">
        <v>352</v>
      </c>
      <c r="C5" s="154">
        <v>352</v>
      </c>
      <c r="E5" s="187" t="s">
        <v>31</v>
      </c>
      <c r="F5" s="162" t="s">
        <v>32</v>
      </c>
      <c r="G5" s="162">
        <v>12</v>
      </c>
      <c r="H5" s="10"/>
      <c r="I5" s="10"/>
      <c r="J5" s="161" t="s">
        <v>32</v>
      </c>
      <c r="K5" s="161">
        <v>12</v>
      </c>
      <c r="L5" s="10"/>
      <c r="M5" s="10"/>
      <c r="O5" s="67">
        <f t="shared" ref="O5:O19" si="1">AG5*AI5*AO5*AH5</f>
        <v>0.10405850445563736</v>
      </c>
      <c r="P5" s="199">
        <f>P3</f>
        <v>0.56999999999999995</v>
      </c>
      <c r="Q5" s="203">
        <f t="shared" ref="Q5:Q19" si="2">P5*O5</f>
        <v>5.931334753971329E-2</v>
      </c>
      <c r="R5" s="155">
        <f t="shared" ref="R5:R19" si="3">IF($B$17="JC",IF($C$17="JC",$W$1,$V$1*1.1),IF($C$17="JC",$V$1/0.9,$U$1))*Q5/1.5</f>
        <v>5.931334753971329E-2</v>
      </c>
      <c r="S5" s="171">
        <f t="shared" ref="S5:S19" si="4">(1-R5)</f>
        <v>0.94068665246028671</v>
      </c>
      <c r="T5" s="172">
        <f>R5*PRODUCT(S6:S19)</f>
        <v>2.929486847442998E-2</v>
      </c>
      <c r="U5" s="172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2.3364633337307792E-2</v>
      </c>
      <c r="V5" s="18"/>
      <c r="W5" s="181" t="s">
        <v>33</v>
      </c>
      <c r="X5" s="15" t="s">
        <v>34</v>
      </c>
      <c r="Y5" s="69">
        <f t="shared" ref="Y5:Y19" si="5">AK5*AI5*AL5*AO5</f>
        <v>0</v>
      </c>
      <c r="Z5" s="69">
        <f>Z3</f>
        <v>0.56999999999999995</v>
      </c>
      <c r="AA5" s="69">
        <f t="shared" ref="AA5:AA19" si="6">Z5*Y5</f>
        <v>0</v>
      </c>
      <c r="AB5" s="155">
        <f t="shared" ref="AB5:AB19" si="7">IF($B$17="JC",IF($C$17="JC",$W$1,$V$1/0.9),IF($C$17="JC",$V$1*1.1,$U$1))*AA5/1.5</f>
        <v>0</v>
      </c>
      <c r="AC5" s="171">
        <f t="shared" ref="AC5:AC19" si="8">(1-AB5)</f>
        <v>1</v>
      </c>
      <c r="AD5" s="172">
        <f>AB5*PRODUCT(AC6:AC19)</f>
        <v>0</v>
      </c>
      <c r="AE5" s="172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193">
        <f>IF(COUNTIF(F5:F10,"IMP")+COUNTIF(J5:J10,"IMP")=0,0,COUNTIF(F5:F10,"IMP")/(COUNTIF(F5:F10,"IMP")+COUNTIF(J5:J10,"IMP")))</f>
        <v>1</v>
      </c>
      <c r="AH5">
        <f>COUNTIF(F5:F10,"IMP")</f>
        <v>1</v>
      </c>
      <c r="AI5" s="196">
        <f t="shared" ref="AI5:AI19" si="9">AN5*$AM$3/$AN$3</f>
        <v>0.62435102673382414</v>
      </c>
      <c r="AK5" s="193">
        <f>IF(COUNTIF(F5:F10,"IMP")+COUNTIF(J5:J10,"IMP")=0,0,COUNTIF(J5:J10,"IMP")/(COUNTIF(F5:F10,"IMP")+COUNTIF(J5:J10,"IMP")))</f>
        <v>0</v>
      </c>
      <c r="AL5">
        <f>COUNTIF(J5:J10,"IMP")</f>
        <v>0</v>
      </c>
      <c r="AM5" s="197">
        <v>0.45</v>
      </c>
      <c r="AN5" s="198">
        <f t="shared" ref="AN5:AN19" si="10">IF(AG5=0,IF(AK5=0,0,AM5),AM5)</f>
        <v>0.45</v>
      </c>
      <c r="AO5">
        <f>1/6</f>
        <v>0.16666666666666666</v>
      </c>
      <c r="BH5">
        <v>0</v>
      </c>
      <c r="BI5">
        <v>2</v>
      </c>
      <c r="BJ5" s="107">
        <f t="shared" si="0"/>
        <v>8.3116504192388332E-3</v>
      </c>
      <c r="BL5">
        <v>1</v>
      </c>
      <c r="BM5">
        <v>1</v>
      </c>
      <c r="BN5" s="107">
        <f>$H$26*H40</f>
        <v>1.2880028826909938E-2</v>
      </c>
      <c r="BP5">
        <f>BP4+1</f>
        <v>2</v>
      </c>
      <c r="BQ5">
        <v>0</v>
      </c>
      <c r="BR5" s="107">
        <f>$H$27*H39</f>
        <v>4.2103677454771041E-3</v>
      </c>
    </row>
    <row r="6" spans="1:70" x14ac:dyDescent="0.25">
      <c r="A6" s="2" t="s">
        <v>35</v>
      </c>
      <c r="B6" s="163">
        <v>10</v>
      </c>
      <c r="C6" s="164">
        <v>10</v>
      </c>
      <c r="E6" s="187" t="s">
        <v>36</v>
      </c>
      <c r="F6" s="162" t="s">
        <v>37</v>
      </c>
      <c r="G6" s="162"/>
      <c r="H6" s="10"/>
      <c r="I6" s="10"/>
      <c r="J6" s="161" t="s">
        <v>32</v>
      </c>
      <c r="K6" s="161"/>
      <c r="L6" s="10"/>
      <c r="M6" s="10"/>
      <c r="O6" s="67">
        <f t="shared" si="1"/>
        <v>0</v>
      </c>
      <c r="P6" s="199">
        <f>P3</f>
        <v>0.56999999999999995</v>
      </c>
      <c r="Q6" s="203">
        <f t="shared" si="2"/>
        <v>0</v>
      </c>
      <c r="R6" s="155">
        <f t="shared" si="3"/>
        <v>0</v>
      </c>
      <c r="S6" s="171">
        <f t="shared" si="4"/>
        <v>1</v>
      </c>
      <c r="T6" s="172">
        <f>R6*S5*PRODUCT(S7:S19)</f>
        <v>0</v>
      </c>
      <c r="U6" s="172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1" t="s">
        <v>38</v>
      </c>
      <c r="X6" s="15" t="s">
        <v>39</v>
      </c>
      <c r="Y6" s="69">
        <f t="shared" si="5"/>
        <v>0</v>
      </c>
      <c r="Z6" s="69">
        <f>Z3</f>
        <v>0.56999999999999995</v>
      </c>
      <c r="AA6" s="69">
        <f t="shared" si="6"/>
        <v>0</v>
      </c>
      <c r="AB6" s="155">
        <f t="shared" si="7"/>
        <v>0</v>
      </c>
      <c r="AC6" s="171">
        <f t="shared" si="8"/>
        <v>1</v>
      </c>
      <c r="AD6" s="172">
        <f>AB6*AC5*PRODUCT(AC7:AC19)</f>
        <v>0</v>
      </c>
      <c r="AE6" s="172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0</v>
      </c>
      <c r="AF6" s="18"/>
      <c r="AG6" s="193">
        <f>IF(COUNTIF(F11:F18,"IMP")+COUNTIF(J11:J18,"IMP")=0,0,COUNTIF(F11:F18,"IMP")/(COUNTIF(F11:F18,"IMP")+COUNTIF(J11:J18,"IMP")))</f>
        <v>0</v>
      </c>
      <c r="AH6">
        <f>COUNTIF(F11:F18,"IMP")</f>
        <v>0</v>
      </c>
      <c r="AI6" s="196">
        <f t="shared" si="9"/>
        <v>0</v>
      </c>
      <c r="AK6" s="193">
        <f>IF(COUNTIF(F11:F18,"IMP")+COUNTIF(J11:J18,"IMP")=0,0,COUNTIF(J11:J18,"IMP")/(COUNTIF(F11:F18,"IMP")+COUNTIF(J11:J18,"IMP")))</f>
        <v>0</v>
      </c>
      <c r="AL6">
        <f>COUNTIF(J11:J18,"IMP")</f>
        <v>0</v>
      </c>
      <c r="AM6" s="197">
        <v>0.35</v>
      </c>
      <c r="AN6" s="198">
        <f t="shared" si="10"/>
        <v>0</v>
      </c>
      <c r="AO6">
        <f>1/8</f>
        <v>0.125</v>
      </c>
      <c r="BH6">
        <v>0</v>
      </c>
      <c r="BI6">
        <v>3</v>
      </c>
      <c r="BJ6" s="107">
        <f t="shared" si="0"/>
        <v>1.1258101366155305E-2</v>
      </c>
      <c r="BL6">
        <f>BH14+1</f>
        <v>2</v>
      </c>
      <c r="BM6">
        <v>2</v>
      </c>
      <c r="BN6" s="107">
        <f>$H$27*H41</f>
        <v>4.652833129208489E-2</v>
      </c>
      <c r="BP6">
        <f>BL5+1</f>
        <v>2</v>
      </c>
      <c r="BQ6">
        <v>1</v>
      </c>
      <c r="BR6" s="107">
        <f>$H$27*H40</f>
        <v>2.0721706012827041E-2</v>
      </c>
    </row>
    <row r="7" spans="1:70" x14ac:dyDescent="0.25">
      <c r="A7" s="5" t="s">
        <v>40</v>
      </c>
      <c r="B7" s="163">
        <v>11.75</v>
      </c>
      <c r="C7" s="164">
        <v>14.5</v>
      </c>
      <c r="E7" s="187" t="s">
        <v>41</v>
      </c>
      <c r="F7" s="162"/>
      <c r="G7" s="162"/>
      <c r="H7" s="10"/>
      <c r="I7" s="10"/>
      <c r="J7" s="161"/>
      <c r="K7" s="161"/>
      <c r="L7" s="10"/>
      <c r="M7" s="10"/>
      <c r="O7" s="67">
        <f t="shared" si="1"/>
        <v>0</v>
      </c>
      <c r="P7" s="199">
        <f>P2</f>
        <v>0.45</v>
      </c>
      <c r="Q7" s="203">
        <f t="shared" si="2"/>
        <v>0</v>
      </c>
      <c r="R7" s="155">
        <f t="shared" si="3"/>
        <v>0</v>
      </c>
      <c r="S7" s="171">
        <f t="shared" si="4"/>
        <v>1</v>
      </c>
      <c r="T7" s="172">
        <f>R7*PRODUCT(S5:S6)*PRODUCT(S8:S19)</f>
        <v>0</v>
      </c>
      <c r="U7" s="172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2" t="s">
        <v>42</v>
      </c>
      <c r="X7" s="15" t="s">
        <v>43</v>
      </c>
      <c r="Y7" s="69">
        <f t="shared" si="5"/>
        <v>0</v>
      </c>
      <c r="Z7" s="69">
        <f>Z2</f>
        <v>0.45</v>
      </c>
      <c r="AA7" s="69">
        <f t="shared" si="6"/>
        <v>0</v>
      </c>
      <c r="AB7" s="155">
        <f t="shared" si="7"/>
        <v>0</v>
      </c>
      <c r="AC7" s="171">
        <f t="shared" si="8"/>
        <v>1</v>
      </c>
      <c r="AD7" s="172">
        <f>AB7*PRODUCT(AC5:AC6)*PRODUCT(AC8:AC19)</f>
        <v>0</v>
      </c>
      <c r="AE7" s="172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G7" s="193">
        <f>IF(COUNTIF(F14:F18,"IMP")+COUNTIF(J14:J18,"IMP")=0,0,COUNTIF(J14:J18,"IMP")/(COUNTIF(F14:F18,"IMP")+COUNTIF(J14:J18,"IMP")))</f>
        <v>0</v>
      </c>
      <c r="AH7">
        <f>COUNTIF(J14:J18,"IMP")</f>
        <v>0</v>
      </c>
      <c r="AI7" s="196">
        <f t="shared" si="9"/>
        <v>0</v>
      </c>
      <c r="AK7" s="193">
        <f>IF(COUNTIF(F14:F18,"IMP")+COUNTIF(J14:J18,"IMP")=0,0,COUNTIF(F14:F18,"IMP")/(COUNTIF(F14:F18,"IMP")+COUNTIF(J14:J18,"IMP")))</f>
        <v>0</v>
      </c>
      <c r="AL7">
        <f>COUNTIF(F14:F18,"IMP")</f>
        <v>0</v>
      </c>
      <c r="AM7" s="197">
        <v>0.05</v>
      </c>
      <c r="AN7" s="198">
        <f t="shared" si="10"/>
        <v>0</v>
      </c>
      <c r="AO7">
        <v>1</v>
      </c>
      <c r="BH7">
        <v>0</v>
      </c>
      <c r="BI7">
        <v>4</v>
      </c>
      <c r="BJ7" s="107">
        <f t="shared" si="0"/>
        <v>1.0246325682093903E-2</v>
      </c>
      <c r="BL7">
        <f>BH23+1</f>
        <v>3</v>
      </c>
      <c r="BM7">
        <v>3</v>
      </c>
      <c r="BN7" s="107">
        <f>$H$28*H42</f>
        <v>6.2161050767942316E-2</v>
      </c>
      <c r="BP7">
        <f>BP5+1</f>
        <v>3</v>
      </c>
      <c r="BQ7">
        <v>0</v>
      </c>
      <c r="BR7" s="107">
        <f>$H$28*H39</f>
        <v>4.1528191089562592E-3</v>
      </c>
    </row>
    <row r="8" spans="1:70" x14ac:dyDescent="0.25">
      <c r="A8" s="5" t="s">
        <v>44</v>
      </c>
      <c r="B8" s="163">
        <v>10.5</v>
      </c>
      <c r="C8" s="164">
        <v>14.25</v>
      </c>
      <c r="E8" s="187" t="s">
        <v>41</v>
      </c>
      <c r="F8" s="162" t="s">
        <v>32</v>
      </c>
      <c r="G8" s="162"/>
      <c r="H8" s="10"/>
      <c r="I8" s="10"/>
      <c r="J8" s="161" t="s">
        <v>32</v>
      </c>
      <c r="K8" s="161"/>
      <c r="L8" s="10"/>
      <c r="M8" s="10"/>
      <c r="O8" s="67">
        <f t="shared" si="1"/>
        <v>4.8027002056448012E-2</v>
      </c>
      <c r="P8" s="199">
        <f>P2</f>
        <v>0.45</v>
      </c>
      <c r="Q8" s="203">
        <f t="shared" si="2"/>
        <v>2.1612150925401606E-2</v>
      </c>
      <c r="R8" s="155">
        <f t="shared" si="3"/>
        <v>2.1612150925401603E-2</v>
      </c>
      <c r="S8" s="171">
        <f t="shared" si="4"/>
        <v>0.97838784907459841</v>
      </c>
      <c r="T8" s="172">
        <f>R8*PRODUCT(S5:S7)*PRODUCT(S9:S19)</f>
        <v>1.0262922280123463E-2</v>
      </c>
      <c r="U8" s="172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7.9586693062004554E-3</v>
      </c>
      <c r="W8" s="181" t="s">
        <v>45</v>
      </c>
      <c r="X8" s="15" t="s">
        <v>46</v>
      </c>
      <c r="Y8" s="69">
        <f t="shared" si="5"/>
        <v>0</v>
      </c>
      <c r="Z8" s="69">
        <f>Z2</f>
        <v>0.45</v>
      </c>
      <c r="AA8" s="69">
        <f t="shared" si="6"/>
        <v>0</v>
      </c>
      <c r="AB8" s="155">
        <f t="shared" si="7"/>
        <v>0</v>
      </c>
      <c r="AC8" s="171">
        <f t="shared" si="8"/>
        <v>1</v>
      </c>
      <c r="AD8" s="172">
        <f>AB8*PRODUCT(AC5:AC7)*PRODUCT(AC9:AC19)</f>
        <v>0</v>
      </c>
      <c r="AE8" s="172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0</v>
      </c>
      <c r="AG8" s="193">
        <f>IF(COUNTIF(F6:F18,"IMP")+COUNTIF(J6:J18,"IMP")=0,0,COUNTIF(F6:F18,"IMP")/(COUNTIF(F6:F18,"IMP")+COUNTIF(J6:J18,"IMP")))</f>
        <v>1</v>
      </c>
      <c r="AH8">
        <f>COUNTIF(F6:F18,"IMP")</f>
        <v>1</v>
      </c>
      <c r="AI8" s="196">
        <f t="shared" si="9"/>
        <v>0.62435102673382414</v>
      </c>
      <c r="AK8" s="193">
        <f>IF(COUNTIF(F6:F18,"IMP")+COUNTIF(J6:J18,"IMP")=0,0,COUNTIF(J6:J18,"IMP")/(COUNTIF(F6:F18,"IMP")+COUNTIF(J6:J18,"IMP")))</f>
        <v>0</v>
      </c>
      <c r="AL8">
        <f>COUNTIF(J6:J18,"IMP")</f>
        <v>0</v>
      </c>
      <c r="AM8" s="197">
        <v>0.45</v>
      </c>
      <c r="AN8" s="198">
        <f t="shared" si="10"/>
        <v>0.45</v>
      </c>
      <c r="AO8">
        <f>1/13</f>
        <v>7.6923076923076927E-2</v>
      </c>
      <c r="BH8">
        <v>0</v>
      </c>
      <c r="BI8">
        <v>5</v>
      </c>
      <c r="BJ8" s="107">
        <f t="shared" si="0"/>
        <v>6.6046113867802986E-3</v>
      </c>
      <c r="BL8">
        <f>BH31+1</f>
        <v>4</v>
      </c>
      <c r="BM8">
        <v>4</v>
      </c>
      <c r="BN8" s="107">
        <f>$H$29*H43</f>
        <v>3.8216476829045706E-2</v>
      </c>
      <c r="BP8">
        <f>BP6+1</f>
        <v>3</v>
      </c>
      <c r="BQ8">
        <v>1</v>
      </c>
      <c r="BR8" s="107">
        <f>$H$28*H40</f>
        <v>2.0438475188463773E-2</v>
      </c>
    </row>
    <row r="9" spans="1:70" x14ac:dyDescent="0.25">
      <c r="A9" s="5" t="s">
        <v>47</v>
      </c>
      <c r="B9" s="163">
        <v>11.25</v>
      </c>
      <c r="C9" s="164">
        <v>16.5</v>
      </c>
      <c r="E9" s="187" t="s">
        <v>41</v>
      </c>
      <c r="F9" s="162"/>
      <c r="G9" s="162"/>
      <c r="H9" s="10"/>
      <c r="I9" s="10"/>
      <c r="J9" s="161"/>
      <c r="K9" s="161"/>
      <c r="L9" s="10"/>
      <c r="M9" s="10"/>
      <c r="O9" s="67">
        <f t="shared" si="1"/>
        <v>0</v>
      </c>
      <c r="P9" s="199">
        <f>P2</f>
        <v>0.45</v>
      </c>
      <c r="Q9" s="203">
        <f t="shared" si="2"/>
        <v>0</v>
      </c>
      <c r="R9" s="155">
        <f t="shared" si="3"/>
        <v>0</v>
      </c>
      <c r="S9" s="171">
        <f t="shared" si="4"/>
        <v>1</v>
      </c>
      <c r="T9" s="172">
        <f>R9*PRODUCT(S5:S8)*PRODUCT(S10:S19)</f>
        <v>0</v>
      </c>
      <c r="U9" s="172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2" t="s">
        <v>48</v>
      </c>
      <c r="X9" s="15" t="s">
        <v>49</v>
      </c>
      <c r="Y9" s="69">
        <f t="shared" si="5"/>
        <v>5.549786904300659E-2</v>
      </c>
      <c r="Z9" s="69">
        <f>Z2</f>
        <v>0.45</v>
      </c>
      <c r="AA9" s="69">
        <f t="shared" si="6"/>
        <v>2.4974041069352967E-2</v>
      </c>
      <c r="AB9" s="155">
        <f t="shared" si="7"/>
        <v>2.4974041069352967E-2</v>
      </c>
      <c r="AC9" s="171">
        <f t="shared" si="8"/>
        <v>0.97502595893064703</v>
      </c>
      <c r="AD9" s="172">
        <f>AB9*PRODUCT(AC5:AC8)*PRODUCT(AC10:AC19)</f>
        <v>1.8209530305581055E-2</v>
      </c>
      <c r="AE9" s="172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6.1331957157078135E-3</v>
      </c>
      <c r="AG9" s="193">
        <f>IF(COUNTIF(J6:J13,"IMP")+COUNTIF(F6:F13,"IMP")=0,0,COUNTIF(J6:J13,"IMP")/(COUNTIF(J6:J13,"IMP")+COUNTIF(F6:F13,"IMP")))</f>
        <v>0</v>
      </c>
      <c r="AH9">
        <f>COUNTIF(J6:J13,"IMP")</f>
        <v>0</v>
      </c>
      <c r="AI9" s="196">
        <f t="shared" si="9"/>
        <v>5.549786904300659E-2</v>
      </c>
      <c r="AK9" s="193">
        <f>IF(COUNTIF(J6:J13,"IMP")+COUNTIF(F6:F13,"IMP")=0,0,COUNTIF(F6:F13,"IMP")/(COUNTIF(J6:J13,"IMP")+COUNTIF(F6:F13,"IMP")))</f>
        <v>1</v>
      </c>
      <c r="AL9">
        <f>COUNTIF(F6:F13,"IMP")</f>
        <v>1</v>
      </c>
      <c r="AM9" s="197">
        <v>0.04</v>
      </c>
      <c r="AN9" s="198">
        <f t="shared" si="10"/>
        <v>0.04</v>
      </c>
      <c r="AO9">
        <v>1</v>
      </c>
      <c r="BH9">
        <v>0</v>
      </c>
      <c r="BI9">
        <v>6</v>
      </c>
      <c r="BJ9" s="107">
        <f t="shared" si="0"/>
        <v>3.095459386006306E-3</v>
      </c>
      <c r="BL9">
        <f>BH38+1</f>
        <v>5</v>
      </c>
      <c r="BM9">
        <v>5</v>
      </c>
      <c r="BN9" s="107">
        <f>$H$30*H44</f>
        <v>1.2047287325553966E-2</v>
      </c>
      <c r="BP9">
        <f>BL6+1</f>
        <v>3</v>
      </c>
      <c r="BQ9">
        <v>2</v>
      </c>
      <c r="BR9" s="107">
        <f>$H$28*H41</f>
        <v>4.5892367360353258E-2</v>
      </c>
    </row>
    <row r="10" spans="1:70" x14ac:dyDescent="0.25">
      <c r="A10" s="6" t="s">
        <v>50</v>
      </c>
      <c r="B10" s="163">
        <v>11.5</v>
      </c>
      <c r="C10" s="164">
        <v>16.25</v>
      </c>
      <c r="E10" s="187" t="s">
        <v>36</v>
      </c>
      <c r="F10" s="162" t="s">
        <v>32</v>
      </c>
      <c r="G10" s="162"/>
      <c r="H10" s="10"/>
      <c r="I10" s="10"/>
      <c r="J10" s="161" t="s">
        <v>32</v>
      </c>
      <c r="K10" s="161"/>
      <c r="L10" s="10"/>
      <c r="M10" s="10"/>
      <c r="O10" s="67">
        <f t="shared" si="1"/>
        <v>0.43357710189848903</v>
      </c>
      <c r="P10" s="199">
        <f>P3</f>
        <v>0.56999999999999995</v>
      </c>
      <c r="Q10" s="203">
        <f t="shared" si="2"/>
        <v>0.24713894808213871</v>
      </c>
      <c r="R10" s="155">
        <f t="shared" si="3"/>
        <v>0.24713894808213874</v>
      </c>
      <c r="S10" s="171">
        <f t="shared" si="4"/>
        <v>0.75286105191786123</v>
      </c>
      <c r="T10" s="172">
        <f>R10*PRODUCT(S5:S9)*PRODUCT(S11:S19)</f>
        <v>0.15251426369489451</v>
      </c>
      <c r="U10" s="172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6.8206138909292086E-2</v>
      </c>
      <c r="W10" s="181" t="s">
        <v>51</v>
      </c>
      <c r="X10" s="15" t="s">
        <v>52</v>
      </c>
      <c r="Y10" s="69">
        <f t="shared" si="5"/>
        <v>0</v>
      </c>
      <c r="Z10" s="69">
        <f>Z3</f>
        <v>0.56999999999999995</v>
      </c>
      <c r="AA10" s="69">
        <f t="shared" si="6"/>
        <v>0</v>
      </c>
      <c r="AB10" s="155">
        <f t="shared" si="7"/>
        <v>0</v>
      </c>
      <c r="AC10" s="171">
        <f t="shared" si="8"/>
        <v>1</v>
      </c>
      <c r="AD10" s="172">
        <f>AB10*PRODUCT(AC5:AC9)*PRODUCT(AC11:AC19)</f>
        <v>0</v>
      </c>
      <c r="AE10" s="172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0</v>
      </c>
      <c r="AG10" s="193">
        <f>IF(COUNTIF(F11:F18,"RAP")+COUNTIF(J11:J18,"RAP")=0,0,COUNTIF(F11:F18,"RAP")/(COUNTIF(F11:F18,"RAP")+COUNTIF(J11:J18,"RAP")))</f>
        <v>1</v>
      </c>
      <c r="AH10">
        <f>COUNTIF(F11:F18,"RAP")</f>
        <v>5</v>
      </c>
      <c r="AI10" s="196">
        <f t="shared" si="9"/>
        <v>0.69372336303758242</v>
      </c>
      <c r="AK10" s="193">
        <f>IF(COUNTIF(F11:F18,"RAP")+COUNTIF(J11:J18,"RAP")=0,0,COUNTIF(J11:J18,"RAP")/(COUNTIF(F11:F18,"RAP")+COUNTIF(J11:J18,"RAP")))</f>
        <v>0</v>
      </c>
      <c r="AL10">
        <f>COUNTIF(J11:J18,"RAP")</f>
        <v>0</v>
      </c>
      <c r="AM10" s="197">
        <v>0.5</v>
      </c>
      <c r="AN10" s="198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1.0656745997078528E-3</v>
      </c>
      <c r="BL10">
        <f>BH44+1</f>
        <v>6</v>
      </c>
      <c r="BM10">
        <v>6</v>
      </c>
      <c r="BN10" s="107">
        <f>$H$31*H45</f>
        <v>2.0585222477512706E-3</v>
      </c>
      <c r="BP10">
        <f>BP7+1</f>
        <v>4</v>
      </c>
      <c r="BQ10">
        <v>0</v>
      </c>
      <c r="BR10" s="107">
        <f>$H$29*H39</f>
        <v>2.8052547917128382E-3</v>
      </c>
    </row>
    <row r="11" spans="1:70" x14ac:dyDescent="0.25">
      <c r="A11" s="6" t="s">
        <v>53</v>
      </c>
      <c r="B11" s="163">
        <v>17.5</v>
      </c>
      <c r="C11" s="164">
        <v>10.5</v>
      </c>
      <c r="E11" s="187" t="s">
        <v>54</v>
      </c>
      <c r="F11" s="162" t="s">
        <v>32</v>
      </c>
      <c r="G11" s="162"/>
      <c r="H11" s="10"/>
      <c r="I11" s="10"/>
      <c r="J11" s="161" t="s">
        <v>32</v>
      </c>
      <c r="K11" s="161"/>
      <c r="L11" s="10"/>
      <c r="M11" s="10"/>
      <c r="O11" s="67">
        <f t="shared" si="1"/>
        <v>0.43357710189848903</v>
      </c>
      <c r="P11" s="199">
        <f>P3</f>
        <v>0.56999999999999995</v>
      </c>
      <c r="Q11" s="203">
        <f t="shared" si="2"/>
        <v>0.24713894808213871</v>
      </c>
      <c r="R11" s="155">
        <f t="shared" si="3"/>
        <v>0.24713894808213874</v>
      </c>
      <c r="S11" s="171">
        <f t="shared" si="4"/>
        <v>0.75286105191786123</v>
      </c>
      <c r="T11" s="172">
        <f>R11*PRODUCT(S5:S10)*PRODUCT(S12:S19)</f>
        <v>0.15251426369489449</v>
      </c>
      <c r="U11" s="172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1.8140838544689807E-2</v>
      </c>
      <c r="W11" s="181" t="s">
        <v>55</v>
      </c>
      <c r="X11" s="15" t="s">
        <v>56</v>
      </c>
      <c r="Y11" s="69">
        <f t="shared" si="5"/>
        <v>0</v>
      </c>
      <c r="Z11" s="69">
        <f>Z3</f>
        <v>0.56999999999999995</v>
      </c>
      <c r="AA11" s="69">
        <f t="shared" si="6"/>
        <v>0</v>
      </c>
      <c r="AB11" s="155">
        <f t="shared" si="7"/>
        <v>0</v>
      </c>
      <c r="AC11" s="171">
        <f t="shared" si="8"/>
        <v>1</v>
      </c>
      <c r="AD11" s="172">
        <f>AB11*PRODUCT(AC5:AC10)*PRODUCT(AC12:AC19)</f>
        <v>0</v>
      </c>
      <c r="AE11" s="172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0</v>
      </c>
      <c r="AG11" s="193">
        <f>IF(COUNTIF(F11:F18,"RAP")+COUNTIF(J11:J18,"RAP")=0,0,COUNTIF(F11:F18,"RAP")/(COUNTIF(F11:F18,"RAP")+COUNTIF(J11:J18,"RAP")))</f>
        <v>1</v>
      </c>
      <c r="AH11">
        <f>COUNTIF(F11:F18,"RAP")</f>
        <v>5</v>
      </c>
      <c r="AI11" s="196">
        <f t="shared" si="9"/>
        <v>0.69372336303758242</v>
      </c>
      <c r="AK11" s="193">
        <f>IF(COUNTIF(F11:F18,"RAP")+COUNTIF(J11:J18,"RAP")=0,0,COUNTIF(J11:J18,"RAP")/(COUNTIF(F11:F18,"RAP")+COUNTIF(J11:J18,"RAP")))</f>
        <v>0</v>
      </c>
      <c r="AL11">
        <f>COUNTIF(J11:J18,"RAP")</f>
        <v>0</v>
      </c>
      <c r="AM11" s="197">
        <v>0.5</v>
      </c>
      <c r="AN11" s="198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2.6891739278451924E-4</v>
      </c>
      <c r="BL11">
        <f>BH50+1</f>
        <v>7</v>
      </c>
      <c r="BM11">
        <v>7</v>
      </c>
      <c r="BN11" s="107">
        <f>$H$32*H46</f>
        <v>1.9513359983311461E-4</v>
      </c>
      <c r="BP11">
        <f>BP8+1</f>
        <v>4</v>
      </c>
      <c r="BQ11">
        <v>1</v>
      </c>
      <c r="BR11" s="107">
        <f>$H$29*H40</f>
        <v>1.3806315409715057E-2</v>
      </c>
    </row>
    <row r="12" spans="1:70" x14ac:dyDescent="0.25">
      <c r="A12" s="6" t="s">
        <v>57</v>
      </c>
      <c r="B12" s="163">
        <v>12</v>
      </c>
      <c r="C12" s="164">
        <v>17.5</v>
      </c>
      <c r="E12" s="187" t="s">
        <v>54</v>
      </c>
      <c r="F12" s="162" t="s">
        <v>1</v>
      </c>
      <c r="G12" s="162"/>
      <c r="H12" s="10"/>
      <c r="I12" s="10"/>
      <c r="J12" s="161" t="s">
        <v>144</v>
      </c>
      <c r="K12" s="161"/>
      <c r="L12" s="10"/>
      <c r="M12" s="10"/>
      <c r="O12" s="67">
        <f t="shared" si="1"/>
        <v>3.4686168151879117E-4</v>
      </c>
      <c r="P12" s="199">
        <f>P2</f>
        <v>0.45</v>
      </c>
      <c r="Q12" s="203">
        <f t="shared" si="2"/>
        <v>1.5608775668345603E-4</v>
      </c>
      <c r="R12" s="155">
        <f t="shared" si="3"/>
        <v>1.5608775668345603E-4</v>
      </c>
      <c r="S12" s="171">
        <f t="shared" si="4"/>
        <v>0.99984391224331659</v>
      </c>
      <c r="T12" s="172">
        <f>R12*PRODUCT(S5:S11)*PRODUCT(S13:S19)</f>
        <v>7.2530509965317694E-5</v>
      </c>
      <c r="U12" s="172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8.6158326210324467E-6</v>
      </c>
      <c r="W12" s="182" t="s">
        <v>58</v>
      </c>
      <c r="X12" s="15" t="s">
        <v>59</v>
      </c>
      <c r="Y12" s="69">
        <f t="shared" si="5"/>
        <v>3.4686168151879112E-4</v>
      </c>
      <c r="Z12" s="69">
        <f>Z2</f>
        <v>0.45</v>
      </c>
      <c r="AA12" s="69">
        <f t="shared" si="6"/>
        <v>1.56087756683456E-4</v>
      </c>
      <c r="AB12" s="155">
        <f t="shared" si="7"/>
        <v>1.56087756683456E-4</v>
      </c>
      <c r="AC12" s="171">
        <f t="shared" si="8"/>
        <v>0.99984391224331659</v>
      </c>
      <c r="AD12" s="172">
        <f>AB12*PRODUCT(AC5:AC11)*PRODUCT(AC13:AC19)</f>
        <v>1.1098460301193453E-4</v>
      </c>
      <c r="AE12" s="172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3.7363665135570348E-5</v>
      </c>
      <c r="AG12" s="193">
        <f>IF(COUNTA(F6:F10)+COUNTA(J6:J10)=0,0,COUNTA(F6:F10)/(COUNTA(F6:F10)+COUNTA(J6:J10)))</f>
        <v>0.5</v>
      </c>
      <c r="AH12">
        <f>COUNTA(J6:J10)</f>
        <v>3</v>
      </c>
      <c r="AI12" s="196">
        <f t="shared" si="9"/>
        <v>1.3874467260751647E-3</v>
      </c>
      <c r="AK12" s="193">
        <f>IF(COUNTA(J6:J10)+COUNTA(F6:F10)=0,0,COUNTA(J6:J10)/(COUNTA(J6:J10)+COUNTA(F6:F10)))</f>
        <v>0.5</v>
      </c>
      <c r="AL12">
        <f>COUNTA(F6:F10)</f>
        <v>3</v>
      </c>
      <c r="AM12" s="197">
        <v>1E-3</v>
      </c>
      <c r="AN12" s="198">
        <f t="shared" si="10"/>
        <v>1E-3</v>
      </c>
      <c r="AO12">
        <f>1/6</f>
        <v>0.16666666666666666</v>
      </c>
      <c r="BH12">
        <v>0</v>
      </c>
      <c r="BI12">
        <v>9</v>
      </c>
      <c r="BJ12" s="107">
        <f t="shared" si="0"/>
        <v>4.9053640163572095E-5</v>
      </c>
      <c r="BL12">
        <f>BH54+1</f>
        <v>8</v>
      </c>
      <c r="BM12">
        <v>8</v>
      </c>
      <c r="BN12" s="107">
        <f>$H$33*H47</f>
        <v>1.0243809231600734E-5</v>
      </c>
      <c r="BP12">
        <f>BP9+1</f>
        <v>4</v>
      </c>
      <c r="BQ12">
        <v>2</v>
      </c>
      <c r="BR12" s="107">
        <f>$H$29*H41</f>
        <v>3.1000575768645362E-2</v>
      </c>
    </row>
    <row r="13" spans="1:70" x14ac:dyDescent="0.25">
      <c r="A13" s="7" t="s">
        <v>60</v>
      </c>
      <c r="B13" s="163">
        <v>6.5</v>
      </c>
      <c r="C13" s="164">
        <v>12.5</v>
      </c>
      <c r="E13" s="187" t="s">
        <v>54</v>
      </c>
      <c r="F13" s="162" t="s">
        <v>32</v>
      </c>
      <c r="G13" s="162"/>
      <c r="H13" s="10"/>
      <c r="I13" s="10"/>
      <c r="J13" s="161" t="s">
        <v>32</v>
      </c>
      <c r="K13" s="161"/>
      <c r="L13" s="10"/>
      <c r="M13" s="10"/>
      <c r="O13" s="67">
        <f t="shared" si="1"/>
        <v>0.10405850445563736</v>
      </c>
      <c r="P13" s="199">
        <f>P3</f>
        <v>0.56999999999999995</v>
      </c>
      <c r="Q13" s="203">
        <f t="shared" si="2"/>
        <v>5.931334753971329E-2</v>
      </c>
      <c r="R13" s="155">
        <f t="shared" si="3"/>
        <v>5.931334753971329E-2</v>
      </c>
      <c r="S13" s="171">
        <f t="shared" si="4"/>
        <v>0.94068665246028671</v>
      </c>
      <c r="T13" s="172">
        <f>R13*PRODUCT(S5:S12)*PRODUCT(S14:S19)</f>
        <v>2.9294868474429969E-2</v>
      </c>
      <c r="U13" s="172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1.6327739350256399E-3</v>
      </c>
      <c r="W13" s="181" t="s">
        <v>61</v>
      </c>
      <c r="X13" s="15" t="s">
        <v>62</v>
      </c>
      <c r="Y13" s="69">
        <f t="shared" si="5"/>
        <v>0.10405850445563736</v>
      </c>
      <c r="Z13" s="69">
        <f>Z3</f>
        <v>0.56999999999999995</v>
      </c>
      <c r="AA13" s="69">
        <f t="shared" si="6"/>
        <v>5.931334753971329E-2</v>
      </c>
      <c r="AB13" s="155">
        <f t="shared" si="7"/>
        <v>5.931334753971329E-2</v>
      </c>
      <c r="AC13" s="171">
        <f t="shared" si="8"/>
        <v>0.94068665246028671</v>
      </c>
      <c r="AD13" s="172">
        <f>AB13*PRODUCT(AC5:AC12)*PRODUCT(AC14:AC19)</f>
        <v>4.4826368234224867E-2</v>
      </c>
      <c r="AE13" s="172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1.226463094726277E-2</v>
      </c>
      <c r="AG13" s="193">
        <f>B22</f>
        <v>0.5</v>
      </c>
      <c r="AH13">
        <v>1</v>
      </c>
      <c r="AI13" s="196">
        <f t="shared" si="9"/>
        <v>0.20811700891127471</v>
      </c>
      <c r="AK13" s="193">
        <f>C22</f>
        <v>0.5</v>
      </c>
      <c r="AL13">
        <v>1</v>
      </c>
      <c r="AM13" s="197">
        <v>0.15</v>
      </c>
      <c r="AN13" s="198">
        <f t="shared" si="10"/>
        <v>0.15</v>
      </c>
      <c r="AO13">
        <v>1</v>
      </c>
      <c r="BH13">
        <v>0</v>
      </c>
      <c r="BI13">
        <v>10</v>
      </c>
      <c r="BJ13" s="107">
        <f t="shared" si="0"/>
        <v>6.2887673721808462E-6</v>
      </c>
      <c r="BL13">
        <f>BH57+1</f>
        <v>9</v>
      </c>
      <c r="BM13">
        <v>9</v>
      </c>
      <c r="BN13" s="107">
        <f>$H$34*H48</f>
        <v>2.9014092181641179E-7</v>
      </c>
      <c r="BP13">
        <f>BL7+1</f>
        <v>4</v>
      </c>
      <c r="BQ13">
        <v>3</v>
      </c>
      <c r="BR13" s="107">
        <f>$H$29*H42</f>
        <v>4.1990171242614525E-2</v>
      </c>
    </row>
    <row r="14" spans="1:70" x14ac:dyDescent="0.25">
      <c r="A14" s="7" t="s">
        <v>63</v>
      </c>
      <c r="B14" s="163">
        <v>5.5</v>
      </c>
      <c r="C14" s="164">
        <v>10.75</v>
      </c>
      <c r="E14" s="187" t="s">
        <v>64</v>
      </c>
      <c r="F14" s="162" t="s">
        <v>1</v>
      </c>
      <c r="G14" s="162"/>
      <c r="H14" s="10"/>
      <c r="I14" s="10"/>
      <c r="J14" s="161" t="s">
        <v>32</v>
      </c>
      <c r="K14" s="161"/>
      <c r="L14" s="10"/>
      <c r="M14" s="10"/>
      <c r="O14" s="67">
        <f t="shared" si="1"/>
        <v>0</v>
      </c>
      <c r="P14" s="199">
        <f>IF(COUNTIF(F6:F18,"CAB")-COUNTIF(J6:J18,"CAB")&gt;2,0.8,IF(COUNTIF(F6:F18,"CAB")-COUNTIF(J6:J18,"CAB")&gt;0,0.6,IF(COUNTIF(F6:F18,"CAB")-COUNTIF(J6:J18,"CAB")=0,0.5,0.15)))</f>
        <v>0.15</v>
      </c>
      <c r="Q14" s="203">
        <f t="shared" si="2"/>
        <v>0</v>
      </c>
      <c r="R14" s="155">
        <f t="shared" si="3"/>
        <v>0</v>
      </c>
      <c r="S14" s="171">
        <f t="shared" si="4"/>
        <v>1</v>
      </c>
      <c r="T14" s="172">
        <f>R14*PRODUCT(S5:S13)*PRODUCT(S15:S19)</f>
        <v>0</v>
      </c>
      <c r="U14" s="172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1" t="s">
        <v>65</v>
      </c>
      <c r="X14" s="15" t="s">
        <v>66</v>
      </c>
      <c r="Y14" s="69">
        <f t="shared" si="5"/>
        <v>0.27748934521503299</v>
      </c>
      <c r="Z14" s="200">
        <f>IF(COUNTIF(J6:J18,"CAB")-COUNTIF(F6:F18,"CAB")&gt;2,0.8,IF(COUNTIF(J6:J18,"CAB")-COUNTIF(F6:F18,"CAB")&gt;0,0.6,IF(COUNTIF(J6:J18,"CAB")-COUNTIF(F6:F18,"CAB")=0,0.5,0.15)))</f>
        <v>0.6</v>
      </c>
      <c r="AA14" s="69">
        <f t="shared" si="6"/>
        <v>0.16649360712901978</v>
      </c>
      <c r="AB14" s="155">
        <f t="shared" si="7"/>
        <v>0.16649360712901978</v>
      </c>
      <c r="AC14" s="171">
        <f t="shared" si="8"/>
        <v>0.83350639287098027</v>
      </c>
      <c r="AD14" s="172">
        <f>AB14*PRODUCT(AC5:AC13)*PRODUCT(AC15:AC19)</f>
        <v>0.14200862684624208</v>
      </c>
      <c r="AE14" s="172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1.0487649691845752E-2</v>
      </c>
      <c r="AG14" s="193">
        <f>IF(AL14=0,1,B22)</f>
        <v>0.5</v>
      </c>
      <c r="AH14">
        <f>IF(COUNTIF(F6:F18,"CAB")&gt;0,1,0)</f>
        <v>0</v>
      </c>
      <c r="AI14" s="196">
        <f t="shared" si="9"/>
        <v>0.27748934521503299</v>
      </c>
      <c r="AK14" s="193">
        <f>IF(AH14=0,1,C22)</f>
        <v>1</v>
      </c>
      <c r="AL14">
        <f>IF(COUNTIF(J6:J18,"CAB")&gt;0,1,0)</f>
        <v>1</v>
      </c>
      <c r="AM14" s="197">
        <v>0.2</v>
      </c>
      <c r="AN14" s="198">
        <f t="shared" si="10"/>
        <v>0.2</v>
      </c>
      <c r="AO14">
        <v>1</v>
      </c>
      <c r="BH14">
        <v>1</v>
      </c>
      <c r="BI14">
        <v>2</v>
      </c>
      <c r="BJ14" s="107">
        <f t="shared" ref="BJ14:BJ22" si="11">$H$26*H41</f>
        <v>2.8920700252146329E-2</v>
      </c>
      <c r="BL14">
        <f>BP39+1</f>
        <v>10</v>
      </c>
      <c r="BM14">
        <v>10</v>
      </c>
      <c r="BN14" s="107">
        <f>$H$35*H49</f>
        <v>4.1907859347136027E-9</v>
      </c>
      <c r="BP14">
        <f>BP10+1</f>
        <v>5</v>
      </c>
      <c r="BQ14">
        <v>0</v>
      </c>
      <c r="BR14" s="107">
        <f>$H$30*H39</f>
        <v>1.3719295836293556E-3</v>
      </c>
    </row>
    <row r="15" spans="1:70" x14ac:dyDescent="0.25">
      <c r="A15" s="184" t="s">
        <v>67</v>
      </c>
      <c r="B15" s="165">
        <v>3</v>
      </c>
      <c r="C15" s="166">
        <v>8.25</v>
      </c>
      <c r="E15" s="187" t="s">
        <v>64</v>
      </c>
      <c r="F15" s="162" t="s">
        <v>1</v>
      </c>
      <c r="G15" s="162"/>
      <c r="H15" s="10"/>
      <c r="I15" s="10"/>
      <c r="J15" s="161" t="s">
        <v>32</v>
      </c>
      <c r="K15" s="161"/>
      <c r="L15" s="10"/>
      <c r="M15" s="10"/>
      <c r="O15" s="67">
        <f t="shared" si="1"/>
        <v>6.9372336303758237E-3</v>
      </c>
      <c r="P15" s="199">
        <f>R3</f>
        <v>0.7</v>
      </c>
      <c r="Q15" s="203">
        <f t="shared" si="2"/>
        <v>4.8560635412630759E-3</v>
      </c>
      <c r="R15" s="155">
        <f t="shared" si="3"/>
        <v>4.8560635412630759E-3</v>
      </c>
      <c r="S15" s="171">
        <f t="shared" si="4"/>
        <v>0.99514393645873689</v>
      </c>
      <c r="T15" s="172">
        <f>R15*PRODUCT(S5:S14)*PRODUCT(S16:S19)</f>
        <v>2.2671620245610859E-3</v>
      </c>
      <c r="U15" s="172">
        <f>R15*R16*PRODUCT(S5:S14)*PRODUCT(S17:S19)+R15*R17*PRODUCT(S5:S14)*S16*PRODUCT(S18:S19)+R15*R18*PRODUCT(S5:S14)*S16*S17*S19+R15*R19*PRODUCT(S5:S14)*S16*S17*S18</f>
        <v>1.1529896044076568E-4</v>
      </c>
      <c r="W15" s="181" t="s">
        <v>68</v>
      </c>
      <c r="X15" s="15" t="s">
        <v>69</v>
      </c>
      <c r="Y15" s="69">
        <f t="shared" si="5"/>
        <v>6.9372336303758237E-3</v>
      </c>
      <c r="Z15" s="69">
        <f>AB3</f>
        <v>0.7</v>
      </c>
      <c r="AA15" s="69">
        <f t="shared" si="6"/>
        <v>4.8560635412630759E-3</v>
      </c>
      <c r="AB15" s="155">
        <f t="shared" si="7"/>
        <v>4.8560635412630759E-3</v>
      </c>
      <c r="AC15" s="171">
        <f t="shared" si="8"/>
        <v>0.99514393645873689</v>
      </c>
      <c r="AD15" s="172">
        <f>AB15*PRODUCT(AC5:AC14)*PRODUCT(AC16:AC19)</f>
        <v>3.4691618379625966E-3</v>
      </c>
      <c r="AE15" s="172">
        <f>AB15*AB16*PRODUCT(AC5:AC14)*PRODUCT(AC17:AC19)+AB15*AB17*PRODUCT(AC5:AC14)*AC16*PRODUCT(AC18:AC19)+AB15*AB18*PRODUCT(AC5:AC14)*AC16*AC17*AC19+AB15*AB19*PRODUCT(AC5:AC14)*AC16*AC17*AC18</f>
        <v>2.3927656124197793E-4</v>
      </c>
      <c r="AG15" s="193">
        <f>IF(AL15=0,1,B22)</f>
        <v>0.5</v>
      </c>
      <c r="AH15">
        <v>1</v>
      </c>
      <c r="AI15" s="196">
        <f t="shared" si="9"/>
        <v>1.3874467260751647E-2</v>
      </c>
      <c r="AK15" s="193">
        <f>IF(AH15=0,1,C22)</f>
        <v>0.5</v>
      </c>
      <c r="AL15">
        <v>1</v>
      </c>
      <c r="AM15" s="197">
        <v>0.01</v>
      </c>
      <c r="AN15" s="198">
        <f t="shared" si="10"/>
        <v>0.01</v>
      </c>
      <c r="AO15">
        <v>1</v>
      </c>
      <c r="BH15">
        <v>1</v>
      </c>
      <c r="BI15">
        <v>3</v>
      </c>
      <c r="BJ15" s="107">
        <f t="shared" si="11"/>
        <v>3.9172987144071185E-2</v>
      </c>
      <c r="BP15">
        <f>BP11+1</f>
        <v>5</v>
      </c>
      <c r="BQ15">
        <v>1</v>
      </c>
      <c r="BR15" s="107">
        <f>$H$30*H40</f>
        <v>6.7520756429902476E-3</v>
      </c>
    </row>
    <row r="16" spans="1:70" x14ac:dyDescent="0.25">
      <c r="A16" s="184" t="s">
        <v>70</v>
      </c>
      <c r="B16" s="52">
        <f>AVERAGE(G5:G18)</f>
        <v>12</v>
      </c>
      <c r="C16" s="54">
        <f>AVERAGE(K5:K18)</f>
        <v>12</v>
      </c>
      <c r="E16" s="187" t="s">
        <v>71</v>
      </c>
      <c r="F16" s="162" t="s">
        <v>1</v>
      </c>
      <c r="G16" s="162"/>
      <c r="H16" s="10"/>
      <c r="I16" s="10"/>
      <c r="J16" s="161" t="s">
        <v>32</v>
      </c>
      <c r="K16" s="161"/>
      <c r="L16" s="10"/>
      <c r="M16" s="10"/>
      <c r="O16" s="67">
        <f t="shared" si="1"/>
        <v>6.9372336303758237E-3</v>
      </c>
      <c r="P16" s="199">
        <v>0.15</v>
      </c>
      <c r="Q16" s="203">
        <f t="shared" si="2"/>
        <v>1.0405850445563735E-3</v>
      </c>
      <c r="R16" s="155">
        <f t="shared" si="3"/>
        <v>1.0405850445563735E-3</v>
      </c>
      <c r="S16" s="171">
        <f t="shared" si="4"/>
        <v>0.9989594149554436</v>
      </c>
      <c r="T16" s="172">
        <f>R16*PRODUCT(S5:S15)*PRODUCT(S17:S19)</f>
        <v>4.8396486553934493E-4</v>
      </c>
      <c r="U16" s="172">
        <f>R16*R17*PRODUCT(S5:S15)*PRODUCT(S18:S19)+R16*R18*PRODUCT(S5:S15)*S17*S19+R16*R19*PRODUCT(S5:S15)*S17*S18</f>
        <v>2.410842198275436E-5</v>
      </c>
      <c r="W16" s="182" t="s">
        <v>72</v>
      </c>
      <c r="X16" s="15" t="s">
        <v>73</v>
      </c>
      <c r="Y16" s="69">
        <f t="shared" si="5"/>
        <v>6.9372336303758237E-3</v>
      </c>
      <c r="Z16" s="69">
        <v>0.15</v>
      </c>
      <c r="AA16" s="69">
        <f t="shared" si="6"/>
        <v>1.0405850445563735E-3</v>
      </c>
      <c r="AB16" s="155">
        <f t="shared" si="7"/>
        <v>1.0405850445563735E-3</v>
      </c>
      <c r="AC16" s="171">
        <f t="shared" si="8"/>
        <v>0.9989594149554436</v>
      </c>
      <c r="AD16" s="172">
        <f>AB16*PRODUCT(AC5:AC15)*PRODUCT(AC17:AC19)</f>
        <v>7.405524723222345E-4</v>
      </c>
      <c r="AE16" s="172">
        <f>AB16*AB17*PRODUCT(AC5:AC15)*PRODUCT(AC18:AC19)+AB16*AB18*PRODUCT(AC5:AC15)*AC17*AC19+AB16*AB19*PRODUCT(AC5:AC15)*AC17*AC18</f>
        <v>5.0306301383884669E-5</v>
      </c>
      <c r="AG16" s="193">
        <f>C22</f>
        <v>0.5</v>
      </c>
      <c r="AH16">
        <v>1</v>
      </c>
      <c r="AI16" s="196">
        <f t="shared" si="9"/>
        <v>1.3874467260751647E-2</v>
      </c>
      <c r="AK16" s="193">
        <f>B22</f>
        <v>0.5</v>
      </c>
      <c r="AL16">
        <v>1</v>
      </c>
      <c r="AM16" s="197">
        <v>0.01</v>
      </c>
      <c r="AN16" s="198">
        <f t="shared" si="10"/>
        <v>0.01</v>
      </c>
      <c r="AO16">
        <v>1</v>
      </c>
      <c r="BH16">
        <v>1</v>
      </c>
      <c r="BI16">
        <v>4</v>
      </c>
      <c r="BJ16" s="107">
        <f t="shared" si="11"/>
        <v>3.5652475596398343E-2</v>
      </c>
      <c r="BP16">
        <f>BP12+1</f>
        <v>5</v>
      </c>
      <c r="BQ16">
        <v>2</v>
      </c>
      <c r="BR16" s="107">
        <f>$H$30*H41</f>
        <v>1.5161049588860874E-2</v>
      </c>
    </row>
    <row r="17" spans="1:70" x14ac:dyDescent="0.25">
      <c r="A17" s="183" t="s">
        <v>74</v>
      </c>
      <c r="B17" s="167" t="s">
        <v>75</v>
      </c>
      <c r="C17" s="168" t="s">
        <v>75</v>
      </c>
      <c r="E17" s="187" t="s">
        <v>71</v>
      </c>
      <c r="F17" s="162" t="s">
        <v>32</v>
      </c>
      <c r="G17" s="162"/>
      <c r="H17" s="10"/>
      <c r="I17" s="10"/>
      <c r="J17" s="161"/>
      <c r="K17" s="161"/>
      <c r="L17" s="10"/>
      <c r="M17" s="10"/>
      <c r="O17" s="67">
        <f t="shared" si="1"/>
        <v>8.3246803564509878E-2</v>
      </c>
      <c r="P17" s="199">
        <f>P3</f>
        <v>0.56999999999999995</v>
      </c>
      <c r="Q17" s="203">
        <f t="shared" si="2"/>
        <v>4.7450678031770624E-2</v>
      </c>
      <c r="R17" s="155">
        <f t="shared" si="3"/>
        <v>4.7450678031770631E-2</v>
      </c>
      <c r="S17" s="171">
        <f t="shared" si="4"/>
        <v>0.95254932196822939</v>
      </c>
      <c r="T17" s="172">
        <f>R17*PRODUCT(S5:S16)*PRODUCT(S18:S19)</f>
        <v>2.3144033489024975E-2</v>
      </c>
      <c r="U17" s="172">
        <f>R17*R18*PRODUCT(S5:S16)*S19+R17*R19*PRODUCT(S5:S16)*S18</f>
        <v>0</v>
      </c>
      <c r="W17" s="181" t="s">
        <v>76</v>
      </c>
      <c r="X17" s="15" t="s">
        <v>77</v>
      </c>
      <c r="Y17" s="69">
        <f t="shared" si="5"/>
        <v>8.3246803564509878E-2</v>
      </c>
      <c r="Z17" s="69">
        <f>Z3</f>
        <v>0.56999999999999995</v>
      </c>
      <c r="AA17" s="69">
        <f t="shared" si="6"/>
        <v>4.7450678031770624E-2</v>
      </c>
      <c r="AB17" s="155">
        <f t="shared" si="7"/>
        <v>4.7450678031770631E-2</v>
      </c>
      <c r="AC17" s="171">
        <f t="shared" si="8"/>
        <v>0.95254932196822939</v>
      </c>
      <c r="AD17" s="172">
        <f>AB17*PRODUCT(AC5:AC16)*PRODUCT(AC18:AC19)</f>
        <v>3.5414494811943441E-2</v>
      </c>
      <c r="AE17" s="172">
        <f>AB17*AB18*PRODUCT(AC5:AC16)*AC19+AB17*AB19*PRODUCT(AC5:AC16)*AC18</f>
        <v>6.4158198417808442E-4</v>
      </c>
      <c r="AG17" s="193">
        <f>COUNTA(F14:F15)/(COUNTA(F14:F15)+COUNTA(J14:J15))</f>
        <v>0.5</v>
      </c>
      <c r="AH17">
        <f>COUNTA(F14:F15)</f>
        <v>2</v>
      </c>
      <c r="AI17" s="196">
        <f t="shared" si="9"/>
        <v>0.16649360712901976</v>
      </c>
      <c r="AK17" s="193">
        <f>COUNTA(J14:J15)/(COUNTA(F14:F15)+COUNTA(J14:J15))</f>
        <v>0.5</v>
      </c>
      <c r="AL17">
        <f>COUNTA(J14:J15)</f>
        <v>2</v>
      </c>
      <c r="AM17" s="197">
        <v>0.12</v>
      </c>
      <c r="AN17" s="198">
        <f t="shared" si="10"/>
        <v>0.12</v>
      </c>
      <c r="AO17">
        <f>1/2</f>
        <v>0.5</v>
      </c>
      <c r="BH17">
        <v>1</v>
      </c>
      <c r="BI17">
        <v>5</v>
      </c>
      <c r="BJ17" s="107">
        <f t="shared" si="11"/>
        <v>2.2980993733429645E-2</v>
      </c>
      <c r="BP17">
        <f>BP13+1</f>
        <v>5</v>
      </c>
      <c r="BQ17">
        <v>3</v>
      </c>
      <c r="BR17" s="107">
        <f>$H$30*H42</f>
        <v>2.0535588538904644E-2</v>
      </c>
    </row>
    <row r="18" spans="1:70" x14ac:dyDescent="0.25">
      <c r="A18" s="183" t="s">
        <v>78</v>
      </c>
      <c r="B18" s="167">
        <v>20</v>
      </c>
      <c r="C18" s="168">
        <v>20</v>
      </c>
      <c r="E18" s="187" t="s">
        <v>71</v>
      </c>
      <c r="F18" s="162" t="s">
        <v>1</v>
      </c>
      <c r="G18" s="162"/>
      <c r="H18" s="10"/>
      <c r="I18" s="10"/>
      <c r="J18" s="161" t="s">
        <v>32</v>
      </c>
      <c r="K18" s="161"/>
      <c r="L18" s="10"/>
      <c r="M18" s="10"/>
      <c r="O18" s="67">
        <f t="shared" si="1"/>
        <v>0</v>
      </c>
      <c r="P18" s="199">
        <f>P17*1.2</f>
        <v>0.68399999999999994</v>
      </c>
      <c r="Q18" s="203">
        <f t="shared" si="2"/>
        <v>0</v>
      </c>
      <c r="R18" s="155">
        <f t="shared" si="3"/>
        <v>0</v>
      </c>
      <c r="S18" s="171">
        <f t="shared" si="4"/>
        <v>1</v>
      </c>
      <c r="T18" s="172">
        <f>R18*PRODUCT(S5:S17)*PRODUCT(S19)</f>
        <v>0</v>
      </c>
      <c r="U18" s="172">
        <f>R18*R19*PRODUCT(S5:S17)</f>
        <v>0</v>
      </c>
      <c r="W18" s="181" t="s">
        <v>79</v>
      </c>
      <c r="X18" s="15" t="s">
        <v>80</v>
      </c>
      <c r="Y18" s="69">
        <f t="shared" si="5"/>
        <v>2.6014626113909339E-2</v>
      </c>
      <c r="Z18" s="69">
        <f>Z17*1.2</f>
        <v>0.68399999999999994</v>
      </c>
      <c r="AA18" s="69">
        <f t="shared" si="6"/>
        <v>1.7794004261913986E-2</v>
      </c>
      <c r="AB18" s="155">
        <f t="shared" si="7"/>
        <v>1.7794004261913986E-2</v>
      </c>
      <c r="AC18" s="171">
        <f t="shared" si="8"/>
        <v>0.98220599573808598</v>
      </c>
      <c r="AD18" s="172">
        <f>AB18*PRODUCT(AC5:AC17)*PRODUCT(AC19)</f>
        <v>1.2879446814367488E-2</v>
      </c>
      <c r="AE18" s="172">
        <f>AB18*AB19*PRODUCT(AC5:AC17)</f>
        <v>0</v>
      </c>
      <c r="AG18" s="193">
        <f>IF(COUNTA(F14:F15)&gt;0,IF(COUNTIF(F11:F18,"CAB")+COUNTIF(J11:J18,"CAB")=0,0,COUNTIF(F11:F18,"CAB")/(COUNTIF(F11:F18,"CAB")+COUNTIF(J11:J18,"CAB"))),0)</f>
        <v>0</v>
      </c>
      <c r="AH18">
        <f>COUNTIF(F11:F18,"CAB")</f>
        <v>0</v>
      </c>
      <c r="AI18" s="196">
        <f t="shared" si="9"/>
        <v>0.20811700891127471</v>
      </c>
      <c r="AK18" s="193">
        <f>IF(COUNTA(J14:J15)&gt;0,IF(COUNTIF(J11:J18,"CAB")+COUNTIF(F11:F18,"CAB")=0,0,COUNTIF(J11:J18,"CAB")/(COUNTIF(J11:J18,"CAB")+COUNTIF(F11:F18,"CAB"))),0)</f>
        <v>1</v>
      </c>
      <c r="AL18">
        <f>COUNTIF(J11:J18,"CAB")</f>
        <v>1</v>
      </c>
      <c r="AM18" s="197">
        <v>0.15</v>
      </c>
      <c r="AN18" s="198">
        <f t="shared" si="10"/>
        <v>0.15</v>
      </c>
      <c r="AO18">
        <f>1/8</f>
        <v>0.125</v>
      </c>
      <c r="BH18">
        <v>1</v>
      </c>
      <c r="BI18">
        <v>6</v>
      </c>
      <c r="BJ18" s="107">
        <f t="shared" si="11"/>
        <v>1.0770767360254264E-2</v>
      </c>
      <c r="BP18">
        <f>BL8+1</f>
        <v>5</v>
      </c>
      <c r="BQ18">
        <v>4</v>
      </c>
      <c r="BR18" s="107">
        <f>$H$30*H43</f>
        <v>1.8690036747728213E-2</v>
      </c>
    </row>
    <row r="19" spans="1:70" x14ac:dyDescent="0.25">
      <c r="H19" s="13" t="s">
        <v>81</v>
      </c>
      <c r="L19" s="13" t="s">
        <v>81</v>
      </c>
      <c r="O19" s="67">
        <f t="shared" si="1"/>
        <v>0</v>
      </c>
      <c r="P19" s="199">
        <f>P3</f>
        <v>0.56999999999999995</v>
      </c>
      <c r="Q19" s="203">
        <f t="shared" si="2"/>
        <v>0</v>
      </c>
      <c r="R19" s="155">
        <f t="shared" si="3"/>
        <v>0</v>
      </c>
      <c r="S19" s="173">
        <f t="shared" si="4"/>
        <v>1</v>
      </c>
      <c r="T19" s="174">
        <f>R19*PRODUCT(S5:S18)</f>
        <v>0</v>
      </c>
      <c r="U19" s="174">
        <v>0</v>
      </c>
      <c r="V19" s="1" t="s">
        <v>82</v>
      </c>
      <c r="W19" s="181" t="s">
        <v>83</v>
      </c>
      <c r="X19" s="15" t="s">
        <v>84</v>
      </c>
      <c r="Y19" s="69">
        <f t="shared" si="5"/>
        <v>0</v>
      </c>
      <c r="Z19" s="69">
        <f>Z3</f>
        <v>0.56999999999999995</v>
      </c>
      <c r="AA19" s="69">
        <f t="shared" si="6"/>
        <v>0</v>
      </c>
      <c r="AB19" s="155">
        <f t="shared" si="7"/>
        <v>0</v>
      </c>
      <c r="AC19" s="173">
        <f t="shared" si="8"/>
        <v>1</v>
      </c>
      <c r="AD19" s="174">
        <f>AB19*PRODUCT(AC5:AC18)</f>
        <v>0</v>
      </c>
      <c r="AE19" s="174">
        <v>0</v>
      </c>
      <c r="AF19" s="1" t="s">
        <v>82</v>
      </c>
      <c r="AG19" s="193">
        <f>IF(COUNTIF(F11:F18,"TEC")&gt;0,IF(COUNTIF(J6:J13,"CAB")&gt;0,IF(COUNTIF(F11:F18,"TEC")+COUNTIF(J11:J18,"TEC")&gt;0,COUNTIF(F11:F18,"TEC")/(COUNTIF(F11:F18,"TEC")+COUNTIF(J11:J18,"TEC")),0),0),0)</f>
        <v>0</v>
      </c>
      <c r="AH19">
        <f>COUNTIF(F11:F18,"TEC")</f>
        <v>0</v>
      </c>
      <c r="AI19" s="196">
        <f t="shared" si="9"/>
        <v>0</v>
      </c>
      <c r="AK19" s="193">
        <f>IF(COUNTIF(J11:J18,"TEC")&gt;0,IF(COUNTIF(F6:F13,"CAB")&gt;0,IF(COUNTIF(F11:F18,"TEC")+COUNTIF(J11:J18,"TEC")&gt;0,COUNTIF(J11:J18,"TEC")/(COUNTIF(F11:F18,"TEC")+COUNTIF(J11:J18,"TEC")),0),0),0)</f>
        <v>0</v>
      </c>
      <c r="AL19">
        <f>COUNTIF(J11:J18,"TEC")</f>
        <v>0</v>
      </c>
      <c r="AM19" s="197">
        <v>0.6</v>
      </c>
      <c r="AN19" s="198">
        <f t="shared" si="10"/>
        <v>0</v>
      </c>
      <c r="AO19">
        <f>1/8</f>
        <v>0.125</v>
      </c>
      <c r="BH19">
        <v>1</v>
      </c>
      <c r="BI19">
        <v>7</v>
      </c>
      <c r="BJ19" s="107">
        <f t="shared" si="11"/>
        <v>3.7080548519146314E-3</v>
      </c>
      <c r="BP19">
        <f>BP15+1</f>
        <v>6</v>
      </c>
      <c r="BQ19">
        <v>1</v>
      </c>
      <c r="BR19" s="107">
        <f>$H$31*H40</f>
        <v>2.4616468822557412E-3</v>
      </c>
    </row>
    <row r="20" spans="1:70" x14ac:dyDescent="0.25">
      <c r="A20" s="185" t="s">
        <v>85</v>
      </c>
      <c r="B20">
        <f>IF(B17="Pres",IF(C17="Pres",2,1),IF(C17="Pres",1,0))</f>
        <v>0</v>
      </c>
      <c r="D20" s="36"/>
      <c r="O20" s="22"/>
      <c r="P20" s="22"/>
      <c r="Q20" s="22"/>
      <c r="S20" s="175">
        <f>PRODUCT(S5:S19)</f>
        <v>0.46460523478336668</v>
      </c>
      <c r="T20" s="176">
        <f>SUM(T5:T19)</f>
        <v>0.39984887750786319</v>
      </c>
      <c r="U20" s="176">
        <f>SUM(U5:U19)</f>
        <v>0.11945107724756034</v>
      </c>
      <c r="V20" s="176">
        <f>1-S20-T20-U20</f>
        <v>1.6094810461209794E-2</v>
      </c>
      <c r="W20" s="21"/>
      <c r="X20" s="22"/>
      <c r="Y20" s="22"/>
      <c r="Z20" s="22"/>
      <c r="AA20" s="22"/>
      <c r="AB20" s="23"/>
      <c r="AC20" s="179">
        <f>PRODUCT(AC5:AC19)</f>
        <v>0.7109287879590982</v>
      </c>
      <c r="AD20" s="176">
        <f>SUM(AD5:AD19)</f>
        <v>0.25765916592565569</v>
      </c>
      <c r="AE20" s="176">
        <f>SUM(AE5:AE19)</f>
        <v>2.9854004866755851E-2</v>
      </c>
      <c r="AF20" s="176">
        <f>1-AC20-AD20-AE20</f>
        <v>1.5580412484902662E-3</v>
      </c>
      <c r="BH20">
        <v>1</v>
      </c>
      <c r="BI20">
        <v>8</v>
      </c>
      <c r="BJ20" s="107">
        <f t="shared" si="11"/>
        <v>9.3570818273442356E-4</v>
      </c>
      <c r="BP20">
        <f>BP16+1</f>
        <v>6</v>
      </c>
      <c r="BQ20">
        <v>2</v>
      </c>
      <c r="BR20" s="107">
        <f>$H$31*H41</f>
        <v>5.5273596484200346E-3</v>
      </c>
    </row>
    <row r="21" spans="1:70" x14ac:dyDescent="0.25">
      <c r="A21" s="185" t="s">
        <v>86</v>
      </c>
      <c r="B21" s="186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1.7068398595825854E-4</v>
      </c>
      <c r="BP21">
        <f>BP17+1</f>
        <v>6</v>
      </c>
      <c r="BQ21">
        <v>3</v>
      </c>
      <c r="BR21" s="107">
        <f>$H$31*H42</f>
        <v>7.4867892741340772E-3</v>
      </c>
    </row>
    <row r="22" spans="1:70" x14ac:dyDescent="0.25">
      <c r="A22" s="26" t="s">
        <v>87</v>
      </c>
      <c r="B22" s="62">
        <f>(B6)/((B6)+(C6))</f>
        <v>0.5</v>
      </c>
      <c r="C22" s="63">
        <f>1-B22</f>
        <v>0.5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11"/>
        <v>2.1882002605082621E-5</v>
      </c>
      <c r="BP22">
        <f>BP18+1</f>
        <v>6</v>
      </c>
      <c r="BQ22">
        <v>4</v>
      </c>
      <c r="BR22" s="107">
        <f>$H$31*H43</f>
        <v>6.8139447959316701E-3</v>
      </c>
    </row>
    <row r="23" spans="1:70" x14ac:dyDescent="0.25">
      <c r="A23" s="40" t="s">
        <v>88</v>
      </c>
      <c r="B23" s="56">
        <f>((B22^2.8)/((B22^2.8)+(C22^2.8)))*B21</f>
        <v>2.5</v>
      </c>
      <c r="C23" s="57">
        <f>B21-B23</f>
        <v>2.5</v>
      </c>
      <c r="D23" s="149">
        <f>SUM(D25:D30)</f>
        <v>1</v>
      </c>
      <c r="E23" s="149">
        <f>SUM(E25:E30)</f>
        <v>1</v>
      </c>
      <c r="H23" s="59">
        <f>SUM(H25:H35)</f>
        <v>0.99999754495756199</v>
      </c>
      <c r="J23" s="59">
        <f>SUM(J25:J35)</f>
        <v>1.0000000000000002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</v>
      </c>
      <c r="T23" s="59">
        <f>SUM(T25:T35)</f>
        <v>1</v>
      </c>
      <c r="V23" s="59">
        <f>SUM(V25:V34)</f>
        <v>0.99897460937500004</v>
      </c>
      <c r="Y23" s="80">
        <f>SUM(Y25:Y35)</f>
        <v>9.716796875E-4</v>
      </c>
      <c r="Z23" s="81"/>
      <c r="AA23" s="80">
        <f>SUM(AA25:AA35)</f>
        <v>9.7216796875000001E-3</v>
      </c>
      <c r="AB23" s="81"/>
      <c r="AC23" s="80">
        <f>SUM(AC25:AC35)</f>
        <v>4.3774414062499996E-2</v>
      </c>
      <c r="AD23" s="81"/>
      <c r="AE23" s="80">
        <f>SUM(AE25:AE35)</f>
        <v>0.1168212890625</v>
      </c>
      <c r="AF23" s="81"/>
      <c r="AG23" s="80">
        <f>SUM(AG25:AG35)</f>
        <v>0.20463867187500001</v>
      </c>
      <c r="AH23" s="81"/>
      <c r="AI23" s="80">
        <f>SUM(AI25:AI35)</f>
        <v>0.24588867187500002</v>
      </c>
      <c r="AJ23" s="81"/>
      <c r="AK23" s="80">
        <f>SUM(AK25:AK35)</f>
        <v>0.20528320312499998</v>
      </c>
      <c r="AL23" s="81"/>
      <c r="AM23" s="80">
        <f>SUM(AM25:AM35)</f>
        <v>0.11762695312500002</v>
      </c>
      <c r="AN23" s="81"/>
      <c r="AO23" s="80">
        <f>SUM(AO25:AO35)</f>
        <v>4.43115234375E-2</v>
      </c>
      <c r="AP23" s="81"/>
      <c r="AQ23" s="80">
        <f>SUM(AQ25:AQ35)</f>
        <v>9.9365234375000024E-3</v>
      </c>
      <c r="AR23" s="81"/>
      <c r="AS23" s="80">
        <f>SUM(AS25:AS35)</f>
        <v>1.025390624999956E-3</v>
      </c>
      <c r="BH23">
        <f t="shared" ref="BH23:BH30" si="12">BH15+1</f>
        <v>2</v>
      </c>
      <c r="BI23">
        <v>3</v>
      </c>
      <c r="BJ23" s="107">
        <f t="shared" ref="BJ23:BJ30" si="13">$H$27*H42</f>
        <v>6.3022461684850081E-2</v>
      </c>
      <c r="BP23">
        <f>BL9+1</f>
        <v>6</v>
      </c>
      <c r="BQ23">
        <v>5</v>
      </c>
      <c r="BR23" s="107">
        <f>$H$31*H44</f>
        <v>4.3921556648105608E-3</v>
      </c>
    </row>
    <row r="24" spans="1:70" x14ac:dyDescent="0.25">
      <c r="A24" s="26" t="s">
        <v>89</v>
      </c>
      <c r="B24" s="64">
        <f>B23/B21</f>
        <v>0.5</v>
      </c>
      <c r="C24" s="65">
        <f>C23/B21</f>
        <v>0.5</v>
      </c>
      <c r="D24" s="13" t="s">
        <v>90</v>
      </c>
      <c r="E24" s="13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5.73585764338152E-2</v>
      </c>
      <c r="BP24">
        <f>BH49+1</f>
        <v>7</v>
      </c>
      <c r="BQ24">
        <v>0</v>
      </c>
      <c r="BR24" s="107">
        <f t="shared" ref="BR24:BR30" si="14">$H$32*H39</f>
        <v>1.377200791900407E-4</v>
      </c>
    </row>
    <row r="25" spans="1:70" x14ac:dyDescent="0.25">
      <c r="A25" s="26" t="s">
        <v>114</v>
      </c>
      <c r="B25" s="117">
        <f>1/(1+EXP(-3.1416*4*((B11/(B11+C8))-(3.1416/6))))</f>
        <v>0.58579167245523867</v>
      </c>
      <c r="C25" s="118">
        <f>1/(1+EXP(-3.1416*4*((C11/(C11+B8))-(3.1416/6))))</f>
        <v>0.42639691249266598</v>
      </c>
      <c r="D25" s="151">
        <f>IF(B17="AOW",0.36-0.08,IF(B17="AIM",0.36+0.08,IF(B17="TL",(0.361)-(0.36*B32),0.36)))</f>
        <v>0.36</v>
      </c>
      <c r="E25" s="151">
        <f>IF(C17="AOW",0.36-0.08,IF(C17="AIM",0.36+0.08,IF(C17="TL",(0.361)-(0.36*C32),0.36)))</f>
        <v>0.36</v>
      </c>
      <c r="G25" s="124">
        <v>0</v>
      </c>
      <c r="H25" s="125">
        <f>L25*J25</f>
        <v>4.5360424470794039E-2</v>
      </c>
      <c r="I25" s="97">
        <v>0</v>
      </c>
      <c r="J25" s="98">
        <f t="shared" ref="J25:J35" si="15">Y25+AA25+AC25+AE25+AG25+AI25+AK25+AM25+AO25+AQ25+AS25</f>
        <v>9.7632185508939484E-2</v>
      </c>
      <c r="K25" s="97">
        <v>0</v>
      </c>
      <c r="L25" s="98">
        <f>S20</f>
        <v>0.46460523478336668</v>
      </c>
      <c r="M25" s="84">
        <v>0</v>
      </c>
      <c r="N25" s="71">
        <f>(1-$B$24)^$B$21</f>
        <v>3.125E-2</v>
      </c>
      <c r="O25" s="70">
        <v>0</v>
      </c>
      <c r="P25" s="71">
        <f t="shared" ref="P25:P30" si="16">N25</f>
        <v>3.125E-2</v>
      </c>
      <c r="Q25" s="12">
        <v>0</v>
      </c>
      <c r="R25" s="73">
        <f>P25*N25</f>
        <v>9.765625E-4</v>
      </c>
      <c r="S25" s="70">
        <v>0</v>
      </c>
      <c r="T25" s="133">
        <f>(1-$B$33)^(INT(C23*2*(1-C31)))</f>
        <v>0.995</v>
      </c>
      <c r="U25" s="138">
        <v>0</v>
      </c>
      <c r="V25" s="86">
        <f>R25*T25</f>
        <v>9.716796875E-4</v>
      </c>
      <c r="W25" s="134">
        <f>B31</f>
        <v>0.41481679477751243</v>
      </c>
      <c r="X25" s="12">
        <v>0</v>
      </c>
      <c r="Y25" s="79">
        <f>V25</f>
        <v>9.716796875E-4</v>
      </c>
      <c r="Z25" s="12">
        <v>0</v>
      </c>
      <c r="AA25" s="78">
        <f>((1-W25)^Z26)*V26</f>
        <v>5.6889636796776015E-3</v>
      </c>
      <c r="AB25" s="12">
        <v>0</v>
      </c>
      <c r="AC25" s="79">
        <f>(((1-$W$25)^AB27))*V27</f>
        <v>1.499008337227329E-2</v>
      </c>
      <c r="AD25" s="12">
        <v>0</v>
      </c>
      <c r="AE25" s="79">
        <f>(((1-$W$25)^AB28))*V28</f>
        <v>2.3409791962807066E-2</v>
      </c>
      <c r="AF25" s="12">
        <v>0</v>
      </c>
      <c r="AG25" s="79">
        <f>(((1-$W$25)^AB29))*V29</f>
        <v>2.399689891016769E-2</v>
      </c>
      <c r="AH25" s="12">
        <v>0</v>
      </c>
      <c r="AI25" s="79">
        <f>(((1-$W$25)^AB30))*V30</f>
        <v>1.6873212966290456E-2</v>
      </c>
      <c r="AJ25" s="12">
        <v>0</v>
      </c>
      <c r="AK25" s="79">
        <f>(((1-$W$25)^AB31))*V31</f>
        <v>8.2433651099762303E-3</v>
      </c>
      <c r="AL25" s="12">
        <v>0</v>
      </c>
      <c r="AM25" s="79">
        <f>(((1-$W$25)^AB32))*V32</f>
        <v>2.7640749892612511E-3</v>
      </c>
      <c r="AN25" s="12">
        <v>0</v>
      </c>
      <c r="AO25" s="79">
        <f>(((1-$W$25)^AB33))*V33</f>
        <v>6.0932852323984004E-4</v>
      </c>
      <c r="AP25" s="12">
        <v>0</v>
      </c>
      <c r="AQ25" s="79">
        <f>(((1-$W$25)^AB34))*V34</f>
        <v>7.9957856216545818E-5</v>
      </c>
      <c r="AR25" s="12">
        <v>0</v>
      </c>
      <c r="AS25" s="79">
        <f>(((1-$W$25)^AB35))*V35</f>
        <v>4.8284515295027829E-6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3.6972385887198089E-2</v>
      </c>
      <c r="BP25">
        <f>BP19+1</f>
        <v>7</v>
      </c>
      <c r="BQ25">
        <v>1</v>
      </c>
      <c r="BR25" s="107">
        <f t="shared" si="14"/>
        <v>6.7780183716847767E-4</v>
      </c>
    </row>
    <row r="26" spans="1:70" x14ac:dyDescent="0.25">
      <c r="A26" s="40" t="s">
        <v>115</v>
      </c>
      <c r="B26" s="119">
        <f>1/(1+EXP(-3.1416*4*((B10/(B10+C9))-(3.1416/6))))</f>
        <v>0.1948863248060955</v>
      </c>
      <c r="C26" s="118">
        <f>1/(1+EXP(-3.1416*4*((C10/(C10+B9))-(3.1416/6))))</f>
        <v>0.69969228081812651</v>
      </c>
      <c r="D26" s="151">
        <f>IF(B17="AOW",0.257+0.04,IF(B17="AIM",0.257-0.04,IF(B17="TL",(0.257)-(0.257*B32),0.257)))</f>
        <v>0.25700000000000001</v>
      </c>
      <c r="E26" s="151">
        <f>IF(C17="AOW",0.257+0.04,IF(C17="AIM",0.257-0.04,IF(C17="TL",(0.257)-(0.257*C32),0.257)))</f>
        <v>0.25700000000000001</v>
      </c>
      <c r="G26" s="87">
        <v>1</v>
      </c>
      <c r="H26" s="126">
        <f>L25*J26+L26*J25</f>
        <v>0.15783330304573795</v>
      </c>
      <c r="I26" s="93">
        <v>1</v>
      </c>
      <c r="J26" s="86">
        <f t="shared" si="15"/>
        <v>0.25569058281648532</v>
      </c>
      <c r="K26" s="93">
        <v>1</v>
      </c>
      <c r="L26" s="86">
        <f>T20</f>
        <v>0.39984887750786319</v>
      </c>
      <c r="M26" s="85">
        <v>1</v>
      </c>
      <c r="N26" s="71">
        <f>(($B$24)^M26)*((1-($B$24))^($B$21-M26))*HLOOKUP($B$21,$AV$24:$BF$34,M26+1)</f>
        <v>0.15625</v>
      </c>
      <c r="O26" s="72">
        <v>1</v>
      </c>
      <c r="P26" s="71">
        <f t="shared" si="16"/>
        <v>0.15625</v>
      </c>
      <c r="Q26" s="28">
        <v>1</v>
      </c>
      <c r="R26" s="37">
        <f>N26*P25+P26*N25</f>
        <v>9.765625E-3</v>
      </c>
      <c r="S26" s="72">
        <v>1</v>
      </c>
      <c r="T26" s="133">
        <f t="shared" ref="T26:T35" si="17">(($B$33)^S26)*((1-($B$33))^(INT($C$23*2*(1-$C$31))-S26))*HLOOKUP(INT($C$23*2*(1-$C$31)),$AV$24:$BF$34,S26+1)</f>
        <v>5.0000000000000001E-3</v>
      </c>
      <c r="U26" s="93">
        <v>1</v>
      </c>
      <c r="V26" s="86">
        <f>R26*T25+T26*R25</f>
        <v>9.7216796875000001E-3</v>
      </c>
      <c r="W26" s="135"/>
      <c r="X26" s="28">
        <v>1</v>
      </c>
      <c r="Y26" s="73"/>
      <c r="Z26" s="28">
        <v>1</v>
      </c>
      <c r="AA26" s="79">
        <f>(1-((1-W25)^Z26))*V26</f>
        <v>4.0327160078223985E-3</v>
      </c>
      <c r="AB26" s="28">
        <v>1</v>
      </c>
      <c r="AC26" s="79">
        <f>((($W$25)^M26)*((1-($W$25))^($U$27-M26))*HLOOKUP($U$27,$AV$24:$BF$34,M26+1))*V27</f>
        <v>2.1251937111113586E-2</v>
      </c>
      <c r="AD26" s="28">
        <v>1</v>
      </c>
      <c r="AE26" s="79">
        <f>((($W$25)^M26)*((1-($W$25))^($U$28-M26))*HLOOKUP($U$28,$AV$24:$BF$34,M26+1))*V28</f>
        <v>4.9783254791435513E-2</v>
      </c>
      <c r="AF26" s="28">
        <v>1</v>
      </c>
      <c r="AG26" s="79">
        <f>((($W$25)^M26)*((1-($W$25))^($U$29-M26))*HLOOKUP($U$29,$AV$24:$BF$34,M26+1))*V29</f>
        <v>6.8042394940101503E-2</v>
      </c>
      <c r="AH26" s="28">
        <v>1</v>
      </c>
      <c r="AI26" s="79">
        <f>((($W$25)^M26)*((1-($W$25))^($U$30-M26))*HLOOKUP($U$30,$AV$24:$BF$34,M26+1))*V30</f>
        <v>5.9804280589476483E-2</v>
      </c>
      <c r="AJ26" s="28">
        <v>1</v>
      </c>
      <c r="AK26" s="79">
        <f>((($W$25)^M26)*((1-($W$25))^($U$31-M26))*HLOOKUP($U$31,$AV$24:$BF$34,M26+1))*V31</f>
        <v>3.5060674290551673E-2</v>
      </c>
      <c r="AL26" s="28">
        <v>1</v>
      </c>
      <c r="AM26" s="79">
        <f>((($W$25)^Q26)*((1-($W$25))^($U$32-Q26))*HLOOKUP($U$32,$AV$24:$BF$34,Q26+1))*V32</f>
        <v>1.3715521944856125E-2</v>
      </c>
      <c r="AN26" s="28">
        <v>1</v>
      </c>
      <c r="AO26" s="79">
        <f>((($W$25)^Q26)*((1-($W$25))^($U$33-Q26))*HLOOKUP($U$33,$AV$24:$BF$34,Q26+1))*V33</f>
        <v>3.4554608228138167E-3</v>
      </c>
      <c r="AP26" s="28">
        <v>1</v>
      </c>
      <c r="AQ26" s="79">
        <f>((($W$25)^Q26)*((1-($W$25))^($U$34-Q26))*HLOOKUP($U$34,$AV$24:$BF$34,Q26+1))*V34</f>
        <v>5.1011504095331019E-4</v>
      </c>
      <c r="AR26" s="28">
        <v>1</v>
      </c>
      <c r="AS26" s="79">
        <f>((($W$25)^Q26)*((1-($W$25))^($U$35-Q26))*HLOOKUP($U$35,$AV$24:$BF$34,Q26+1))*V35</f>
        <v>3.4227277360863554E-5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1.7328274476019746E-2</v>
      </c>
      <c r="BP26">
        <f>BP20+1</f>
        <v>7</v>
      </c>
      <c r="BQ26">
        <v>2</v>
      </c>
      <c r="BR26" s="107">
        <f t="shared" si="14"/>
        <v>1.5219301157268056E-3</v>
      </c>
    </row>
    <row r="27" spans="1:70" x14ac:dyDescent="0.25">
      <c r="A27" s="26" t="s">
        <v>116</v>
      </c>
      <c r="B27" s="119">
        <f>1/(1+EXP(-3.1416*4*((B12/(B12+C7))-(3.1416/6))))</f>
        <v>0.29124981281132378</v>
      </c>
      <c r="C27" s="118">
        <f>1/(1+EXP(-3.1416*4*((C12/(C12+B7))-(3.1416/6))))</f>
        <v>0.71881514699194859</v>
      </c>
      <c r="D27" s="151">
        <f>D26</f>
        <v>0.25700000000000001</v>
      </c>
      <c r="E27" s="151">
        <f>E26</f>
        <v>0.25700000000000001</v>
      </c>
      <c r="G27" s="87">
        <v>2</v>
      </c>
      <c r="H27" s="126">
        <f>L25*J27+J26*L26+J25*L27</f>
        <v>0.25392608577972164</v>
      </c>
      <c r="I27" s="93">
        <v>2</v>
      </c>
      <c r="J27" s="86">
        <f t="shared" si="15"/>
        <v>0.30138752866922119</v>
      </c>
      <c r="K27" s="93">
        <v>2</v>
      </c>
      <c r="L27" s="86">
        <f>U20</f>
        <v>0.11945107724756034</v>
      </c>
      <c r="M27" s="85">
        <v>2</v>
      </c>
      <c r="N27" s="71">
        <f>(($B$24)^M27)*((1-($B$24))^($B$21-M27))*HLOOKUP($B$21,$AV$24:$BF$34,M27+1)</f>
        <v>0.3125</v>
      </c>
      <c r="O27" s="72">
        <v>2</v>
      </c>
      <c r="P27" s="71">
        <f t="shared" si="16"/>
        <v>0.3125</v>
      </c>
      <c r="Q27" s="28">
        <v>2</v>
      </c>
      <c r="R27" s="37">
        <f>P25*N27+P26*N26+P27*N25</f>
        <v>4.39453125E-2</v>
      </c>
      <c r="S27" s="72">
        <v>2</v>
      </c>
      <c r="T27" s="133">
        <f t="shared" si="17"/>
        <v>0</v>
      </c>
      <c r="U27" s="93">
        <v>2</v>
      </c>
      <c r="V27" s="86">
        <f>R27*T25+T26*R26+R25*T27</f>
        <v>4.3774414062499996E-2</v>
      </c>
      <c r="W27" s="135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7.532393579113123E-3</v>
      </c>
      <c r="AD27" s="28">
        <v>2</v>
      </c>
      <c r="AE27" s="79">
        <f>((($W$25)^M27)*((1-($W$25))^($U$28-M27))*HLOOKUP($U$28,$AV$24:$BF$34,M27+1))*V28</f>
        <v>3.5289683644157216E-2</v>
      </c>
      <c r="AF27" s="28">
        <v>2</v>
      </c>
      <c r="AG27" s="79">
        <f>((($W$25)^M27)*((1-($W$25))^($U$29-M27))*HLOOKUP($U$29,$AV$24:$BF$34,M27+1))*V29</f>
        <v>7.234946575570457E-2</v>
      </c>
      <c r="AH27" s="28">
        <v>2</v>
      </c>
      <c r="AI27" s="79">
        <f>((($W$25)^M27)*((1-($W$25))^($U$30-M27))*HLOOKUP($U$30,$AV$24:$BF$34,M27+1))*V30</f>
        <v>8.4786507085997651E-2</v>
      </c>
      <c r="AJ27" s="28">
        <v>2</v>
      </c>
      <c r="AK27" s="79">
        <f>((($W$25)^M27)*((1-($W$25))^($U$31-M27))*HLOOKUP($U$31,$AV$24:$BF$34,M27+1))*V31</f>
        <v>6.2133347309649041E-2</v>
      </c>
      <c r="AL27" s="28">
        <v>2</v>
      </c>
      <c r="AM27" s="79">
        <f>((($W$25)^Q27)*((1-($W$25))^($U$32-Q27))*HLOOKUP($U$32,$AV$24:$BF$34,Q27+1))*V32</f>
        <v>2.916742381406549E-2</v>
      </c>
      <c r="AN27" s="28">
        <v>2</v>
      </c>
      <c r="AO27" s="79">
        <f>((($W$25)^Q27)*((1-($W$25))^($U$33-Q27))*HLOOKUP($U$33,$AV$24:$BF$34,Q27+1))*V33</f>
        <v>8.573111968564983E-3</v>
      </c>
      <c r="AP27" s="28">
        <v>2</v>
      </c>
      <c r="AQ27" s="79">
        <f>((($W$25)^Q27)*((1-($W$25))^($U$34-Q27))*HLOOKUP($U$34,$AV$24:$BF$34,Q27+1))*V34</f>
        <v>1.4464139392079739E-3</v>
      </c>
      <c r="AR27" s="28">
        <v>2</v>
      </c>
      <c r="AS27" s="79">
        <f>((($W$25)^Q27)*((1-($W$25))^($U$35-Q27))*HLOOKUP($U$35,$AV$24:$BF$34,Q27+1))*V35</f>
        <v>1.0918157276110299E-4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5.9656095148077392E-3</v>
      </c>
      <c r="BP27">
        <f>BP21+1</f>
        <v>7</v>
      </c>
      <c r="BQ27">
        <v>3</v>
      </c>
      <c r="BR27" s="107">
        <f t="shared" si="14"/>
        <v>2.0614490084179889E-3</v>
      </c>
    </row>
    <row r="28" spans="1:70" x14ac:dyDescent="0.25">
      <c r="A28" s="26" t="s">
        <v>117</v>
      </c>
      <c r="B28" s="169">
        <v>0.9</v>
      </c>
      <c r="C28" s="170">
        <v>0.9</v>
      </c>
      <c r="D28" s="151">
        <v>8.5000000000000006E-2</v>
      </c>
      <c r="E28" s="151">
        <v>8.5000000000000006E-2</v>
      </c>
      <c r="G28" s="87">
        <v>3</v>
      </c>
      <c r="H28" s="126">
        <f>J28*L25+J27*L26+L28*J25+L27*J26</f>
        <v>0.25045534381676698</v>
      </c>
      <c r="I28" s="93">
        <v>3</v>
      </c>
      <c r="J28" s="86">
        <f t="shared" si="15"/>
        <v>0.21057014510170277</v>
      </c>
      <c r="K28" s="93">
        <v>3</v>
      </c>
      <c r="L28" s="86">
        <f>V20</f>
        <v>1.6094810461209794E-2</v>
      </c>
      <c r="M28" s="85">
        <v>3</v>
      </c>
      <c r="N28" s="71">
        <f>(($B$24)^M28)*((1-($B$24))^($B$21-M28))*HLOOKUP($B$21,$AV$24:$BF$34,M28+1)</f>
        <v>0.3125</v>
      </c>
      <c r="O28" s="72">
        <v>3</v>
      </c>
      <c r="P28" s="71">
        <f t="shared" si="16"/>
        <v>0.3125</v>
      </c>
      <c r="Q28" s="28">
        <v>3</v>
      </c>
      <c r="R28" s="37">
        <f>P25*N28+P26*N27+P27*N26+P28*N25</f>
        <v>0.1171875</v>
      </c>
      <c r="S28" s="72">
        <v>3</v>
      </c>
      <c r="T28" s="133">
        <f t="shared" si="17"/>
        <v>0</v>
      </c>
      <c r="U28" s="93">
        <v>3</v>
      </c>
      <c r="V28" s="86">
        <f>R28*T25+R27*T26+R26*T27+R25*T28</f>
        <v>0.1168212890625</v>
      </c>
      <c r="W28" s="135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8.338558664100203E-3</v>
      </c>
      <c r="AF28" s="28">
        <v>3</v>
      </c>
      <c r="AG28" s="79">
        <f>((($W$25)^M28)*((1-($W$25))^($U$29-M28))*HLOOKUP($U$29,$AV$24:$BF$34,M28+1))*V29</f>
        <v>3.4190743708757264E-2</v>
      </c>
      <c r="AH28" s="28">
        <v>3</v>
      </c>
      <c r="AI28" s="79">
        <f>((($W$25)^M28)*((1-($W$25))^($U$30-M28))*HLOOKUP($U$30,$AV$24:$BF$34,M28+1))*V30</f>
        <v>6.0102318036318859E-2</v>
      </c>
      <c r="AJ28" s="28">
        <v>3</v>
      </c>
      <c r="AK28" s="79">
        <f>((($W$25)^M28)*((1-($W$25))^($U$31-M28))*HLOOKUP($U$31,$AV$24:$BF$34,M28+1))*V31</f>
        <v>5.8725668018188799E-2</v>
      </c>
      <c r="AL28" s="28">
        <v>3</v>
      </c>
      <c r="AM28" s="79">
        <f>((($W$25)^Q28)*((1-($W$25))^($U$32-Q28))*HLOOKUP($U$32,$AV$24:$BF$34,Q28+1))*V32</f>
        <v>3.4459684734879509E-2</v>
      </c>
      <c r="AN28" s="28">
        <v>3</v>
      </c>
      <c r="AO28" s="79">
        <f>((($W$25)^Q28)*((1-($W$25))^($U$33-Q28))*HLOOKUP($U$33,$AV$24:$BF$34,Q28+1))*V33</f>
        <v>1.2154384460561394E-2</v>
      </c>
      <c r="AP28" s="28">
        <v>3</v>
      </c>
      <c r="AQ28" s="79">
        <f>((($W$25)^Q28)*((1-($W$25))^($U$34-Q28))*HLOOKUP($U$34,$AV$24:$BF$34,Q28+1))*V34</f>
        <v>2.3924003752463208E-3</v>
      </c>
      <c r="AR28" s="28">
        <v>3</v>
      </c>
      <c r="AS28" s="79">
        <f>((($W$25)^Q28)*((1-($W$25))^($U$35-Q28))*HLOOKUP($U$35,$AV$24:$BF$34,Q28+1))*V35</f>
        <v>2.063871036504271E-4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 t="shared" ref="BF28:BF34" si="18">BE27+BE28</f>
        <v>210</v>
      </c>
      <c r="BH28">
        <f t="shared" si="12"/>
        <v>2</v>
      </c>
      <c r="BI28">
        <v>8</v>
      </c>
      <c r="BJ28" s="107">
        <f t="shared" si="13"/>
        <v>1.5053902547104096E-3</v>
      </c>
      <c r="BP28">
        <f>BP22+1</f>
        <v>7</v>
      </c>
      <c r="BQ28">
        <v>4</v>
      </c>
      <c r="BR28" s="107">
        <f t="shared" si="14"/>
        <v>1.8761847340244377E-3</v>
      </c>
    </row>
    <row r="29" spans="1:70" x14ac:dyDescent="0.25">
      <c r="A29" s="26" t="s">
        <v>118</v>
      </c>
      <c r="B29" s="119">
        <f>1/(1+EXP(-3.1416*4*((B14/(B14+C13))-(3.1416/6))))</f>
        <v>6.0651982906511165E-2</v>
      </c>
      <c r="C29" s="118">
        <f>1/(1+EXP(-3.1416*4*((C14/(C14+B13))-(3.1416/6))))</f>
        <v>0.77755383103377884</v>
      </c>
      <c r="D29" s="151">
        <v>0.04</v>
      </c>
      <c r="E29" s="151">
        <v>0.04</v>
      </c>
      <c r="G29" s="87">
        <v>4</v>
      </c>
      <c r="H29" s="126">
        <f>J29*L25+J28*L26+J27*L27+J26*L28</f>
        <v>0.16918412165769878</v>
      </c>
      <c r="I29" s="93">
        <v>4</v>
      </c>
      <c r="J29" s="86">
        <f t="shared" si="15"/>
        <v>9.6579904200544464E-2</v>
      </c>
      <c r="K29" s="93">
        <v>4</v>
      </c>
      <c r="L29" s="86"/>
      <c r="M29" s="85">
        <v>4</v>
      </c>
      <c r="N29" s="71">
        <f>(($B$24)^M29)*((1-($B$24))^($B$21-M29))*HLOOKUP($B$21,$AV$24:$BF$34,M29+1)</f>
        <v>0.15625</v>
      </c>
      <c r="O29" s="72">
        <v>4</v>
      </c>
      <c r="P29" s="71">
        <f t="shared" si="16"/>
        <v>0.15625</v>
      </c>
      <c r="Q29" s="28">
        <v>4</v>
      </c>
      <c r="R29" s="37">
        <f>P25*N29+P26*N28+P27*N27+P28*N26+P29*N25</f>
        <v>0.205078125</v>
      </c>
      <c r="S29" s="72">
        <v>4</v>
      </c>
      <c r="T29" s="133">
        <f t="shared" si="17"/>
        <v>0</v>
      </c>
      <c r="U29" s="93">
        <v>4</v>
      </c>
      <c r="V29" s="86">
        <f>T29*R25+T28*R26+T27*R27+T26*R28+T25*R29</f>
        <v>0.20463867187499998</v>
      </c>
      <c r="W29" s="135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6.0591685602689703E-3</v>
      </c>
      <c r="AH29" s="28">
        <v>4</v>
      </c>
      <c r="AI29" s="79">
        <f>((($W$25)^M29)*((1-($W$25))^($U$30-M29))*HLOOKUP($U$30,$AV$24:$BF$34,M29+1))*V30</f>
        <v>2.1302261158576388E-2</v>
      </c>
      <c r="AJ29" s="28">
        <v>4</v>
      </c>
      <c r="AK29" s="79">
        <f>((($W$25)^M29)*((1-($W$25))^($U$31-M29))*HLOOKUP($U$31,$AV$24:$BF$34,M29+1))*V31</f>
        <v>3.1221495885051274E-2</v>
      </c>
      <c r="AL29" s="28">
        <v>4</v>
      </c>
      <c r="AM29" s="79">
        <f>((($W$25)^Q29)*((1-($W$25))^($U$32-Q29))*HLOOKUP($U$32,$AV$24:$BF$34,Q29+1))*V32</f>
        <v>2.4427317536106521E-2</v>
      </c>
      <c r="AN29" s="28">
        <v>4</v>
      </c>
      <c r="AO29" s="79">
        <f>((($W$25)^Q29)*((1-($W$25))^($U$33-Q29))*HLOOKUP($U$33,$AV$24:$BF$34,Q29+1))*V33</f>
        <v>1.0769795594412959E-2</v>
      </c>
      <c r="AP29" s="28">
        <v>4</v>
      </c>
      <c r="AQ29" s="79">
        <f>((($W$25)^Q29)*((1-($W$25))^($U$34-Q29))*HLOOKUP($U$34,$AV$24:$BF$34,Q29+1))*V34</f>
        <v>2.5438388695046758E-3</v>
      </c>
      <c r="AR29" s="28">
        <v>4</v>
      </c>
      <c r="AS29" s="79">
        <f>((($W$25)^Q29)*((1-($W$25))^($U$35-Q29))*HLOOKUP($U$35,$AV$24:$BF$34,Q29+1))*V35</f>
        <v>2.560265966236761E-4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si="18"/>
        <v>252</v>
      </c>
      <c r="BH29">
        <f t="shared" si="12"/>
        <v>2</v>
      </c>
      <c r="BI29">
        <v>9</v>
      </c>
      <c r="BJ29" s="107">
        <f t="shared" si="13"/>
        <v>2.7460057936633242E-4</v>
      </c>
      <c r="BP29">
        <f>BP23+1</f>
        <v>7</v>
      </c>
      <c r="BQ29">
        <v>5</v>
      </c>
      <c r="BR29" s="107">
        <f t="shared" si="14"/>
        <v>1.2093575241021316E-3</v>
      </c>
    </row>
    <row r="30" spans="1:70" x14ac:dyDescent="0.25">
      <c r="A30" s="26" t="s">
        <v>119</v>
      </c>
      <c r="B30" s="169">
        <v>0.15</v>
      </c>
      <c r="C30" s="170">
        <v>0.15</v>
      </c>
      <c r="D30" s="151">
        <f>IF(B17="TL",0.875*B32,0.001)</f>
        <v>1E-3</v>
      </c>
      <c r="E30" s="151">
        <f>IF(C17="TL",0.875*C32,0.001)</f>
        <v>1E-3</v>
      </c>
      <c r="G30" s="87">
        <v>5</v>
      </c>
      <c r="H30" s="126">
        <f>J30*L25+J29*L26+J28*L27+J27*L28</f>
        <v>8.2740684471239612E-2</v>
      </c>
      <c r="I30" s="93">
        <v>5</v>
      </c>
      <c r="J30" s="86">
        <f t="shared" si="15"/>
        <v>3.0390773310037221E-2</v>
      </c>
      <c r="K30" s="93">
        <v>5</v>
      </c>
      <c r="L30" s="86"/>
      <c r="M30" s="85">
        <v>5</v>
      </c>
      <c r="N30" s="71">
        <f>(($B$24)^M30)*((1-($B$24))^($B$21-M30))*HLOOKUP($B$21,$AV$24:$BF$34,M30+1)</f>
        <v>3.125E-2</v>
      </c>
      <c r="O30" s="72">
        <v>5</v>
      </c>
      <c r="P30" s="71">
        <f t="shared" si="16"/>
        <v>3.125E-2</v>
      </c>
      <c r="Q30" s="28">
        <v>5</v>
      </c>
      <c r="R30" s="37">
        <f>P25*N30+P26*N29+P27*N28+P28*N27+P29*N26+P30*N25</f>
        <v>0.24609375</v>
      </c>
      <c r="S30" s="72">
        <v>5</v>
      </c>
      <c r="T30" s="133">
        <f t="shared" si="17"/>
        <v>0</v>
      </c>
      <c r="U30" s="93">
        <v>5</v>
      </c>
      <c r="V30" s="86">
        <f>T30*R25+T29*R26+T28*R27+T27*R28+T26*R29+T25*R30</f>
        <v>0.24588867187500002</v>
      </c>
      <c r="W30" s="135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3.0200920383401946E-3</v>
      </c>
      <c r="AJ30" s="28">
        <v>5</v>
      </c>
      <c r="AK30" s="79">
        <f>((($W$25)^M30)*((1-($W$25))^($U$31-M30))*HLOOKUP($U$31,$AV$24:$BF$34,M30+1))*V31</f>
        <v>8.8527495222780316E-3</v>
      </c>
      <c r="AL30" s="28">
        <v>5</v>
      </c>
      <c r="AM30" s="79">
        <f>((($W$25)^Q30)*((1-($W$25))^($U$32-Q30))*HLOOKUP($U$32,$AV$24:$BF$34,Q30+1))*V32</f>
        <v>1.0389424858651948E-2</v>
      </c>
      <c r="AN30" s="28">
        <v>5</v>
      </c>
      <c r="AO30" s="79">
        <f>((($W$25)^Q30)*((1-($W$25))^($U$33-Q30))*HLOOKUP($U$33,$AV$24:$BF$34,Q30+1))*V33</f>
        <v>6.1074782037667122E-3</v>
      </c>
      <c r="AP30" s="28">
        <v>5</v>
      </c>
      <c r="AQ30" s="79">
        <f>((($W$25)^Q30)*((1-($W$25))^($U$34-Q30))*HLOOKUP($U$34,$AV$24:$BF$34,Q30+1))*V34</f>
        <v>1.8032422613311007E-3</v>
      </c>
      <c r="AR30" s="28">
        <v>5</v>
      </c>
      <c r="AS30" s="79">
        <f>((($W$25)^Q30)*((1-($W$25))^($U$35-Q30))*HLOOKUP($U$35,$AV$24:$BF$34,Q30+1))*V35</f>
        <v>2.1778642566923858E-4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3.5204302028198252E-5</v>
      </c>
      <c r="BP30">
        <f>BL10+1</f>
        <v>7</v>
      </c>
      <c r="BQ30">
        <v>6</v>
      </c>
      <c r="BR30" s="107">
        <f t="shared" si="14"/>
        <v>5.6680353767857771E-4</v>
      </c>
    </row>
    <row r="31" spans="1:70" x14ac:dyDescent="0.25">
      <c r="A31" s="184" t="s">
        <v>120</v>
      </c>
      <c r="B31" s="60">
        <f>(B25*D25)+(B26*D26)+(B27*D27)+(B28*D28)+(B29*D29)+(B30*D30)/(B25+B26+B27+B28+B29+B30)</f>
        <v>0.41481679477751243</v>
      </c>
      <c r="C31" s="61">
        <f>(C25*E25)+(C26*E26)+(C27*E27)+(C28*E28)+(C29*E29)+(C30*E30)/(C25+C26+C27+C28+C29+C30)</f>
        <v>0.62570229526274812</v>
      </c>
      <c r="G31" s="87">
        <v>6</v>
      </c>
      <c r="H31" s="126">
        <f>J31*L25+J30*L26+J29*L27+J28*L28</f>
        <v>3.0165294160438536E-2</v>
      </c>
      <c r="I31" s="93">
        <v>6</v>
      </c>
      <c r="J31" s="86">
        <f t="shared" si="15"/>
        <v>6.6463250157770635E-3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0.205078125</v>
      </c>
      <c r="S31" s="70">
        <v>6</v>
      </c>
      <c r="T31" s="133">
        <f t="shared" si="17"/>
        <v>0</v>
      </c>
      <c r="U31" s="93">
        <v>6</v>
      </c>
      <c r="V31" s="86">
        <f>T31*R25+T30*R26+T29*R27+T28*R28+T27*R29+T26*R30+T25*R31</f>
        <v>0.20528320312499998</v>
      </c>
      <c r="W31" s="135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1.0459029893049548E-3</v>
      </c>
      <c r="AL31" s="28">
        <v>6</v>
      </c>
      <c r="AM31" s="79">
        <f>((($W$25)^Q31)*((1-($W$25))^($U$32-Q31))*HLOOKUP($U$32,$AV$24:$BF$34,Q31+1))*V32</f>
        <v>2.4549052222652525E-3</v>
      </c>
      <c r="AN31" s="28">
        <v>6</v>
      </c>
      <c r="AO31" s="79">
        <f>((($W$25)^Q31)*((1-($W$25))^($U$33-Q31))*HLOOKUP($U$33,$AV$24:$BF$34,Q31+1))*V33</f>
        <v>2.1646934755217319E-3</v>
      </c>
      <c r="AP31" s="28">
        <v>6</v>
      </c>
      <c r="AQ31" s="79">
        <f>((($W$25)^Q31)*((1-($W$25))^($U$34-Q31))*HLOOKUP($U$34,$AV$24:$BF$34,Q31+1))*V34</f>
        <v>8.5217207007655437E-4</v>
      </c>
      <c r="AR31" s="28">
        <v>6</v>
      </c>
      <c r="AS31" s="79">
        <f>((($W$25)^Q31)*((1-($W$25))^($U$35-Q31))*HLOOKUP($U$35,$AV$24:$BF$34,Q31+1))*V35</f>
        <v>1.2865125860857046E-4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5.6574581289902018E-2</v>
      </c>
      <c r="BP31">
        <f t="shared" ref="BP31:BP37" si="21">BP24+1</f>
        <v>8</v>
      </c>
      <c r="BQ31">
        <v>0</v>
      </c>
      <c r="BR31" s="107">
        <f t="shared" ref="BR31:BR38" si="22">$H$33*H39</f>
        <v>2.8650513609076901E-5</v>
      </c>
    </row>
    <row r="32" spans="1:70" x14ac:dyDescent="0.25">
      <c r="A32" s="26" t="s">
        <v>121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6">
        <f>J32*L25+J31*L26+J30*L27+J29*L28</f>
        <v>8.3058589548542089E-3</v>
      </c>
      <c r="I32" s="93">
        <v>7</v>
      </c>
      <c r="J32" s="86">
        <f t="shared" si="15"/>
        <v>9.9802468910969284E-4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0.1171875</v>
      </c>
      <c r="S32" s="72">
        <v>7</v>
      </c>
      <c r="T32" s="133">
        <f t="shared" si="17"/>
        <v>0</v>
      </c>
      <c r="U32" s="93">
        <v>7</v>
      </c>
      <c r="V32" s="86">
        <f>T32*R25+T31*R26+T30*R27+T29*R28+T28*R29+T27*R30+T26*R31+T25*R32</f>
        <v>0.117626953125</v>
      </c>
      <c r="W32" s="135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2.486000249139256E-4</v>
      </c>
      <c r="AN32" s="28">
        <v>7</v>
      </c>
      <c r="AO32" s="79">
        <f>((($W$25)^Q32)*((1-($W$25))^($U$33-Q32))*HLOOKUP($U$33,$AV$24:$BF$34,Q32+1))*V33</f>
        <v>4.3842250777335174E-4</v>
      </c>
      <c r="AP32" s="28">
        <v>7</v>
      </c>
      <c r="AQ32" s="79">
        <f>((($W$25)^Q32)*((1-($W$25))^($U$34-Q32))*HLOOKUP($U$34,$AV$24:$BF$34,Q32+1))*V34</f>
        <v>2.588898291435863E-4</v>
      </c>
      <c r="AR32" s="28">
        <v>7</v>
      </c>
      <c r="AS32" s="79">
        <f>((($W$25)^Q32)*((1-($W$25))^($U$35-Q32))*HLOOKUP($U$35,$AV$24:$BF$34,Q32+1))*V35</f>
        <v>5.21123272788293E-5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3.6467035636257084E-2</v>
      </c>
      <c r="BP32">
        <f t="shared" si="21"/>
        <v>8</v>
      </c>
      <c r="BQ32">
        <v>1</v>
      </c>
      <c r="BR32" s="107">
        <f t="shared" si="22"/>
        <v>1.4100609638232852E-4</v>
      </c>
    </row>
    <row r="33" spans="1:70" x14ac:dyDescent="0.25">
      <c r="A33" s="26" t="s">
        <v>122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6">
        <f>J33*L25+J32*L26+J31*L27+J30*L28</f>
        <v>1.7279043580330185E-3</v>
      </c>
      <c r="I33" s="93">
        <v>8</v>
      </c>
      <c r="J33" s="86">
        <f t="shared" si="15"/>
        <v>9.8580222244177469E-5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4.39453125E-2</v>
      </c>
      <c r="S33" s="72">
        <v>8</v>
      </c>
      <c r="T33" s="133">
        <f t="shared" si="17"/>
        <v>0</v>
      </c>
      <c r="U33" s="93">
        <v>8</v>
      </c>
      <c r="V33" s="86">
        <f>T33*R25+T32*R26+T31*R27+T30*R28+T29*R29+T28*R30+T27*R31+T26*R32+T25*R33</f>
        <v>4.43115234375E-2</v>
      </c>
      <c r="W33" s="135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3.8847880845220822E-5</v>
      </c>
      <c r="AP33" s="28">
        <v>8</v>
      </c>
      <c r="AQ33" s="79">
        <f>((($W$25)^Q33)*((1-($W$25))^($U$34-Q33))*HLOOKUP($U$34,$AV$24:$BF$34,Q33+1))*V34</f>
        <v>4.5879584447835335E-5</v>
      </c>
      <c r="AR33" s="28">
        <v>8</v>
      </c>
      <c r="AS33" s="79">
        <f>((($W$25)^Q33)*((1-($W$25))^($U$35-Q33))*HLOOKUP($U$35,$AV$24:$BF$34,Q33+1))*V35</f>
        <v>1.3852756951121308E-5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1.7091426145983694E-2</v>
      </c>
      <c r="BP33">
        <f t="shared" si="21"/>
        <v>8</v>
      </c>
      <c r="BQ33">
        <v>2</v>
      </c>
      <c r="BR33" s="107">
        <f t="shared" si="22"/>
        <v>3.1661381368017748E-4</v>
      </c>
    </row>
    <row r="34" spans="1:70" x14ac:dyDescent="0.25">
      <c r="A34" s="40" t="s">
        <v>123</v>
      </c>
      <c r="B34" s="56">
        <f>B23*2</f>
        <v>5</v>
      </c>
      <c r="C34" s="57">
        <f>C23*2</f>
        <v>5</v>
      </c>
      <c r="G34" s="87">
        <v>9</v>
      </c>
      <c r="H34" s="126">
        <f>J34*L25+J33*L26+J32*L27+J31*L28</f>
        <v>2.6829640626167806E-4</v>
      </c>
      <c r="I34" s="93">
        <v>9</v>
      </c>
      <c r="J34" s="86">
        <f t="shared" si="15"/>
        <v>5.7957793518625885E-6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9.765625E-3</v>
      </c>
      <c r="S34" s="72">
        <v>9</v>
      </c>
      <c r="T34" s="133">
        <f t="shared" si="17"/>
        <v>0</v>
      </c>
      <c r="U34" s="93">
        <v>9</v>
      </c>
      <c r="V34" s="86">
        <f>T34*R25+T33*R26+T32*R27+T31*R28+T30*R29+T29*R30+T28*R31+T27*R32+T26*R33+T25*R34</f>
        <v>9.936523437499999E-3</v>
      </c>
      <c r="W34" s="135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3.6136113720981158E-6</v>
      </c>
      <c r="AR34" s="28">
        <v>9</v>
      </c>
      <c r="AS34" s="79">
        <f>((($W$25)^Q34)*((1-($W$25))^($U$35-Q34))*HLOOKUP($U$35,$AV$24:$BF$34,Q34+1))*V35</f>
        <v>2.1821679797644727E-6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5.8840696792525765E-3</v>
      </c>
      <c r="BP34">
        <f t="shared" si="21"/>
        <v>8</v>
      </c>
      <c r="BQ34">
        <v>3</v>
      </c>
      <c r="BR34" s="107">
        <f t="shared" si="22"/>
        <v>4.2885230111288475E-4</v>
      </c>
    </row>
    <row r="35" spans="1:70" x14ac:dyDescent="0.25">
      <c r="G35" s="88">
        <v>10</v>
      </c>
      <c r="H35" s="127">
        <f>J35*L25+J34*L26+J33*L27+J32*L28</f>
        <v>3.0227836015330314E-5</v>
      </c>
      <c r="I35" s="94">
        <v>10</v>
      </c>
      <c r="J35" s="89">
        <f t="shared" si="15"/>
        <v>1.5468658685921441E-7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9.765625E-4</v>
      </c>
      <c r="S35" s="72">
        <v>10</v>
      </c>
      <c r="T35" s="133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1.0253906249999556E-3</v>
      </c>
      <c r="W35" s="135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1.5468658685921441E-7</v>
      </c>
      <c r="BH35">
        <f t="shared" si="19"/>
        <v>3</v>
      </c>
      <c r="BI35">
        <v>8</v>
      </c>
      <c r="BJ35" s="107">
        <f t="shared" si="20"/>
        <v>1.4848141051131644E-3</v>
      </c>
      <c r="BP35">
        <f t="shared" si="21"/>
        <v>8</v>
      </c>
      <c r="BQ35">
        <v>4</v>
      </c>
      <c r="BR35" s="107">
        <f t="shared" si="22"/>
        <v>3.903109595307051E-4</v>
      </c>
    </row>
    <row r="36" spans="1:70" x14ac:dyDescent="0.25">
      <c r="A36" s="1"/>
      <c r="B36" s="108">
        <f>SUM(B37:B39)</f>
        <v>0.99995480785719026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0.99999999999999989</v>
      </c>
      <c r="BH36">
        <f t="shared" si="19"/>
        <v>3</v>
      </c>
      <c r="BI36">
        <v>9</v>
      </c>
      <c r="BJ36" s="107">
        <f t="shared" si="20"/>
        <v>2.7084725189337178E-4</v>
      </c>
      <c r="BP36">
        <f t="shared" si="21"/>
        <v>8</v>
      </c>
      <c r="BQ36">
        <v>5</v>
      </c>
      <c r="BR36" s="107">
        <f t="shared" si="22"/>
        <v>2.5158796310823867E-4</v>
      </c>
    </row>
    <row r="37" spans="1:70" x14ac:dyDescent="0.25">
      <c r="A37" s="109" t="s">
        <v>124</v>
      </c>
      <c r="B37" s="107">
        <f>SUM(BN4:BN14)</f>
        <v>0.174849493678958</v>
      </c>
      <c r="G37" s="13"/>
      <c r="H37" s="59">
        <f>SUM(H39:H49)</f>
        <v>0.99998748613586885</v>
      </c>
      <c r="I37" s="13"/>
      <c r="J37" s="59">
        <f>SUM(J39:J49)</f>
        <v>0.99999999999999978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0.99892492675781253</v>
      </c>
      <c r="W37" s="13"/>
      <c r="X37" s="13"/>
      <c r="Y37" s="80">
        <f>SUM(Y39:Y49)</f>
        <v>9.6682128906250004E-4</v>
      </c>
      <c r="Z37" s="81"/>
      <c r="AA37" s="80">
        <f>SUM(AA39:AA49)</f>
        <v>9.6779296874999997E-3</v>
      </c>
      <c r="AB37" s="81"/>
      <c r="AC37" s="80">
        <f>SUM(AC39:AC49)</f>
        <v>4.3604150390624999E-2</v>
      </c>
      <c r="AD37" s="81"/>
      <c r="AE37" s="80">
        <f>SUM(AE39:AE49)</f>
        <v>0.1164560546875</v>
      </c>
      <c r="AF37" s="81"/>
      <c r="AG37" s="80">
        <f>SUM(AG39:AG49)</f>
        <v>0.20419958496093749</v>
      </c>
      <c r="AH37" s="81"/>
      <c r="AI37" s="80">
        <f>SUM(AI39:AI49)</f>
        <v>0.24568242187499997</v>
      </c>
      <c r="AJ37" s="81"/>
      <c r="AK37" s="80">
        <f>SUM(AK39:AK49)</f>
        <v>0.20548623046874995</v>
      </c>
      <c r="AL37" s="81"/>
      <c r="AM37" s="80">
        <f>SUM(AM39:AM49)</f>
        <v>0.11806523437499999</v>
      </c>
      <c r="AN37" s="81"/>
      <c r="AO37" s="80">
        <f>SUM(AO39:AO49)</f>
        <v>4.4678100585937491E-2</v>
      </c>
      <c r="AP37" s="81"/>
      <c r="AQ37" s="80">
        <f>SUM(AQ39:AQ49)</f>
        <v>1.0108398437499997E-2</v>
      </c>
      <c r="AR37" s="81"/>
      <c r="AS37" s="80">
        <f>SUM(AS39:AS49)</f>
        <v>1.0750732421874742E-3</v>
      </c>
      <c r="BH37">
        <f t="shared" si="19"/>
        <v>3</v>
      </c>
      <c r="BI37">
        <v>10</v>
      </c>
      <c r="BJ37" s="107">
        <f t="shared" si="20"/>
        <v>3.4723118506030346E-5</v>
      </c>
      <c r="BP37">
        <f t="shared" si="21"/>
        <v>8</v>
      </c>
      <c r="BQ37">
        <v>6</v>
      </c>
      <c r="BR37" s="107">
        <f t="shared" si="22"/>
        <v>1.1791463209605365E-4</v>
      </c>
    </row>
    <row r="38" spans="1:70" x14ac:dyDescent="0.25">
      <c r="A38" s="110" t="s">
        <v>125</v>
      </c>
      <c r="B38" s="107">
        <f>SUM(BJ4:BJ59)</f>
        <v>0.53824289584910767</v>
      </c>
      <c r="G38" s="103" t="str">
        <f t="shared" ref="G38:AS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39" t="str">
        <f t="shared" si="23"/>
        <v>p</v>
      </c>
      <c r="U38" s="140" t="str">
        <f t="shared" si="23"/>
        <v>Total</v>
      </c>
      <c r="V38" s="141" t="str">
        <f t="shared" si="23"/>
        <v>P</v>
      </c>
      <c r="W38" s="90" t="str">
        <f t="shared" si="23"/>
        <v>E(x)</v>
      </c>
      <c r="X38" s="30" t="str">
        <f t="shared" si="23"/>
        <v>G0</v>
      </c>
      <c r="Y38" s="30" t="str">
        <f t="shared" si="23"/>
        <v>p</v>
      </c>
      <c r="Z38" s="30" t="str">
        <f t="shared" si="23"/>
        <v>G1</v>
      </c>
      <c r="AA38" s="30" t="str">
        <f t="shared" si="23"/>
        <v>p</v>
      </c>
      <c r="AB38" s="30" t="str">
        <f t="shared" si="23"/>
        <v>G2</v>
      </c>
      <c r="AC38" s="30" t="str">
        <f t="shared" si="23"/>
        <v>p</v>
      </c>
      <c r="AD38" s="30" t="str">
        <f t="shared" si="23"/>
        <v>G3</v>
      </c>
      <c r="AE38" s="30" t="str">
        <f t="shared" si="23"/>
        <v>p</v>
      </c>
      <c r="AF38" s="30" t="str">
        <f t="shared" si="23"/>
        <v>G4</v>
      </c>
      <c r="AG38" s="30" t="str">
        <f t="shared" si="23"/>
        <v>p</v>
      </c>
      <c r="AH38" s="30" t="str">
        <f t="shared" si="23"/>
        <v>G5</v>
      </c>
      <c r="AI38" s="30" t="str">
        <f t="shared" si="23"/>
        <v>p</v>
      </c>
      <c r="AJ38" s="30" t="str">
        <f t="shared" si="23"/>
        <v>G6</v>
      </c>
      <c r="AK38" s="30" t="str">
        <f t="shared" si="23"/>
        <v>p</v>
      </c>
      <c r="AL38" s="30" t="str">
        <f t="shared" si="23"/>
        <v>G7</v>
      </c>
      <c r="AM38" s="30" t="str">
        <f t="shared" si="23"/>
        <v>p</v>
      </c>
      <c r="AN38" s="30" t="str">
        <f t="shared" si="23"/>
        <v>G8</v>
      </c>
      <c r="AO38" s="30" t="str">
        <f t="shared" si="23"/>
        <v>p</v>
      </c>
      <c r="AP38" s="30" t="str">
        <f t="shared" si="23"/>
        <v>G9</v>
      </c>
      <c r="AQ38" s="30" t="str">
        <f t="shared" si="23"/>
        <v>p</v>
      </c>
      <c r="AR38" s="30" t="str">
        <f t="shared" si="23"/>
        <v>G10</v>
      </c>
      <c r="AS38" s="30" t="str">
        <f t="shared" si="23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24">BH32+1</f>
        <v>4</v>
      </c>
      <c r="BI38">
        <v>5</v>
      </c>
      <c r="BJ38" s="107">
        <f t="shared" ref="BJ38:BJ43" si="25">$H$29*H44</f>
        <v>2.463370635083699E-2</v>
      </c>
      <c r="BP38">
        <f>BL11+1</f>
        <v>8</v>
      </c>
      <c r="BQ38">
        <v>7</v>
      </c>
      <c r="BR38" s="107">
        <f t="shared" si="22"/>
        <v>4.0594500747361671E-5</v>
      </c>
    </row>
    <row r="39" spans="1:70" x14ac:dyDescent="0.25">
      <c r="A39" s="111" t="s">
        <v>126</v>
      </c>
      <c r="B39" s="107">
        <f>SUM(BR4:BR47)</f>
        <v>0.28686241832912457</v>
      </c>
      <c r="G39" s="128">
        <v>0</v>
      </c>
      <c r="H39" s="129">
        <f>L39*J39</f>
        <v>1.6581076073962548E-2</v>
      </c>
      <c r="I39" s="97">
        <v>0</v>
      </c>
      <c r="J39" s="98">
        <f t="shared" ref="J39:J49" si="26">Y39+AA39+AC39+AE39+AG39+AI39+AK39+AM39+AO39+AQ39+AS39</f>
        <v>2.3323118088328848E-2</v>
      </c>
      <c r="K39" s="102">
        <v>0</v>
      </c>
      <c r="L39" s="98">
        <f>AC20</f>
        <v>0.7109287879590982</v>
      </c>
      <c r="M39" s="84">
        <v>0</v>
      </c>
      <c r="N39" s="71">
        <f>(1-$C$24)^$B$21</f>
        <v>3.125E-2</v>
      </c>
      <c r="O39" s="70">
        <v>0</v>
      </c>
      <c r="P39" s="71">
        <f t="shared" ref="P39:P44" si="27">N39</f>
        <v>3.125E-2</v>
      </c>
      <c r="Q39" s="12">
        <v>0</v>
      </c>
      <c r="R39" s="73">
        <f>P39*N39</f>
        <v>9.765625E-4</v>
      </c>
      <c r="S39" s="70">
        <v>0</v>
      </c>
      <c r="T39" s="133">
        <f>(1-$C$33)^(INT(B23*2*(1-B31)))</f>
        <v>0.99002500000000004</v>
      </c>
      <c r="U39" s="138">
        <v>0</v>
      </c>
      <c r="V39" s="86">
        <f>R39*T39</f>
        <v>9.6682128906250004E-4</v>
      </c>
      <c r="W39" s="134">
        <f>C31</f>
        <v>0.62570229526274812</v>
      </c>
      <c r="X39" s="12">
        <v>0</v>
      </c>
      <c r="Y39" s="79">
        <f>V39</f>
        <v>9.6682128906250004E-4</v>
      </c>
      <c r="Z39" s="12">
        <v>0</v>
      </c>
      <c r="AA39" s="78">
        <f>((1-W39)^Z40)*V40</f>
        <v>3.6224268686397593E-3</v>
      </c>
      <c r="AB39" s="12">
        <v>0</v>
      </c>
      <c r="AC39" s="79">
        <f>(((1-$W$39)^AB41))*V41</f>
        <v>6.1088879138696036E-3</v>
      </c>
      <c r="AD39" s="12">
        <v>0</v>
      </c>
      <c r="AE39" s="79">
        <f>(((1-$W$39)^AB42))*V42</f>
        <v>6.1067981419812376E-3</v>
      </c>
      <c r="AF39" s="12">
        <v>0</v>
      </c>
      <c r="AG39" s="79">
        <f>(((1-$W$39)^AB43))*V43</f>
        <v>4.0079612207107327E-3</v>
      </c>
      <c r="AH39" s="12">
        <v>0</v>
      </c>
      <c r="AI39" s="79">
        <f>(((1-$W$39)^AB44))*V44</f>
        <v>1.8049280919529276E-3</v>
      </c>
      <c r="AJ39" s="12">
        <v>0</v>
      </c>
      <c r="AK39" s="79">
        <f>(((1-$W$39)^AB45))*V45</f>
        <v>5.6504847743059925E-4</v>
      </c>
      <c r="AL39" s="12">
        <v>0</v>
      </c>
      <c r="AM39" s="79">
        <f>(((1-$W$39)^AB46))*V46</f>
        <v>1.2151843877274348E-4</v>
      </c>
      <c r="AN39" s="12">
        <v>0</v>
      </c>
      <c r="AO39" s="79">
        <f>(((1-$W$39)^AB47))*V47</f>
        <v>1.7212026780078332E-5</v>
      </c>
      <c r="AP39" s="12">
        <v>0</v>
      </c>
      <c r="AQ39" s="79">
        <f>(((1-$W$39)^AB48))*V48</f>
        <v>1.457594857744724E-6</v>
      </c>
      <c r="AR39" s="12">
        <v>0</v>
      </c>
      <c r="AS39" s="79">
        <f>(((1-$W$39)^AB49))*V49</f>
        <v>5.8024270917612163E-8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24"/>
        <v>4</v>
      </c>
      <c r="BI39">
        <v>6</v>
      </c>
      <c r="BJ39" s="107">
        <f t="shared" si="25"/>
        <v>1.1545363242483541E-2</v>
      </c>
      <c r="BP39">
        <f t="shared" ref="BP39:BP46" si="28">BP31+1</f>
        <v>9</v>
      </c>
      <c r="BQ39">
        <v>0</v>
      </c>
      <c r="BR39" s="107">
        <f t="shared" ref="BR39:BR47" si="29">$H$34*H39</f>
        <v>4.4486431225956458E-6</v>
      </c>
    </row>
    <row r="40" spans="1:70" x14ac:dyDescent="0.25">
      <c r="G40" s="91">
        <v>1</v>
      </c>
      <c r="H40" s="130">
        <f>L39*J40+L40*J39</f>
        <v>8.1605266938989937E-2</v>
      </c>
      <c r="I40" s="93">
        <v>1</v>
      </c>
      <c r="J40" s="86">
        <f t="shared" si="26"/>
        <v>0.10633392973518861</v>
      </c>
      <c r="K40" s="95">
        <v>1</v>
      </c>
      <c r="L40" s="86">
        <f>AD20</f>
        <v>0.25765916592565569</v>
      </c>
      <c r="M40" s="85">
        <v>1</v>
      </c>
      <c r="N40" s="71">
        <f>(($C$24)^M26)*((1-($C$24))^($B$21-M26))*HLOOKUP($B$21,$AV$24:$BF$34,M26+1)</f>
        <v>0.15625</v>
      </c>
      <c r="O40" s="72">
        <v>1</v>
      </c>
      <c r="P40" s="71">
        <f t="shared" si="27"/>
        <v>0.15625</v>
      </c>
      <c r="Q40" s="28">
        <v>1</v>
      </c>
      <c r="R40" s="37">
        <f>P40*N39+P39*N40</f>
        <v>9.765625E-3</v>
      </c>
      <c r="S40" s="72">
        <v>1</v>
      </c>
      <c r="T40" s="133">
        <f t="shared" ref="T40:T49" si="30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9.6779296874999997E-3</v>
      </c>
      <c r="W40" s="135"/>
      <c r="X40" s="28">
        <v>1</v>
      </c>
      <c r="Y40" s="73"/>
      <c r="Z40" s="28">
        <v>1</v>
      </c>
      <c r="AA40" s="79">
        <f>(1-((1-W39)^Z40))*V40</f>
        <v>6.0555028188602408E-3</v>
      </c>
      <c r="AB40" s="28">
        <v>1</v>
      </c>
      <c r="AC40" s="79">
        <f>((($W$39)^M40)*((1-($W$39))^($U$27-M40))*HLOOKUP($U$27,$AV$24:$BF$34,M40+1))*V41</f>
        <v>2.0424090988718557E-2</v>
      </c>
      <c r="AD40" s="28">
        <v>1</v>
      </c>
      <c r="AE40" s="79">
        <f>((($W$39)^M40)*((1-($W$39))^($U$28-M40))*HLOOKUP($U$28,$AV$24:$BF$34,M40+1))*V42</f>
        <v>3.0625656255302641E-2</v>
      </c>
      <c r="AF40" s="28">
        <v>1</v>
      </c>
      <c r="AG40" s="79">
        <f>((($W$39)^M40)*((1-($W$39))^($U$29-M40))*HLOOKUP($U$29,$AV$24:$BF$34,M40+1))*V43</f>
        <v>2.6799956327631783E-2</v>
      </c>
      <c r="AH40" s="28">
        <v>1</v>
      </c>
      <c r="AI40" s="79">
        <f>((($W$39)^M40)*((1-($W$39))^($U$30-M40))*HLOOKUP($U$30,$AV$24:$BF$34,M40+1))*V44</f>
        <v>1.5086221951480233E-2</v>
      </c>
      <c r="AJ40" s="28">
        <v>1</v>
      </c>
      <c r="AK40" s="79">
        <f>((($W$39)^M40)*((1-($W$39))^($U$31-M40))*HLOOKUP($U$31,$AV$24:$BF$34,M40+1))*V45</f>
        <v>5.6674479932154378E-3</v>
      </c>
      <c r="AL40" s="28">
        <v>1</v>
      </c>
      <c r="AM40" s="79">
        <f>((($W$39)^Q40)*((1-($W$39))^($U$32-Q40))*HLOOKUP($U$32,$AV$24:$BF$34,Q40+1))*V46</f>
        <v>1.4219712161248209E-3</v>
      </c>
      <c r="AN40" s="28">
        <v>1</v>
      </c>
      <c r="AO40" s="79">
        <f>((($W$39)^Q40)*((1-($W$39))^($U$33-Q40))*HLOOKUP($U$33,$AV$24:$BF$34,Q40+1))*V47</f>
        <v>2.3018264928937056E-4</v>
      </c>
      <c r="AP40" s="28">
        <v>1</v>
      </c>
      <c r="AQ40" s="79">
        <f>((($W$39)^Q40)*((1-($W$39))^($U$34-Q40))*HLOOKUP($U$34,$AV$24:$BF$34,Q40+1))*V48</f>
        <v>2.1929560156529481E-5</v>
      </c>
      <c r="AR40" s="28">
        <v>1</v>
      </c>
      <c r="AS40" s="79">
        <f>((($W$39)^Q40)*((1-($W$39))^($U$35-Q40))*HLOOKUP($U$35,$AV$24:$BF$34,Q40+1))*V49</f>
        <v>9.6997440899573101E-7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24"/>
        <v>4</v>
      </c>
      <c r="BI40">
        <v>7</v>
      </c>
      <c r="BJ40" s="107">
        <f t="shared" si="25"/>
        <v>3.9747251756997665E-3</v>
      </c>
      <c r="BP40">
        <f t="shared" si="28"/>
        <v>9</v>
      </c>
      <c r="BQ40">
        <v>1</v>
      </c>
      <c r="BR40" s="107">
        <f t="shared" si="29"/>
        <v>2.1894399851755931E-5</v>
      </c>
    </row>
    <row r="41" spans="1:70" x14ac:dyDescent="0.25">
      <c r="G41" s="91">
        <v>2</v>
      </c>
      <c r="H41" s="130">
        <f>L39*J41+J40*L40+J39*L41</f>
        <v>0.18323572841762997</v>
      </c>
      <c r="I41" s="93">
        <v>2</v>
      </c>
      <c r="J41" s="86">
        <f t="shared" si="26"/>
        <v>0.2182237249625526</v>
      </c>
      <c r="K41" s="95">
        <v>2</v>
      </c>
      <c r="L41" s="86">
        <f>AE20</f>
        <v>2.9854004866755851E-2</v>
      </c>
      <c r="M41" s="85">
        <v>2</v>
      </c>
      <c r="N41" s="71">
        <f>(($C$24)^M27)*((1-($C$24))^($B$21-M27))*HLOOKUP($B$21,$AV$24:$BF$34,M27+1)</f>
        <v>0.3125</v>
      </c>
      <c r="O41" s="72">
        <v>2</v>
      </c>
      <c r="P41" s="71">
        <f t="shared" si="27"/>
        <v>0.3125</v>
      </c>
      <c r="Q41" s="28">
        <v>2</v>
      </c>
      <c r="R41" s="37">
        <f>P41*N39+P40*N40+P39*N41</f>
        <v>4.39453125E-2</v>
      </c>
      <c r="S41" s="72">
        <v>2</v>
      </c>
      <c r="T41" s="133">
        <f t="shared" si="30"/>
        <v>2.5000000000000001E-5</v>
      </c>
      <c r="U41" s="93">
        <v>2</v>
      </c>
      <c r="V41" s="86">
        <f>R41*T39+T40*R40+R39*T41</f>
        <v>4.3604150390624999E-2</v>
      </c>
      <c r="W41" s="135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1.707117148803684E-2</v>
      </c>
      <c r="AD41" s="28">
        <v>2</v>
      </c>
      <c r="AE41" s="79">
        <f>((($W$39)^M41)*((1-($W$39))^($U$28-M41))*HLOOKUP($U$28,$AV$24:$BF$34,M41+1))*V42</f>
        <v>5.1195994980312409E-2</v>
      </c>
      <c r="AF41" s="28">
        <v>2</v>
      </c>
      <c r="AG41" s="79">
        <f>((($W$39)^M41)*((1-($W$39))^($U$29-M41))*HLOOKUP($U$29,$AV$24:$BF$34,M41+1))*V43</f>
        <v>6.7201029988596561E-2</v>
      </c>
      <c r="AH41" s="28">
        <v>2</v>
      </c>
      <c r="AI41" s="79">
        <f>((($W$39)^M41)*((1-($W$39))^($U$30-M41))*HLOOKUP($U$30,$AV$24:$BF$34,M41+1))*V44</f>
        <v>5.0438373425296487E-2</v>
      </c>
      <c r="AJ41" s="28">
        <v>2</v>
      </c>
      <c r="AK41" s="79">
        <f>((($W$39)^M41)*((1-($W$39))^($U$31-M41))*HLOOKUP($U$31,$AV$24:$BF$34,M41+1))*V45</f>
        <v>2.3685258904582771E-2</v>
      </c>
      <c r="AL41" s="28">
        <v>2</v>
      </c>
      <c r="AM41" s="79">
        <f>((($W$39)^Q41)*((1-($W$39))^($U$32-Q41))*HLOOKUP($U$32,$AV$24:$BF$34,Q41+1))*V46</f>
        <v>7.1312004519351645E-3</v>
      </c>
      <c r="AN41" s="28">
        <v>2</v>
      </c>
      <c r="AO41" s="79">
        <f>((($W$39)^Q41)*((1-($W$39))^($U$33-Q41))*HLOOKUP($U$33,$AV$24:$BF$34,Q41+1))*V47</f>
        <v>1.3467631128513788E-3</v>
      </c>
      <c r="AP41" s="28">
        <v>2</v>
      </c>
      <c r="AQ41" s="79">
        <f>((($W$39)^Q41)*((1-($W$39))^($U$34-Q41))*HLOOKUP($U$34,$AV$24:$BF$34,Q41+1))*V48</f>
        <v>1.4663596330279489E-4</v>
      </c>
      <c r="AR41" s="28">
        <v>2</v>
      </c>
      <c r="AS41" s="79">
        <f>((($W$39)^Q41)*((1-($W$39))^($U$35-Q41))*HLOOKUP($U$35,$AV$24:$BF$34,Q41+1))*V49</f>
        <v>7.2966476381777041E-6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24"/>
        <v>4</v>
      </c>
      <c r="BI41">
        <v>8</v>
      </c>
      <c r="BJ41" s="107">
        <f t="shared" si="25"/>
        <v>1.0030010395079279E-3</v>
      </c>
      <c r="BP41">
        <f t="shared" si="28"/>
        <v>9</v>
      </c>
      <c r="BQ41">
        <v>2</v>
      </c>
      <c r="BR41" s="107">
        <f t="shared" si="29"/>
        <v>4.9161487433190957E-5</v>
      </c>
    </row>
    <row r="42" spans="1:70" ht="15" customHeight="1" x14ac:dyDescent="0.25">
      <c r="G42" s="91">
        <v>3</v>
      </c>
      <c r="H42" s="130">
        <f>J42*L39+J41*L40+L42*J39+L41*J40</f>
        <v>0.2481921520245913</v>
      </c>
      <c r="I42" s="93">
        <v>3</v>
      </c>
      <c r="J42" s="86">
        <f t="shared" si="26"/>
        <v>0.26550335311582463</v>
      </c>
      <c r="K42" s="95">
        <v>3</v>
      </c>
      <c r="L42" s="86">
        <f>AF20</f>
        <v>1.5580412484902662E-3</v>
      </c>
      <c r="M42" s="85">
        <v>3</v>
      </c>
      <c r="N42" s="71">
        <f>(($C$24)^M28)*((1-($C$24))^($B$21-M28))*HLOOKUP($B$21,$AV$24:$BF$34,M28+1)</f>
        <v>0.3125</v>
      </c>
      <c r="O42" s="72">
        <v>3</v>
      </c>
      <c r="P42" s="71">
        <f t="shared" si="27"/>
        <v>0.3125</v>
      </c>
      <c r="Q42" s="28">
        <v>3</v>
      </c>
      <c r="R42" s="37">
        <f>P42*N39+P41*N40+P40*N41+P39*N42</f>
        <v>0.1171875</v>
      </c>
      <c r="S42" s="72">
        <v>3</v>
      </c>
      <c r="T42" s="133">
        <f t="shared" si="30"/>
        <v>0</v>
      </c>
      <c r="U42" s="93">
        <v>3</v>
      </c>
      <c r="V42" s="86">
        <f>R42*T39+R41*T40+R40*T41+R39*T42</f>
        <v>0.1164560546875</v>
      </c>
      <c r="W42" s="135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2.8527605309903718E-2</v>
      </c>
      <c r="AF42" s="28">
        <v>3</v>
      </c>
      <c r="AG42" s="79">
        <f>((($W$39)^M42)*((1-($W$39))^($U$29-M42))*HLOOKUP($U$29,$AV$24:$BF$34,M42+1))*V43</f>
        <v>7.4891969993782032E-2</v>
      </c>
      <c r="AH42" s="28">
        <v>3</v>
      </c>
      <c r="AI42" s="79">
        <f>((($W$39)^M42)*((1-($W$39))^($U$30-M42))*HLOOKUP($U$30,$AV$24:$BF$34,M42+1))*V44</f>
        <v>8.4316322601234117E-2</v>
      </c>
      <c r="AJ42" s="28">
        <v>3</v>
      </c>
      <c r="AK42" s="79">
        <f>((($W$39)^M42)*((1-($W$39))^($U$31-M42))*HLOOKUP($U$31,$AV$24:$BF$34,M42+1))*V45</f>
        <v>5.2791919989261367E-2</v>
      </c>
      <c r="AL42" s="28">
        <v>3</v>
      </c>
      <c r="AM42" s="79">
        <f>((($W$39)^Q42)*((1-($W$39))^($U$32-Q42))*HLOOKUP($U$32,$AV$24:$BF$34,Q42+1))*V46</f>
        <v>1.9868358057778292E-2</v>
      </c>
      <c r="AN42" s="28">
        <v>3</v>
      </c>
      <c r="AO42" s="79">
        <f>((($W$39)^Q42)*((1-($W$39))^($U$33-Q42))*HLOOKUP($U$33,$AV$24:$BF$34,Q42+1))*V47</f>
        <v>4.5026873540560319E-3</v>
      </c>
      <c r="AP42" s="28">
        <v>3</v>
      </c>
      <c r="AQ42" s="79">
        <f>((($W$39)^Q42)*((1-($W$39))^($U$34-Q42))*HLOOKUP($U$34,$AV$24:$BF$34,Q42+1))*V48</f>
        <v>5.7196290859545123E-4</v>
      </c>
      <c r="AR42" s="28">
        <v>3</v>
      </c>
      <c r="AS42" s="79">
        <f>((($W$39)^Q42)*((1-($W$39))^($U$35-Q42))*HLOOKUP($U$35,$AV$24:$BF$34,Q42+1))*V49</f>
        <v>3.2526901213647166E-5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 t="shared" ref="BF42:BF48" si="31">BE41+BE42</f>
        <v>210</v>
      </c>
      <c r="BH42">
        <f t="shared" si="24"/>
        <v>4</v>
      </c>
      <c r="BI42">
        <v>9</v>
      </c>
      <c r="BJ42" s="107">
        <f t="shared" si="25"/>
        <v>1.8295898069759582E-4</v>
      </c>
      <c r="BP42">
        <f t="shared" si="28"/>
        <v>9</v>
      </c>
      <c r="BQ42">
        <v>3</v>
      </c>
      <c r="BR42" s="107">
        <f t="shared" si="29"/>
        <v>6.6589062450549908E-5</v>
      </c>
    </row>
    <row r="43" spans="1:70" ht="15" customHeight="1" x14ac:dyDescent="0.25">
      <c r="G43" s="91">
        <v>4</v>
      </c>
      <c r="H43" s="130">
        <f>J43*L39+J42*L40+J41*L41+J40*L42</f>
        <v>0.22588690034616293</v>
      </c>
      <c r="I43" s="93">
        <v>4</v>
      </c>
      <c r="J43" s="86">
        <f t="shared" si="26"/>
        <v>0.21211266949684329</v>
      </c>
      <c r="K43" s="95">
        <v>4</v>
      </c>
      <c r="L43" s="86"/>
      <c r="M43" s="85">
        <v>4</v>
      </c>
      <c r="N43" s="71">
        <f>(($C$24)^M29)*((1-($C$24))^($B$21-M29))*HLOOKUP($B$21,$AV$24:$BF$34,M29+1)</f>
        <v>0.15625</v>
      </c>
      <c r="O43" s="72">
        <v>4</v>
      </c>
      <c r="P43" s="71">
        <f t="shared" si="27"/>
        <v>0.15625</v>
      </c>
      <c r="Q43" s="28">
        <v>4</v>
      </c>
      <c r="R43" s="37">
        <f>P43*N39+P42*N40+P41*N41+P40*N42+P39*N43</f>
        <v>0.205078125</v>
      </c>
      <c r="S43" s="72">
        <v>4</v>
      </c>
      <c r="T43" s="133">
        <f t="shared" si="30"/>
        <v>0</v>
      </c>
      <c r="U43" s="93">
        <v>4</v>
      </c>
      <c r="V43" s="86">
        <f>T43*R39+T42*R40+T41*R41+T40*R42+T39*R43</f>
        <v>0.20419958496093749</v>
      </c>
      <c r="W43" s="135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3.1298667430216372E-2</v>
      </c>
      <c r="AH43" s="28">
        <v>4</v>
      </c>
      <c r="AI43" s="79">
        <f>((($W$39)^M43)*((1-($W$39))^($U$30-M43))*HLOOKUP($U$30,$AV$24:$BF$34,M43+1))*V44</f>
        <v>7.0474539266465214E-2</v>
      </c>
      <c r="AJ43" s="28">
        <v>4</v>
      </c>
      <c r="AK43" s="79">
        <f>((($W$39)^M43)*((1-($W$39))^($U$31-M43))*HLOOKUP($U$31,$AV$24:$BF$34,M43+1))*V45</f>
        <v>6.6188007080745834E-2</v>
      </c>
      <c r="AL43" s="28">
        <v>4</v>
      </c>
      <c r="AM43" s="79">
        <f>((($W$39)^Q43)*((1-($W$39))^($U$32-Q43))*HLOOKUP($U$32,$AV$24:$BF$34,Q43+1))*V46</f>
        <v>3.3213340831413155E-2</v>
      </c>
      <c r="AN43" s="28">
        <v>4</v>
      </c>
      <c r="AO43" s="79">
        <f>((($W$39)^Q43)*((1-($W$39))^($U$33-Q43))*HLOOKUP($U$33,$AV$24:$BF$34,Q43+1))*V47</f>
        <v>9.4087599811128811E-3</v>
      </c>
      <c r="AP43" s="28">
        <v>4</v>
      </c>
      <c r="AQ43" s="79">
        <f>((($W$39)^Q43)*((1-($W$39))^($U$34-Q43))*HLOOKUP($U$34,$AV$24:$BF$34,Q43+1))*V48</f>
        <v>1.434199970440188E-3</v>
      </c>
      <c r="AR43" s="28">
        <v>4</v>
      </c>
      <c r="AS43" s="79">
        <f>((($W$39)^Q43)*((1-($W$39))^($U$35-Q43))*HLOOKUP($U$35,$AV$24:$BF$34,Q43+1))*V49</f>
        <v>9.5154936449685812E-5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si="31"/>
        <v>252</v>
      </c>
      <c r="BH43">
        <f t="shared" si="24"/>
        <v>4</v>
      </c>
      <c r="BI43">
        <v>10</v>
      </c>
      <c r="BJ43" s="107">
        <f t="shared" si="25"/>
        <v>2.3455679627889212E-5</v>
      </c>
      <c r="BP43">
        <f t="shared" si="28"/>
        <v>9</v>
      </c>
      <c r="BQ43">
        <v>4</v>
      </c>
      <c r="BR43" s="107">
        <f t="shared" si="29"/>
        <v>6.0604643584465314E-5</v>
      </c>
    </row>
    <row r="44" spans="1:70" ht="15" customHeight="1" x14ac:dyDescent="0.25">
      <c r="G44" s="91">
        <v>5</v>
      </c>
      <c r="H44" s="130">
        <f>J44*L39+J43*L40+J42*L41+J41*L42</f>
        <v>0.14560294494229817</v>
      </c>
      <c r="I44" s="93">
        <v>5</v>
      </c>
      <c r="J44" s="86">
        <f t="shared" si="26"/>
        <v>0.11630395741026539</v>
      </c>
      <c r="K44" s="95">
        <v>5</v>
      </c>
      <c r="L44" s="86"/>
      <c r="M44" s="85">
        <v>5</v>
      </c>
      <c r="N44" s="71">
        <f>(($C$24)^M30)*((1-($C$24))^($B$21-M30))*HLOOKUP($B$21,$AV$24:$BF$34,M30+1)</f>
        <v>3.125E-2</v>
      </c>
      <c r="O44" s="72">
        <v>5</v>
      </c>
      <c r="P44" s="71">
        <f t="shared" si="27"/>
        <v>3.125E-2</v>
      </c>
      <c r="Q44" s="28">
        <v>5</v>
      </c>
      <c r="R44" s="37">
        <f>P44*N39+P43*N40+P42*N41+P41*N42+P40*N43+P39*N44</f>
        <v>0.24609375</v>
      </c>
      <c r="S44" s="72">
        <v>5</v>
      </c>
      <c r="T44" s="133">
        <f t="shared" si="30"/>
        <v>0</v>
      </c>
      <c r="U44" s="93">
        <v>5</v>
      </c>
      <c r="V44" s="86">
        <f>T44*R39+T43*R40+T42*R41+T41*R42+T40*R43+T39*R44</f>
        <v>0.245682421875</v>
      </c>
      <c r="W44" s="135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2.3562036538571005E-2</v>
      </c>
      <c r="AJ44" s="28">
        <v>5</v>
      </c>
      <c r="AK44" s="79">
        <f>((($W$39)^M44)*((1-($W$39))^($U$31-M44))*HLOOKUP($U$31,$AV$24:$BF$34,M44+1))*V45</f>
        <v>4.4257805939110779E-2</v>
      </c>
      <c r="AL44" s="28">
        <v>5</v>
      </c>
      <c r="AM44" s="79">
        <f>((($W$39)^Q44)*((1-($W$39))^($U$32-Q44))*HLOOKUP($U$32,$AV$24:$BF$34,Q44+1))*V46</f>
        <v>3.3313050005712538E-2</v>
      </c>
      <c r="AN44" s="28">
        <v>5</v>
      </c>
      <c r="AO44" s="79">
        <f>((($W$39)^Q44)*((1-($W$39))^($U$33-Q44))*HLOOKUP($U$33,$AV$24:$BF$34,Q44+1))*V47</f>
        <v>1.2582674467408156E-2</v>
      </c>
      <c r="AP44" s="28">
        <v>5</v>
      </c>
      <c r="AQ44" s="79">
        <f>((($W$39)^Q44)*((1-($W$39))^($U$34-Q44))*HLOOKUP($U$34,$AV$24:$BF$34,Q44+1))*V48</f>
        <v>2.3975092607103538E-3</v>
      </c>
      <c r="AR44" s="28">
        <v>5</v>
      </c>
      <c r="AS44" s="79">
        <f>((($W$39)^Q44)*((1-($W$39))^($U$35-Q44))*HLOOKUP($U$35,$AV$24:$BF$34,Q44+1))*V49</f>
        <v>1.9088119875256221E-4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1"/>
        <v>210</v>
      </c>
      <c r="BH44">
        <f>BH39+1</f>
        <v>5</v>
      </c>
      <c r="BI44">
        <v>6</v>
      </c>
      <c r="BJ44" s="107">
        <f>$H$30*H45</f>
        <v>5.6463410856305296E-3</v>
      </c>
      <c r="BP44">
        <f t="shared" si="28"/>
        <v>9</v>
      </c>
      <c r="BQ44">
        <v>5</v>
      </c>
      <c r="BR44" s="107">
        <f t="shared" si="29"/>
        <v>3.9064746869135572E-5</v>
      </c>
    </row>
    <row r="45" spans="1:70" ht="15" customHeight="1" x14ac:dyDescent="0.25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>
        <f>J45*L39+J44*L40+J43*L41+J42*L42</f>
        <v>6.8241411365084603E-2</v>
      </c>
      <c r="I45" s="93">
        <v>6</v>
      </c>
      <c r="J45" s="86">
        <f t="shared" si="26"/>
        <v>4.4348398033208211E-2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0.205078125</v>
      </c>
      <c r="S45" s="70">
        <v>6</v>
      </c>
      <c r="T45" s="133">
        <f t="shared" si="30"/>
        <v>0</v>
      </c>
      <c r="U45" s="93">
        <v>6</v>
      </c>
      <c r="V45" s="86">
        <f>T45*R39+T44*R40+T43*R41+T42*R42+T41*R43+T40*R44+T39*R45</f>
        <v>0.20548623046875</v>
      </c>
      <c r="W45" s="135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1.2330742084403186E-2</v>
      </c>
      <c r="AL45" s="28">
        <v>6</v>
      </c>
      <c r="AM45" s="79">
        <f>((($W$39)^Q45)*((1-($W$39))^($U$32-Q45))*HLOOKUP($U$32,$AV$24:$BF$34,Q45+1))*V46</f>
        <v>1.8562810286185668E-2</v>
      </c>
      <c r="AN45" s="28">
        <v>6</v>
      </c>
      <c r="AO45" s="79">
        <f>((($W$39)^Q45)*((1-($W$39))^($U$33-Q45))*HLOOKUP($U$33,$AV$24:$BF$34,Q45+1))*V47</f>
        <v>1.0517040573796634E-2</v>
      </c>
      <c r="AP45" s="28">
        <v>6</v>
      </c>
      <c r="AQ45" s="79">
        <f>((($W$39)^Q45)*((1-($W$39))^($U$34-Q45))*HLOOKUP($U$34,$AV$24:$BF$34,Q45+1))*V48</f>
        <v>2.6718964224715486E-3</v>
      </c>
      <c r="AR45" s="28">
        <v>6</v>
      </c>
      <c r="AS45" s="79">
        <f>((($W$39)^Q45)*((1-($W$39))^($U$35-Q45))*HLOOKUP($U$35,$AV$24:$BF$34,Q45+1))*V49</f>
        <v>2.6590866635116774E-4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31"/>
        <v>120</v>
      </c>
      <c r="BH45">
        <f>BH40+1</f>
        <v>5</v>
      </c>
      <c r="BI45">
        <v>7</v>
      </c>
      <c r="BJ45" s="107">
        <f>$H$30*H46</f>
        <v>1.9438672991302041E-3</v>
      </c>
      <c r="BP45">
        <f t="shared" si="28"/>
        <v>9</v>
      </c>
      <c r="BQ45">
        <v>6</v>
      </c>
      <c r="BR45" s="107">
        <f t="shared" si="29"/>
        <v>1.8308925427477032E-5</v>
      </c>
    </row>
    <row r="46" spans="1:70" ht="15" customHeight="1" x14ac:dyDescent="0.25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>
        <f>J46*L39+J45*L40+J44*L41+J43*L42</f>
        <v>2.3493488258559014E-2</v>
      </c>
      <c r="I46" s="93">
        <v>7</v>
      </c>
      <c r="J46" s="86">
        <f t="shared" si="26"/>
        <v>1.16243679426111E-2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0.1171875</v>
      </c>
      <c r="S46" s="72">
        <v>7</v>
      </c>
      <c r="T46" s="133">
        <f t="shared" si="30"/>
        <v>0</v>
      </c>
      <c r="U46" s="93">
        <v>7</v>
      </c>
      <c r="V46" s="86">
        <f>T46*R39+T45*R40+T44*R41+T43*R42+T42*R43+T41*R44+T40*R45+T39*R46</f>
        <v>0.11806523437500001</v>
      </c>
      <c r="W46" s="135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4.4329850870776146E-3</v>
      </c>
      <c r="AN46" s="28">
        <v>7</v>
      </c>
      <c r="AO46" s="79">
        <f>((($W$39)^Q46)*((1-($W$39))^($U$33-Q46))*HLOOKUP($U$33,$AV$24:$BF$34,Q46+1))*V47</f>
        <v>5.023149329767853E-3</v>
      </c>
      <c r="AP46" s="28">
        <v>7</v>
      </c>
      <c r="AQ46" s="79">
        <f>((($W$39)^Q46)*((1-($W$39))^($U$34-Q46))*HLOOKUP($U$34,$AV$24:$BF$34,Q46+1))*V48</f>
        <v>1.9142269105417175E-3</v>
      </c>
      <c r="AR46" s="28">
        <v>7</v>
      </c>
      <c r="AS46" s="79">
        <f>((($W$39)^Q46)*((1-($W$39))^($U$35-Q46))*HLOOKUP($U$35,$AV$24:$BF$34,Q46+1))*V49</f>
        <v>2.5400661522391498E-4</v>
      </c>
      <c r="AV46" s="14">
        <v>8</v>
      </c>
      <c r="BD46">
        <v>1</v>
      </c>
      <c r="BE46">
        <v>9</v>
      </c>
      <c r="BF46">
        <f t="shared" si="31"/>
        <v>45</v>
      </c>
      <c r="BH46">
        <f>BH41+1</f>
        <v>5</v>
      </c>
      <c r="BI46">
        <v>8</v>
      </c>
      <c r="BJ46" s="107">
        <f>$H$30*H47</f>
        <v>4.9052471190031647E-4</v>
      </c>
      <c r="BP46">
        <f t="shared" si="28"/>
        <v>9</v>
      </c>
      <c r="BQ46">
        <v>7</v>
      </c>
      <c r="BR46" s="107">
        <f t="shared" si="29"/>
        <v>6.3032184703223125E-6</v>
      </c>
    </row>
    <row r="47" spans="1:70" ht="15" customHeight="1" x14ac:dyDescent="0.25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>
        <f>J47*L39+J46*L40+J45*L41+J44*L42</f>
        <v>5.9284584728184269E-3</v>
      </c>
      <c r="I47" s="93">
        <v>8</v>
      </c>
      <c r="J47" s="86">
        <f t="shared" si="26"/>
        <v>2.0088508086556975E-3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4.39453125E-2</v>
      </c>
      <c r="S47" s="72">
        <v>8</v>
      </c>
      <c r="T47" s="133">
        <f t="shared" si="30"/>
        <v>0</v>
      </c>
      <c r="U47" s="93">
        <v>8</v>
      </c>
      <c r="V47" s="86">
        <f>T47*R39+T46*R40+T45*R41+T44*R42+T43*R43+T42*R44+T41*R45+T40*R46+T39*R47</f>
        <v>4.4678100585937498E-2</v>
      </c>
      <c r="W47" s="135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1.0496310908751059E-3</v>
      </c>
      <c r="AP47" s="28">
        <v>8</v>
      </c>
      <c r="AQ47" s="79">
        <f>((($W$39)^Q47)*((1-($W$39))^($U$34-Q47))*HLOOKUP($U$34,$AV$24:$BF$34,Q47+1))*V48</f>
        <v>7.9998899032820297E-4</v>
      </c>
      <c r="AR47" s="28">
        <v>8</v>
      </c>
      <c r="AS47" s="79">
        <f>((($W$39)^Q47)*((1-($W$39))^($U$35-Q47))*HLOOKUP($U$35,$AV$24:$BF$34,Q47+1))*V49</f>
        <v>1.5923072745238864E-4</v>
      </c>
      <c r="AV47" s="29">
        <v>9</v>
      </c>
      <c r="BE47">
        <v>1</v>
      </c>
      <c r="BF47">
        <f t="shared" si="31"/>
        <v>10</v>
      </c>
      <c r="BH47">
        <f>BH42+1</f>
        <v>5</v>
      </c>
      <c r="BI47">
        <v>9</v>
      </c>
      <c r="BJ47" s="107">
        <f>$H$30*H48</f>
        <v>8.9477376155355816E-5</v>
      </c>
      <c r="BP47">
        <f>BL12+1</f>
        <v>9</v>
      </c>
      <c r="BQ47">
        <v>8</v>
      </c>
      <c r="BR47" s="107">
        <f t="shared" si="29"/>
        <v>1.5905841029287801E-6</v>
      </c>
    </row>
    <row r="48" spans="1:70" ht="15" customHeight="1" x14ac:dyDescent="0.25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>
        <f>J48*L39+J47*L40+J46*L41+J45*L42</f>
        <v>1.0814193371394922E-3</v>
      </c>
      <c r="I48" s="93">
        <v>9</v>
      </c>
      <c r="J48" s="86">
        <f t="shared" si="26"/>
        <v>2.0774224541432964E-4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9.765625E-3</v>
      </c>
      <c r="S48" s="72">
        <v>9</v>
      </c>
      <c r="T48" s="133">
        <f t="shared" si="30"/>
        <v>0</v>
      </c>
      <c r="U48" s="93">
        <v>9</v>
      </c>
      <c r="V48" s="86">
        <f>T48*R39+T47*R40+T46*R41+T45*R42+T44*R43+T43*R44+T42*R45+T41*R46+T40*R47+T39*R48</f>
        <v>1.0108398437499999E-2</v>
      </c>
      <c r="W48" s="135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1.4859085609546572E-4</v>
      </c>
      <c r="AR48" s="28">
        <v>9</v>
      </c>
      <c r="AS48" s="79">
        <f>((($W$39)^Q48)*((1-($W$39))^($U$35-Q48))*HLOOKUP($U$35,$AV$24:$BF$34,Q48+1))*V49</f>
        <v>5.9151389318863927E-5</v>
      </c>
      <c r="AV48" s="14">
        <v>10</v>
      </c>
      <c r="BF48">
        <f t="shared" si="31"/>
        <v>1</v>
      </c>
      <c r="BH48">
        <f>BH43+1</f>
        <v>5</v>
      </c>
      <c r="BI48">
        <v>10</v>
      </c>
      <c r="BJ48" s="107">
        <f>$H$30*H49</f>
        <v>1.1471165072312508E-5</v>
      </c>
    </row>
    <row r="49" spans="1:62" ht="15" customHeight="1" x14ac:dyDescent="0.25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>
        <f>J49*L39+J48*L40+J47*L41+J46*L42</f>
        <v>1.3863995863244092E-4</v>
      </c>
      <c r="I49" s="94">
        <v>10</v>
      </c>
      <c r="J49" s="89">
        <f t="shared" si="26"/>
        <v>9.8881611071525321E-6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9.765625E-4</v>
      </c>
      <c r="S49" s="72">
        <v>10</v>
      </c>
      <c r="T49" s="133">
        <f t="shared" si="30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1.0750732421874742E-3</v>
      </c>
      <c r="W49" s="135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9.8881611071525321E-6</v>
      </c>
      <c r="BH49">
        <f>BP14+1</f>
        <v>6</v>
      </c>
      <c r="BI49">
        <v>0</v>
      </c>
      <c r="BJ49" s="107">
        <f>$H$31*H39</f>
        <v>5.0017303726768961E-4</v>
      </c>
    </row>
    <row r="50" spans="1:62" x14ac:dyDescent="0.25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7.0868798417424151E-4</v>
      </c>
    </row>
    <row r="51" spans="1:62" x14ac:dyDescent="0.25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H51">
        <f>BH46+1</f>
        <v>6</v>
      </c>
      <c r="BI51">
        <v>8</v>
      </c>
      <c r="BJ51" s="107">
        <f>$H$31*H47</f>
        <v>1.7883369375051205E-4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3.2621332415599236E-5</v>
      </c>
    </row>
    <row r="53" spans="1:62" x14ac:dyDescent="0.25">
      <c r="BH53">
        <f>BH48+1</f>
        <v>6</v>
      </c>
      <c r="BI53">
        <v>10</v>
      </c>
      <c r="BJ53" s="107">
        <f>$H$31*H49</f>
        <v>4.1821151345386107E-6</v>
      </c>
    </row>
    <row r="54" spans="1:62" x14ac:dyDescent="0.25">
      <c r="BH54">
        <f>BH51+1</f>
        <v>7</v>
      </c>
      <c r="BI54">
        <v>8</v>
      </c>
      <c r="BJ54" s="107">
        <f>$H$32*H47</f>
        <v>4.9240939894940241E-5</v>
      </c>
    </row>
    <row r="55" spans="1:62" x14ac:dyDescent="0.25">
      <c r="BH55">
        <f>BH52+1</f>
        <v>7</v>
      </c>
      <c r="BI55">
        <v>9</v>
      </c>
      <c r="BJ55" s="107">
        <f>$H$32*H48</f>
        <v>8.9821164853325539E-6</v>
      </c>
    </row>
    <row r="56" spans="1:62" x14ac:dyDescent="0.25">
      <c r="BH56">
        <f>BH53+1</f>
        <v>7</v>
      </c>
      <c r="BI56">
        <v>10</v>
      </c>
      <c r="BJ56" s="107">
        <f>$H$32*H49</f>
        <v>1.1515239419078766E-6</v>
      </c>
    </row>
    <row r="57" spans="1:62" x14ac:dyDescent="0.25">
      <c r="BH57">
        <f>BH55+1</f>
        <v>8</v>
      </c>
      <c r="BI57">
        <v>9</v>
      </c>
      <c r="BJ57" s="107">
        <f>$H$33*H48</f>
        <v>1.8685891855045068E-6</v>
      </c>
    </row>
    <row r="58" spans="1:62" x14ac:dyDescent="0.25">
      <c r="BH58">
        <f>BH56+1</f>
        <v>8</v>
      </c>
      <c r="BI58">
        <v>10</v>
      </c>
      <c r="BJ58" s="107">
        <f>$H$33*H49</f>
        <v>2.3955658871851208E-7</v>
      </c>
    </row>
    <row r="59" spans="1:62" x14ac:dyDescent="0.25">
      <c r="BH59">
        <f>BH58+1</f>
        <v>9</v>
      </c>
      <c r="BI59">
        <v>10</v>
      </c>
      <c r="BJ59" s="107">
        <f>$H$34*H49</f>
        <v>3.7196602665351611E-8</v>
      </c>
    </row>
  </sheetData>
  <mergeCells count="2">
    <mergeCell ref="P1:Q1"/>
    <mergeCell ref="B3:C3"/>
  </mergeCells>
  <conditionalFormatting sqref="H49">
    <cfRule type="cellIs" dxfId="69" priority="1" operator="greaterThan">
      <formula>0.15</formula>
    </cfRule>
  </conditionalFormatting>
  <conditionalFormatting sqref="H39:H49">
    <cfRule type="cellIs" dxfId="68" priority="2" operator="greaterThan">
      <formula>0.15</formula>
    </cfRule>
  </conditionalFormatting>
  <conditionalFormatting sqref="H49">
    <cfRule type="cellIs" dxfId="67" priority="3" operator="greaterThan">
      <formula>0.15</formula>
    </cfRule>
  </conditionalFormatting>
  <conditionalFormatting sqref="H39:H49">
    <cfRule type="cellIs" dxfId="66" priority="4" operator="greaterThan">
      <formula>0.15</formula>
    </cfRule>
  </conditionalFormatting>
  <conditionalFormatting sqref="H35">
    <cfRule type="cellIs" dxfId="65" priority="5" operator="greaterThan">
      <formula>0.15</formula>
    </cfRule>
  </conditionalFormatting>
  <conditionalFormatting sqref="H25:H35">
    <cfRule type="cellIs" dxfId="64" priority="6" operator="greaterThan">
      <formula>0.15</formula>
    </cfRule>
  </conditionalFormatting>
  <conditionalFormatting sqref="H35">
    <cfRule type="cellIs" dxfId="63" priority="7" operator="greaterThan">
      <formula>0.15</formula>
    </cfRule>
  </conditionalFormatting>
  <conditionalFormatting sqref="H25:H35">
    <cfRule type="cellIs" dxfId="62" priority="8" operator="greaterThan">
      <formula>0.15</formula>
    </cfRule>
  </conditionalFormatting>
  <conditionalFormatting sqref="V49">
    <cfRule type="cellIs" dxfId="61" priority="9" operator="greaterThan">
      <formula>0.15</formula>
    </cfRule>
  </conditionalFormatting>
  <conditionalFormatting sqref="V35">
    <cfRule type="cellIs" dxfId="60" priority="10" operator="greaterThan">
      <formula>0.15</formula>
    </cfRule>
  </conditionalFormatting>
  <conditionalFormatting sqref="V25:V35 V39:V49">
    <cfRule type="cellIs" dxfId="59" priority="11" operator="greaterThan">
      <formula>0.15</formula>
    </cfRule>
  </conditionalFormatting>
  <conditionalFormatting sqref="V49">
    <cfRule type="cellIs" dxfId="58" priority="12" operator="greaterThan">
      <formula>0.15</formula>
    </cfRule>
  </conditionalFormatting>
  <conditionalFormatting sqref="V35">
    <cfRule type="cellIs" dxfId="57" priority="13" operator="greaterThan">
      <formula>0.15</formula>
    </cfRule>
  </conditionalFormatting>
  <conditionalFormatting sqref="V25:V35 V39:V49">
    <cfRule type="cellIs" dxfId="56" priority="14" operator="greaterThan">
      <formula>0.15</formula>
    </cfRule>
  </conditionalFormatting>
  <pageMargins left="0.7" right="0.7" top="0.75" bottom="0.75" header="0.3" footer="0.3"/>
  <pageSetup paperSize="9" fitToWidth="0"/>
  <drawing r:id="rId1"/>
  <legacyDrawing r:id="rId2"/>
  <extLst>
    <ext uri="smNativeData">
      <pm:sheetPrefs xmlns:pm="smNativeData" day="15952533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BR59"/>
  <sheetViews>
    <sheetView zoomScale="80" workbookViewId="0">
      <selection activeCell="Z14" sqref="Z14"/>
    </sheetView>
  </sheetViews>
  <sheetFormatPr baseColWidth="10" defaultColWidth="9.140625" defaultRowHeight="15" x14ac:dyDescent="0.25"/>
  <cols>
    <col min="1" max="1" width="22.7109375" customWidth="1"/>
    <col min="4" max="4" width="11.28515625" customWidth="1"/>
    <col min="5" max="5" width="10.140625" customWidth="1"/>
    <col min="6" max="6" width="4.85546875" customWidth="1"/>
    <col min="7" max="7" width="6" customWidth="1"/>
    <col min="9" max="9" width="4.42578125" customWidth="1"/>
    <col min="11" max="11" width="6" customWidth="1"/>
    <col min="13" max="13" width="5.7109375" customWidth="1"/>
    <col min="15" max="15" width="8.42578125" customWidth="1"/>
    <col min="16" max="16" width="10.140625" customWidth="1"/>
    <col min="17" max="17" width="8.85546875" customWidth="1"/>
    <col min="19" max="19" width="8.85546875" customWidth="1"/>
    <col min="21" max="21" width="8.85546875" customWidth="1"/>
    <col min="23" max="23" width="17.42578125" customWidth="1"/>
    <col min="24" max="24" width="7.140625" customWidth="1"/>
    <col min="25" max="25" width="8.42578125" customWidth="1"/>
    <col min="26" max="26" width="8.7109375" customWidth="1"/>
    <col min="27" max="27" width="8" customWidth="1"/>
    <col min="28" max="28" width="10" customWidth="1"/>
    <col min="29" max="29" width="8.42578125" customWidth="1"/>
    <col min="30" max="30" width="8.85546875" customWidth="1"/>
    <col min="31" max="31" width="8.42578125" customWidth="1"/>
    <col min="32" max="32" width="8.7109375" customWidth="1"/>
    <col min="33" max="33" width="8.42578125" customWidth="1"/>
    <col min="34" max="34" width="3.7109375" customWidth="1"/>
    <col min="35" max="35" width="8.42578125" customWidth="1"/>
    <col min="36" max="36" width="3.7109375" customWidth="1"/>
    <col min="37" max="37" width="8.42578125" customWidth="1"/>
    <col min="38" max="38" width="4.85546875" customWidth="1"/>
    <col min="42" max="42" width="4.5703125" customWidth="1"/>
    <col min="43" max="43" width="8.42578125" customWidth="1"/>
    <col min="44" max="44" width="5.42578125" customWidth="1"/>
    <col min="45" max="45" width="8.42578125" customWidth="1"/>
    <col min="46" max="46" width="2.28515625" customWidth="1"/>
    <col min="47" max="47" width="3.42578125" customWidth="1"/>
    <col min="48" max="48" width="4.28515625" customWidth="1"/>
    <col min="49" max="52" width="3" customWidth="1"/>
    <col min="53" max="56" width="3.42578125" customWidth="1"/>
    <col min="57" max="58" width="4.42578125" customWidth="1"/>
    <col min="60" max="60" width="2.42578125" customWidth="1"/>
    <col min="61" max="61" width="3.42578125" customWidth="1"/>
    <col min="62" max="62" width="6.140625" customWidth="1"/>
    <col min="63" max="63" width="4.7109375" customWidth="1"/>
    <col min="64" max="65" width="3.42578125" customWidth="1"/>
    <col min="66" max="66" width="6.140625" customWidth="1"/>
    <col min="67" max="67" width="4.42578125" customWidth="1"/>
    <col min="68" max="69" width="2.42578125" customWidth="1"/>
    <col min="70" max="70" width="5.28515625" customWidth="1"/>
  </cols>
  <sheetData>
    <row r="1" spans="1:70" x14ac:dyDescent="0.25">
      <c r="A1" s="153" t="s">
        <v>143</v>
      </c>
      <c r="B1" t="s">
        <v>0</v>
      </c>
      <c r="F1" s="194" t="s">
        <v>1</v>
      </c>
      <c r="G1" s="192">
        <f>IF(D3="SI",COUNTIF($F$6:$F$18,"RAP"),0)</f>
        <v>0</v>
      </c>
      <c r="H1" s="13"/>
      <c r="J1" s="195" t="s">
        <v>1</v>
      </c>
      <c r="K1" s="192">
        <f>IF(D3="SI",COUNTIF($J$6:$J$18,"RAP"),0)</f>
        <v>0</v>
      </c>
      <c r="L1" s="13"/>
      <c r="P1" s="306"/>
      <c r="Q1" s="306"/>
      <c r="R1" s="150">
        <v>0</v>
      </c>
      <c r="S1" s="151">
        <f>1+R1</f>
        <v>1</v>
      </c>
      <c r="AI1" s="156" t="s">
        <v>147</v>
      </c>
    </row>
    <row r="2" spans="1:70" x14ac:dyDescent="0.25">
      <c r="A2" s="153" t="s">
        <v>146</v>
      </c>
      <c r="B2" t="s">
        <v>0</v>
      </c>
      <c r="F2" s="194" t="s">
        <v>2</v>
      </c>
      <c r="G2" s="192">
        <f>IF(D3="SI",COUNTIF($F$6:$F$18,"TEC"),0)</f>
        <v>0</v>
      </c>
      <c r="H2" s="13"/>
      <c r="J2" s="195" t="s">
        <v>2</v>
      </c>
      <c r="K2" s="192">
        <f>IF(D3="SI",COUNTIF($J$6:$J$18,"TEC"),0)</f>
        <v>0</v>
      </c>
      <c r="L2" s="13"/>
      <c r="M2" s="158"/>
      <c r="O2" t="s">
        <v>3</v>
      </c>
      <c r="P2" s="190" t="s">
        <v>148</v>
      </c>
      <c r="R2" s="150">
        <v>0</v>
      </c>
      <c r="S2" s="151">
        <f>1+R2</f>
        <v>1</v>
      </c>
      <c r="Y2" t="s">
        <v>3</v>
      </c>
      <c r="Z2" s="191" t="s">
        <v>148</v>
      </c>
      <c r="AI2" s="13">
        <f>IF(B17="JC",IF(C17="JC",4,3),IF(C17="JC",3,2))</f>
        <v>2</v>
      </c>
    </row>
    <row r="3" spans="1:70" x14ac:dyDescent="0.25">
      <c r="A3" s="157" t="s">
        <v>4</v>
      </c>
      <c r="B3" s="305" t="s">
        <v>5</v>
      </c>
      <c r="C3" s="305"/>
      <c r="D3" t="str">
        <f>IF(B3="Sol","SI",IF(B3="Lluvia","SI","NO"))</f>
        <v>SI</v>
      </c>
      <c r="F3" s="194" t="s">
        <v>6</v>
      </c>
      <c r="G3" s="192">
        <f>IF(D3="SI",COUNTIF($F$6:$F$18,"POT"),0)</f>
        <v>0</v>
      </c>
      <c r="H3" s="13"/>
      <c r="J3" s="195" t="s">
        <v>6</v>
      </c>
      <c r="K3" s="192">
        <f>IF(D3="SI",COUNTIF($J$6:$J$18,"POT"),0)</f>
        <v>0</v>
      </c>
      <c r="L3" s="13"/>
      <c r="O3" t="s">
        <v>7</v>
      </c>
      <c r="P3" s="190" t="s">
        <v>149</v>
      </c>
      <c r="Q3" t="s">
        <v>8</v>
      </c>
      <c r="R3" s="190" t="s">
        <v>150</v>
      </c>
      <c r="Y3" t="s">
        <v>7</v>
      </c>
      <c r="Z3" s="191" t="s">
        <v>149</v>
      </c>
      <c r="AA3" t="s">
        <v>8</v>
      </c>
      <c r="AB3" s="191" t="s">
        <v>150</v>
      </c>
    </row>
    <row r="4" spans="1:70" ht="15.75" x14ac:dyDescent="0.25">
      <c r="A4" s="122"/>
      <c r="B4" s="8" t="s">
        <v>9</v>
      </c>
      <c r="C4" s="9" t="s">
        <v>10</v>
      </c>
      <c r="D4" s="13"/>
      <c r="E4" s="13"/>
      <c r="F4" s="8" t="s">
        <v>11</v>
      </c>
      <c r="G4" s="8" t="s">
        <v>12</v>
      </c>
      <c r="H4" s="8" t="s">
        <v>13</v>
      </c>
      <c r="I4" s="8" t="s">
        <v>14</v>
      </c>
      <c r="J4" s="9" t="s">
        <v>15</v>
      </c>
      <c r="K4" s="9" t="s">
        <v>12</v>
      </c>
      <c r="L4" s="9" t="s">
        <v>13</v>
      </c>
      <c r="M4" s="9" t="s">
        <v>14</v>
      </c>
      <c r="N4" s="13"/>
      <c r="O4" s="8" t="s">
        <v>16</v>
      </c>
      <c r="P4" s="8" t="s">
        <v>17</v>
      </c>
      <c r="Q4" s="8" t="s">
        <v>18</v>
      </c>
      <c r="R4" s="8" t="s">
        <v>19</v>
      </c>
      <c r="S4" s="8" t="s">
        <v>20</v>
      </c>
      <c r="T4" s="8" t="s">
        <v>21</v>
      </c>
      <c r="U4" s="8" t="s">
        <v>22</v>
      </c>
      <c r="V4" s="153"/>
      <c r="W4" s="123"/>
      <c r="X4" s="12" t="s">
        <v>23</v>
      </c>
      <c r="Y4" s="9" t="s">
        <v>16</v>
      </c>
      <c r="Z4" s="9" t="s">
        <v>17</v>
      </c>
      <c r="AA4" s="9" t="s">
        <v>18</v>
      </c>
      <c r="AB4" s="9" t="s">
        <v>24</v>
      </c>
      <c r="AC4" s="9" t="s">
        <v>20</v>
      </c>
      <c r="AD4" s="9" t="s">
        <v>21</v>
      </c>
      <c r="AE4" s="9" t="s">
        <v>22</v>
      </c>
      <c r="AF4" s="14"/>
      <c r="AG4" s="8" t="s">
        <v>90</v>
      </c>
      <c r="AI4" s="153" t="s">
        <v>18</v>
      </c>
      <c r="AK4" s="9" t="s">
        <v>15</v>
      </c>
      <c r="AM4" s="13" t="s">
        <v>151</v>
      </c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40" t="s">
        <v>30</v>
      </c>
      <c r="B5" s="154">
        <v>352</v>
      </c>
      <c r="C5" s="154">
        <v>352</v>
      </c>
      <c r="E5" s="187" t="s">
        <v>31</v>
      </c>
      <c r="F5" s="162"/>
      <c r="G5" s="162">
        <v>12</v>
      </c>
      <c r="H5" s="10"/>
      <c r="I5" s="10"/>
      <c r="J5" s="161"/>
      <c r="K5" s="161">
        <v>12</v>
      </c>
      <c r="L5" s="10"/>
      <c r="M5" s="10"/>
      <c r="O5" s="67">
        <f>COUNTIF(F5:F10,"IMP")*AI5*AG5</f>
        <v>0</v>
      </c>
      <c r="P5" s="188" t="str">
        <f>P3</f>
        <v>0,6</v>
      </c>
      <c r="Q5" s="16">
        <f t="shared" ref="Q5:Q19" si="1">P5*O5</f>
        <v>0</v>
      </c>
      <c r="R5" s="155" t="e">
        <f t="shared" ref="R5:R19" si="2">IF($M$2="SI",Q5*$B$22/0.5*$S$1,Q5*$B$22/0.5*$S$2)</f>
        <v>#DIV/0!</v>
      </c>
      <c r="S5" s="171" t="e">
        <f t="shared" ref="S5:S19" si="3">(1-R5)</f>
        <v>#DIV/0!</v>
      </c>
      <c r="T5" s="172" t="e">
        <f>R5*PRODUCT(S6:S19)</f>
        <v>#DIV/0!</v>
      </c>
      <c r="U5" s="17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1" t="s">
        <v>33</v>
      </c>
      <c r="X5" s="15" t="s">
        <v>34</v>
      </c>
      <c r="Y5" s="69">
        <f>COUNTIF(J5:J10,"IMP")*AI5*AK5</f>
        <v>0</v>
      </c>
      <c r="Z5" s="189" t="str">
        <f>Z3</f>
        <v>0,6</v>
      </c>
      <c r="AA5" s="19">
        <f t="shared" ref="AA5:AA19" si="4">Z5*Y5</f>
        <v>0</v>
      </c>
      <c r="AB5" s="155" t="e">
        <f t="shared" ref="AB5:AB19" si="5">IF($M$2="SI",AA5*$C$22/0.5*$S$1,AA5*$C$22/0.5*$S$2)</f>
        <v>#DIV/0!</v>
      </c>
      <c r="AC5" s="171" t="e">
        <f t="shared" ref="AC5:AC19" si="6">(1-AB5)</f>
        <v>#DIV/0!</v>
      </c>
      <c r="AD5" s="172" t="e">
        <f>AB5*PRODUCT(AC6:AC19)</f>
        <v>#DIV/0!</v>
      </c>
      <c r="AE5" s="17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AG5" s="193">
        <f>IF(COUNTIF(F5:F10,"IMP")+COUNTIF(J5:J10,"IMP")=0,0,COUNTIF(F5:F10,"IMP")/(COUNTIF(F5:F10,"IMP")+COUNTIF(J5:J10,"IMP")))</f>
        <v>0</v>
      </c>
      <c r="AI5" s="153">
        <f>IF(AN5=0,(AM5*2*$AI$2/2)+SUM($AN$5:$AN$19),0)</f>
        <v>0</v>
      </c>
      <c r="AK5" s="193">
        <f>IF(COUNTIF(F5:F10,"IMP")+COUNTIF(J5:J10,"IMP")=0,0,COUNTIF(J5:J10,"IMP")/(COUNTIF(F5:F10,"IMP")+COUNTIF(J5:J10,"IMP")))</f>
        <v>0</v>
      </c>
      <c r="AM5" s="13">
        <v>0.05</v>
      </c>
      <c r="AN5">
        <f>IF(AK5+AG5=0,AM5*2/10,0)</f>
        <v>0.01</v>
      </c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35</v>
      </c>
      <c r="B6" s="163"/>
      <c r="C6" s="164"/>
      <c r="E6" s="187" t="s">
        <v>36</v>
      </c>
      <c r="F6" s="162"/>
      <c r="G6" s="162"/>
      <c r="H6" s="10"/>
      <c r="I6" s="10"/>
      <c r="J6" s="161"/>
      <c r="K6" s="161"/>
      <c r="L6" s="10"/>
      <c r="M6" s="10"/>
      <c r="O6" s="67">
        <f>COUNTIF(F11:F18,"IMP")*AI6*AG6</f>
        <v>0</v>
      </c>
      <c r="P6" s="188" t="str">
        <f>P3</f>
        <v>0,6</v>
      </c>
      <c r="Q6" s="16">
        <f t="shared" si="1"/>
        <v>0</v>
      </c>
      <c r="R6" s="155" t="e">
        <f t="shared" si="2"/>
        <v>#DIV/0!</v>
      </c>
      <c r="S6" s="171" t="e">
        <f t="shared" si="3"/>
        <v>#DIV/0!</v>
      </c>
      <c r="T6" s="172" t="e">
        <f>R6*S5*PRODUCT(S7:S19)</f>
        <v>#DIV/0!</v>
      </c>
      <c r="U6" s="17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1" t="s">
        <v>38</v>
      </c>
      <c r="X6" s="15" t="s">
        <v>39</v>
      </c>
      <c r="Y6" s="69">
        <f>COUNTIF(J11:J18,"IMP")*AI6*AK6</f>
        <v>0</v>
      </c>
      <c r="Z6" s="189" t="str">
        <f>Z3</f>
        <v>0,6</v>
      </c>
      <c r="AA6" s="19">
        <f t="shared" si="4"/>
        <v>0</v>
      </c>
      <c r="AB6" s="155" t="e">
        <f t="shared" si="5"/>
        <v>#DIV/0!</v>
      </c>
      <c r="AC6" s="171" t="e">
        <f t="shared" si="6"/>
        <v>#DIV/0!</v>
      </c>
      <c r="AD6" s="172" t="e">
        <f>AB6*AC5*PRODUCT(AC7:AC19)</f>
        <v>#DIV/0!</v>
      </c>
      <c r="AE6" s="17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AG6" s="193">
        <f>IF(COUNTIF(F11:F18,"IMP")+COUNTIF(J11:J18,"IMP")=0,0,COUNTIF(F11:F18,"IMP")/(COUNTIF(F11:F18,"IMP")+COUNTIF(J11:J18,"IMP")))</f>
        <v>0</v>
      </c>
      <c r="AI6" s="153">
        <f>IF(AN6=0,(AM6*2*$AI$2/2)+SUM($AN$5:$AN$19),0)</f>
        <v>0</v>
      </c>
      <c r="AK6" s="193">
        <f>IF(COUNTIF(F11:F18,"IMP")+COUNTIF(J11:J18,"IMP")=0,0,COUNTIF(J11:J18,"IMP")/(COUNTIF(F11:F18,"IMP")+COUNTIF(J11:J18,"IMP")))</f>
        <v>0</v>
      </c>
      <c r="AM6" s="13">
        <v>0.05</v>
      </c>
      <c r="AN6">
        <f>IF(AK6+AG6=0,AM6*2/10,0)</f>
        <v>0.01</v>
      </c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40</v>
      </c>
      <c r="B7" s="163"/>
      <c r="C7" s="164"/>
      <c r="E7" s="187" t="s">
        <v>41</v>
      </c>
      <c r="F7" s="162"/>
      <c r="G7" s="162"/>
      <c r="H7" s="10"/>
      <c r="I7" s="10"/>
      <c r="J7" s="161"/>
      <c r="K7" s="161"/>
      <c r="L7" s="10"/>
      <c r="M7" s="10"/>
      <c r="O7" s="67"/>
      <c r="P7" s="188">
        <f>B30</f>
        <v>0.15</v>
      </c>
      <c r="Q7" s="16">
        <f t="shared" si="1"/>
        <v>0</v>
      </c>
      <c r="R7" s="155" t="e">
        <f t="shared" si="2"/>
        <v>#DIV/0!</v>
      </c>
      <c r="S7" s="171" t="e">
        <f t="shared" si="3"/>
        <v>#DIV/0!</v>
      </c>
      <c r="T7" s="172" t="e">
        <f>R7*PRODUCT(S5:S6)*PRODUCT(S8:S19)</f>
        <v>#DIV/0!</v>
      </c>
      <c r="U7" s="17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1" t="s">
        <v>152</v>
      </c>
      <c r="X7" s="15" t="s">
        <v>153</v>
      </c>
      <c r="Y7" s="69"/>
      <c r="Z7" s="189">
        <f>C30</f>
        <v>0.15</v>
      </c>
      <c r="AA7" s="19">
        <f t="shared" si="4"/>
        <v>0</v>
      </c>
      <c r="AB7" s="155" t="e">
        <f t="shared" si="5"/>
        <v>#DIV/0!</v>
      </c>
      <c r="AC7" s="171" t="e">
        <f t="shared" si="6"/>
        <v>#DIV/0!</v>
      </c>
      <c r="AD7" s="172" t="e">
        <f>AB7*PRODUCT(AC5:AC6)*PRODUCT(AC8:AC19)</f>
        <v>#DIV/0!</v>
      </c>
      <c r="AE7" s="17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AG7" s="13"/>
      <c r="AI7" s="153"/>
      <c r="AK7" s="13"/>
      <c r="AM7" s="13">
        <v>0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44</v>
      </c>
      <c r="B8" s="163"/>
      <c r="C8" s="164"/>
      <c r="E8" s="187" t="s">
        <v>41</v>
      </c>
      <c r="F8" s="162"/>
      <c r="G8" s="162"/>
      <c r="H8" s="10"/>
      <c r="I8" s="10"/>
      <c r="J8" s="161"/>
      <c r="K8" s="161"/>
      <c r="L8" s="10"/>
      <c r="M8" s="10"/>
      <c r="O8" s="67">
        <f>COUNTIF(F6:F18,"IMP")*AI8*AG8</f>
        <v>0</v>
      </c>
      <c r="P8" s="188" t="str">
        <f>P3</f>
        <v>0,6</v>
      </c>
      <c r="Q8" s="16">
        <f t="shared" si="1"/>
        <v>0</v>
      </c>
      <c r="R8" s="155" t="e">
        <f t="shared" si="2"/>
        <v>#DIV/0!</v>
      </c>
      <c r="S8" s="171" t="e">
        <f t="shared" si="3"/>
        <v>#DIV/0!</v>
      </c>
      <c r="T8" s="172" t="e">
        <f>R8*PRODUCT(S5:S7)*PRODUCT(S9:S19)</f>
        <v>#DIV/0!</v>
      </c>
      <c r="U8" s="17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1" t="s">
        <v>45</v>
      </c>
      <c r="X8" s="15" t="s">
        <v>46</v>
      </c>
      <c r="Y8" s="69">
        <f>COUNTIF(J6:J18,"IMP")*AI8*AK8</f>
        <v>0</v>
      </c>
      <c r="Z8" s="189" t="str">
        <f>Z3</f>
        <v>0,6</v>
      </c>
      <c r="AA8" s="19">
        <f t="shared" si="4"/>
        <v>0</v>
      </c>
      <c r="AB8" s="155" t="e">
        <f t="shared" si="5"/>
        <v>#DIV/0!</v>
      </c>
      <c r="AC8" s="171" t="e">
        <f t="shared" si="6"/>
        <v>#DIV/0!</v>
      </c>
      <c r="AD8" s="172" t="e">
        <f>AB8*PRODUCT(AC5:AC7)*PRODUCT(AC9:AC19)</f>
        <v>#DIV/0!</v>
      </c>
      <c r="AE8" s="17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AG8" s="193">
        <f>IF(COUNTIF(F6:F18,"IMP")+COUNTIF(J6:J18,"IMP")=0,0,COUNTIF(F6:F18,"IMP")/(COUNTIF(F6:F18,"IMP")+COUNTIF(J6:J18,"IMP")))</f>
        <v>0</v>
      </c>
      <c r="AI8" s="153">
        <f>IF(AN8=0,(AM8*2*$AI$2/2)+SUM($AN$5:$AN$19),0)</f>
        <v>0</v>
      </c>
      <c r="AK8" s="193">
        <f>IF(COUNTIF(F6:F18,"IMP")+COUNTIF(J6:J18,"IMP")=0,0,COUNTIF(J6:J18,"IMP")/(COUNTIF(F6:F18,"IMP")+COUNTIF(J6:J18,"IMP")))</f>
        <v>0</v>
      </c>
      <c r="AM8" s="13">
        <v>0.05</v>
      </c>
      <c r="AN8">
        <f>IF(AK8+AG8=0,AM8*2/10,0)</f>
        <v>0.01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47</v>
      </c>
      <c r="B9" s="163"/>
      <c r="C9" s="164"/>
      <c r="E9" s="187" t="s">
        <v>41</v>
      </c>
      <c r="F9" s="162"/>
      <c r="G9" s="162"/>
      <c r="H9" s="10"/>
      <c r="I9" s="10"/>
      <c r="J9" s="161"/>
      <c r="K9" s="161"/>
      <c r="L9" s="10"/>
      <c r="M9" s="10"/>
      <c r="O9" s="67">
        <f>COUNTIF(J6:J13,"IMP")*AI9*AG9</f>
        <v>0</v>
      </c>
      <c r="P9" s="188" t="str">
        <f>Z3</f>
        <v>0,6</v>
      </c>
      <c r="Q9" s="16">
        <f t="shared" si="1"/>
        <v>0</v>
      </c>
      <c r="R9" s="155" t="e">
        <f t="shared" si="2"/>
        <v>#DIV/0!</v>
      </c>
      <c r="S9" s="171" t="e">
        <f t="shared" si="3"/>
        <v>#DIV/0!</v>
      </c>
      <c r="T9" s="172" t="e">
        <f>R9*PRODUCT(S5:S8)*PRODUCT(S10:S19)</f>
        <v>#DIV/0!</v>
      </c>
      <c r="U9" s="17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2" t="s">
        <v>48</v>
      </c>
      <c r="X9" s="15" t="s">
        <v>49</v>
      </c>
      <c r="Y9" s="69">
        <f>COUNTIF(F6:F13,"IMP")*AI9*AK9</f>
        <v>0</v>
      </c>
      <c r="Z9" s="189" t="str">
        <f>P3</f>
        <v>0,6</v>
      </c>
      <c r="AA9" s="19">
        <f t="shared" si="4"/>
        <v>0</v>
      </c>
      <c r="AB9" s="155" t="e">
        <f t="shared" si="5"/>
        <v>#DIV/0!</v>
      </c>
      <c r="AC9" s="171" t="e">
        <f t="shared" si="6"/>
        <v>#DIV/0!</v>
      </c>
      <c r="AD9" s="172" t="e">
        <f>AB9*PRODUCT(AC5:AC8)*PRODUCT(AC10:AC19)</f>
        <v>#DIV/0!</v>
      </c>
      <c r="AE9" s="17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AG9" s="193">
        <f>IF(COUNTIF(J6:J13,"IMP")+COUNTIF(F6:F13,"IMP")=0,0,COUNTIF(J6:J13,"IMP")/(COUNTIF(J6:J13,"IMP")+COUNTIF(F6:F13,"IMP")))</f>
        <v>0</v>
      </c>
      <c r="AI9" s="153">
        <f>IF(AN9=0,(AM9*2*$AI$2/2)+SUM($AN$5:$AN$19),0)</f>
        <v>0</v>
      </c>
      <c r="AK9" s="193">
        <f>IF(COUNTIF(J6:J13,"IMP")+COUNTIF(F6:F13,"IMP")=0,0,COUNTIF(F6:F13,"IMP")/(COUNTIF(J6:J13,"IMP")+COUNTIF(F6:F13,"IMP")))</f>
        <v>0</v>
      </c>
      <c r="AM9" s="13">
        <v>2.5000000000000001E-2</v>
      </c>
      <c r="AN9">
        <f>IF(AK9+AG9=0,AM9*2/10,0)</f>
        <v>5.0000000000000001E-3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50</v>
      </c>
      <c r="B10" s="163"/>
      <c r="C10" s="164"/>
      <c r="E10" s="187" t="s">
        <v>36</v>
      </c>
      <c r="F10" s="162"/>
      <c r="G10" s="162"/>
      <c r="H10" s="10"/>
      <c r="I10" s="10"/>
      <c r="J10" s="161"/>
      <c r="K10" s="161"/>
      <c r="L10" s="10"/>
      <c r="M10" s="10"/>
      <c r="O10" s="67">
        <f>COUNTIF(F11:F18,"RAP")*AI10*AG10</f>
        <v>0</v>
      </c>
      <c r="P10" s="188" t="str">
        <f>R3</f>
        <v>0,72</v>
      </c>
      <c r="Q10" s="16">
        <f t="shared" si="1"/>
        <v>0</v>
      </c>
      <c r="R10" s="155" t="e">
        <f t="shared" si="2"/>
        <v>#DIV/0!</v>
      </c>
      <c r="S10" s="171" t="e">
        <f t="shared" si="3"/>
        <v>#DIV/0!</v>
      </c>
      <c r="T10" s="172" t="e">
        <f>R10*PRODUCT(S5:S9)*PRODUCT(S11:S19)</f>
        <v>#DIV/0!</v>
      </c>
      <c r="U10" s="17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1" t="s">
        <v>51</v>
      </c>
      <c r="X10" s="15" t="s">
        <v>52</v>
      </c>
      <c r="Y10" s="69">
        <f>COUNTIF(J11:J18,"RAP")*AI10*AK10</f>
        <v>0</v>
      </c>
      <c r="Z10" s="189" t="str">
        <f>AB3</f>
        <v>0,72</v>
      </c>
      <c r="AA10" s="19">
        <f t="shared" si="4"/>
        <v>0</v>
      </c>
      <c r="AB10" s="155" t="e">
        <f t="shared" si="5"/>
        <v>#DIV/0!</v>
      </c>
      <c r="AC10" s="171" t="e">
        <f t="shared" si="6"/>
        <v>#DIV/0!</v>
      </c>
      <c r="AD10" s="172" t="e">
        <f>AB10*PRODUCT(AC5:AC9)*PRODUCT(AC11:AC19)</f>
        <v>#DIV/0!</v>
      </c>
      <c r="AE10" s="17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AG10" s="193">
        <f>IF(COUNTIF(F11:F18,"RAP")+COUNTIF(J11:J18,"RAP")=0,0,COUNTIF(F11:F18,"RAP")/(COUNTIF(F11:F18,"RAP")+COUNTIF(J11:J18,"RAP")))</f>
        <v>0</v>
      </c>
      <c r="AI10" s="153">
        <f>IF(AN10=0,(AM10*2*$AI$2/2)+SUM($AN$5:$AN$19),0)</f>
        <v>0</v>
      </c>
      <c r="AK10" s="193">
        <f>IF(COUNTIF(F11:F18,"RAP")+COUNTIF(J11:J18,"RAP")=0,0,COUNTIF(J11:J18,"RAP")/(COUNTIF(F11:F18,"RAP")+COUNTIF(J11:J18,"RAP")))</f>
        <v>0</v>
      </c>
      <c r="AM10" s="13">
        <v>0.05</v>
      </c>
      <c r="AN10">
        <f>IF(AK10+AG10=0,AM10*2/10,0)</f>
        <v>0.01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53</v>
      </c>
      <c r="B11" s="163"/>
      <c r="C11" s="164"/>
      <c r="E11" s="187" t="s">
        <v>54</v>
      </c>
      <c r="F11" s="162"/>
      <c r="G11" s="162"/>
      <c r="H11" s="10"/>
      <c r="I11" s="10"/>
      <c r="J11" s="161"/>
      <c r="K11" s="161"/>
      <c r="L11" s="10"/>
      <c r="M11" s="10"/>
      <c r="O11" s="67">
        <f>COUNTIF(F11:F18,"RAP")*AI11*AG11</f>
        <v>0</v>
      </c>
      <c r="P11" s="188" t="str">
        <f>R3</f>
        <v>0,72</v>
      </c>
      <c r="Q11" s="16">
        <f t="shared" si="1"/>
        <v>0</v>
      </c>
      <c r="R11" s="155" t="e">
        <f t="shared" si="2"/>
        <v>#DIV/0!</v>
      </c>
      <c r="S11" s="171" t="e">
        <f t="shared" si="3"/>
        <v>#DIV/0!</v>
      </c>
      <c r="T11" s="172" t="e">
        <f>R11*PRODUCT(S5:S10)*PRODUCT(S12:S19)</f>
        <v>#DIV/0!</v>
      </c>
      <c r="U11" s="17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1" t="s">
        <v>55</v>
      </c>
      <c r="X11" s="15" t="s">
        <v>56</v>
      </c>
      <c r="Y11" s="69">
        <f>COUNTIF(J11:J18,"RAP")*AI11*AK11</f>
        <v>0</v>
      </c>
      <c r="Z11" s="189" t="str">
        <f>AB3</f>
        <v>0,72</v>
      </c>
      <c r="AA11" s="19">
        <f t="shared" si="4"/>
        <v>0</v>
      </c>
      <c r="AB11" s="155" t="e">
        <f t="shared" si="5"/>
        <v>#DIV/0!</v>
      </c>
      <c r="AC11" s="171" t="e">
        <f t="shared" si="6"/>
        <v>#DIV/0!</v>
      </c>
      <c r="AD11" s="172" t="e">
        <f>AB11*PRODUCT(AC5:AC10)*PRODUCT(AC12:AC19)</f>
        <v>#DIV/0!</v>
      </c>
      <c r="AE11" s="17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AG11" s="193">
        <f>IF(COUNTIF(F11:F18,"RAP")+COUNTIF(J11:J18,"RAP")=0,0,COUNTIF(F11:F18,"RAP")/(COUNTIF(F11:F18,"RAP")+COUNTIF(J11:J18,"RAP")))</f>
        <v>0</v>
      </c>
      <c r="AI11" s="153">
        <f>IF(AN11=0,(AM11*2*$AI$2/2)+SUM($AN$5:$AN$19),0)</f>
        <v>0</v>
      </c>
      <c r="AK11" s="193">
        <f>IF(COUNTIF(F11:F18,"RAP")+COUNTIF(J11:J18,"RAP")=0,0,COUNTIF(J11:J18,"RAP")/(COUNTIF(F11:F18,"RAP")+COUNTIF(J11:J18,"RAP")))</f>
        <v>0</v>
      </c>
      <c r="AM11" s="13">
        <v>0.05</v>
      </c>
      <c r="AN11">
        <f>IF(AK11+AG11=0,AM11*2/10,0)</f>
        <v>0.01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57</v>
      </c>
      <c r="B12" s="163"/>
      <c r="C12" s="164"/>
      <c r="E12" s="187" t="s">
        <v>54</v>
      </c>
      <c r="F12" s="162"/>
      <c r="G12" s="162"/>
      <c r="H12" s="10"/>
      <c r="I12" s="10"/>
      <c r="J12" s="161"/>
      <c r="K12" s="161"/>
      <c r="L12" s="10"/>
      <c r="M12" s="10"/>
      <c r="O12" s="67"/>
      <c r="P12" s="188">
        <v>0.5</v>
      </c>
      <c r="Q12" s="16">
        <f t="shared" si="1"/>
        <v>0</v>
      </c>
      <c r="R12" s="155" t="e">
        <f t="shared" si="2"/>
        <v>#DIV/0!</v>
      </c>
      <c r="S12" s="171" t="e">
        <f t="shared" si="3"/>
        <v>#DIV/0!</v>
      </c>
      <c r="T12" s="172" t="e">
        <f>R12*PRODUCT(S5:S11)*PRODUCT(S13:S19)</f>
        <v>#DIV/0!</v>
      </c>
      <c r="U12" s="17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2" t="s">
        <v>58</v>
      </c>
      <c r="X12" s="15" t="s">
        <v>59</v>
      </c>
      <c r="Y12" s="69"/>
      <c r="Z12" s="189">
        <v>0.5</v>
      </c>
      <c r="AA12" s="19">
        <f t="shared" si="4"/>
        <v>0</v>
      </c>
      <c r="AB12" s="155" t="e">
        <f t="shared" si="5"/>
        <v>#DIV/0!</v>
      </c>
      <c r="AC12" s="171" t="e">
        <f t="shared" si="6"/>
        <v>#DIV/0!</v>
      </c>
      <c r="AD12" s="172" t="e">
        <f>AB12*PRODUCT(AC5:AC11)*PRODUCT(AC13:AC19)</f>
        <v>#DIV/0!</v>
      </c>
      <c r="AE12" s="17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AG12" s="13"/>
      <c r="AI12" s="153"/>
      <c r="AK12" s="13"/>
      <c r="AM12" s="13">
        <v>0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60</v>
      </c>
      <c r="B13" s="163">
        <v>3</v>
      </c>
      <c r="C13" s="164">
        <v>12.5</v>
      </c>
      <c r="E13" s="187" t="s">
        <v>54</v>
      </c>
      <c r="F13" s="162"/>
      <c r="G13" s="162"/>
      <c r="H13" s="10"/>
      <c r="I13" s="10"/>
      <c r="J13" s="161"/>
      <c r="K13" s="161"/>
      <c r="L13" s="10"/>
      <c r="M13" s="10"/>
      <c r="O13" s="67" t="e">
        <f>AI13*B22/0.5</f>
        <v>#DIV/0!</v>
      </c>
      <c r="P13" s="188" t="str">
        <f>P2</f>
        <v>0,4</v>
      </c>
      <c r="Q13" s="16" t="e">
        <f t="shared" si="1"/>
        <v>#DIV/0!</v>
      </c>
      <c r="R13" s="155" t="e">
        <f t="shared" si="2"/>
        <v>#DIV/0!</v>
      </c>
      <c r="S13" s="171" t="e">
        <f t="shared" si="3"/>
        <v>#DIV/0!</v>
      </c>
      <c r="T13" s="172" t="e">
        <f>R13*PRODUCT(S5:S12)*PRODUCT(S14:S19)</f>
        <v>#DIV/0!</v>
      </c>
      <c r="U13" s="17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1" t="s">
        <v>61</v>
      </c>
      <c r="X13" s="15" t="s">
        <v>62</v>
      </c>
      <c r="Y13" s="69" t="e">
        <f>AI13*C22/0.5</f>
        <v>#DIV/0!</v>
      </c>
      <c r="Z13" s="189" t="str">
        <f>Z2</f>
        <v>0,4</v>
      </c>
      <c r="AA13" s="19" t="e">
        <f t="shared" si="4"/>
        <v>#DIV/0!</v>
      </c>
      <c r="AB13" s="155" t="e">
        <f t="shared" si="5"/>
        <v>#DIV/0!</v>
      </c>
      <c r="AC13" s="171" t="e">
        <f t="shared" si="6"/>
        <v>#DIV/0!</v>
      </c>
      <c r="AD13" s="172" t="e">
        <f>AB13*PRODUCT(AC5:AC12)*PRODUCT(AC14:AC19)</f>
        <v>#DIV/0!</v>
      </c>
      <c r="AE13" s="17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AG13" s="13"/>
      <c r="AI13" s="153">
        <f>(AM13*$AI$2/2)+SUM($AN$5:$AN$19)</f>
        <v>0.32800000000000001</v>
      </c>
      <c r="AK13" s="13"/>
      <c r="AM13" s="13">
        <v>0.22000000000000003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63</v>
      </c>
      <c r="B14" s="163">
        <v>3</v>
      </c>
      <c r="C14" s="164">
        <v>10.75</v>
      </c>
      <c r="E14" s="187" t="s">
        <v>64</v>
      </c>
      <c r="F14" s="162"/>
      <c r="G14" s="162"/>
      <c r="H14" s="10"/>
      <c r="I14" s="10"/>
      <c r="J14" s="161"/>
      <c r="K14" s="161"/>
      <c r="L14" s="10"/>
      <c r="M14" s="10"/>
      <c r="O14" s="67">
        <f>IF(COUNTIF(F6:F18,"CAB")&gt;0,AI14*B22/0.5,0)</f>
        <v>0</v>
      </c>
      <c r="P14" s="188">
        <f>IF(COUNTIF(F6:F18,"CAB")-COUNTIF(J6:J18,"CAB")&gt;3,0.8,IF(COUNTIF(F6:F18,"CAB")-COUNTIF(J6:J18,"CAB")&gt;0,0.6,IF(COUNTIF(F6:F18,"CAB")-COUNTIF(J6:J18,"CAB")=0,0.4,0.15)))</f>
        <v>0.4</v>
      </c>
      <c r="Q14" s="16">
        <f t="shared" si="1"/>
        <v>0</v>
      </c>
      <c r="R14" s="155" t="e">
        <f t="shared" si="2"/>
        <v>#DIV/0!</v>
      </c>
      <c r="S14" s="171" t="e">
        <f t="shared" si="3"/>
        <v>#DIV/0!</v>
      </c>
      <c r="T14" s="172" t="e">
        <f>R14*PRODUCT(S5:S13)*PRODUCT(S15:S19)</f>
        <v>#DIV/0!</v>
      </c>
      <c r="U14" s="17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1" t="s">
        <v>65</v>
      </c>
      <c r="X14" s="15" t="s">
        <v>66</v>
      </c>
      <c r="Y14" s="69">
        <f>IF(COUNTIF(J6:J18,"CAB")&gt;0,AI14*C22/0.5,0)</f>
        <v>0</v>
      </c>
      <c r="Z14" s="189">
        <f>IF(COUNTIF(J6:J18,"CAB")-COUNTIF(F6:F18,"CAB")&gt;3,0.8,IF(COUNTIF(J6:J18,"CAB")-COUNTIF(F6:F18,"CAB")&gt;0,0.6,IF(COUNTIF(J6:J18,"CAB")-COUNTIF(F6:F18,"CAB")=0,0.4,0.15)))</f>
        <v>0.4</v>
      </c>
      <c r="AA14" s="19">
        <f t="shared" si="4"/>
        <v>0</v>
      </c>
      <c r="AB14" s="155" t="e">
        <f t="shared" si="5"/>
        <v>#DIV/0!</v>
      </c>
      <c r="AC14" s="171" t="e">
        <f t="shared" si="6"/>
        <v>#DIV/0!</v>
      </c>
      <c r="AD14" s="172" t="e">
        <f>AB14*PRODUCT(AC5:AC13)*PRODUCT(AC15:AC19)</f>
        <v>#DIV/0!</v>
      </c>
      <c r="AE14" s="17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AG14" s="13"/>
      <c r="AI14" s="153">
        <f>IF(COUNTIF(J6:J18,"CAB")+COUNTIF(F6:F18,"CAB")=0,0,(AM14*$AI$2/2)+SUM($AN$5:$AN$19))</f>
        <v>0</v>
      </c>
      <c r="AK14" s="13"/>
      <c r="AM14" s="13">
        <v>0.125</v>
      </c>
      <c r="AN14">
        <f>IF(COUNTIF(J6:J18,"CAB")+COUNTIF(F6:F18,"CAB")=0,AM14*2/10,0)</f>
        <v>2.5000000000000001E-2</v>
      </c>
      <c r="BH14">
        <v>1</v>
      </c>
      <c r="BI14">
        <v>2</v>
      </c>
      <c r="BJ14" s="107" t="e">
        <f t="shared" ref="BJ14:BJ22" si="7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4" t="s">
        <v>67</v>
      </c>
      <c r="B15" s="165">
        <v>3</v>
      </c>
      <c r="C15" s="166">
        <v>8.25</v>
      </c>
      <c r="E15" s="187" t="s">
        <v>64</v>
      </c>
      <c r="F15" s="162"/>
      <c r="G15" s="162"/>
      <c r="H15" s="10"/>
      <c r="I15" s="10"/>
      <c r="J15" s="161"/>
      <c r="K15" s="161"/>
      <c r="L15" s="10"/>
      <c r="M15" s="10"/>
      <c r="O15" s="67"/>
      <c r="P15" s="188">
        <v>0.5</v>
      </c>
      <c r="Q15" s="16">
        <f t="shared" si="1"/>
        <v>0</v>
      </c>
      <c r="R15" s="155" t="e">
        <f t="shared" si="2"/>
        <v>#DIV/0!</v>
      </c>
      <c r="S15" s="171" t="e">
        <f t="shared" si="3"/>
        <v>#DIV/0!</v>
      </c>
      <c r="T15" s="172" t="e">
        <f>R15*PRODUCT(S5:S14)*PRODUCT(S16:S19)</f>
        <v>#DIV/0!</v>
      </c>
      <c r="U15" s="172" t="e">
        <f>R15*R16*PRODUCT(S5:S14)*PRODUCT(S17:S19)+R15*R17*PRODUCT(S5:S14)*S16*PRODUCT(S18:S19)+R15*R18*PRODUCT(S5:S14)*S16*S17*S19+R15*R19*PRODUCT(S5:S14)*S16*S17*S18</f>
        <v>#DIV/0!</v>
      </c>
      <c r="W15" s="181" t="s">
        <v>68</v>
      </c>
      <c r="X15" s="15" t="s">
        <v>69</v>
      </c>
      <c r="Y15" s="69"/>
      <c r="Z15" s="189">
        <v>0.5</v>
      </c>
      <c r="AA15" s="19">
        <f t="shared" si="4"/>
        <v>0</v>
      </c>
      <c r="AB15" s="155" t="e">
        <f t="shared" si="5"/>
        <v>#DIV/0!</v>
      </c>
      <c r="AC15" s="171" t="e">
        <f t="shared" si="6"/>
        <v>#DIV/0!</v>
      </c>
      <c r="AD15" s="172" t="e">
        <f>AB15*PRODUCT(AC5:AC14)*PRODUCT(AC16:AC19)</f>
        <v>#DIV/0!</v>
      </c>
      <c r="AE15" s="172" t="e">
        <f>AB15*AB16*PRODUCT(AC5:AC14)*PRODUCT(AC17:AC19)+AB15*AB17*PRODUCT(AC5:AC14)*AC16*PRODUCT(AC18:AC19)+AB15*AB18*PRODUCT(AC5:AC14)*AC16*AC17*AC19+AB15*AB19*PRODUCT(AC5:AC14)*AC16*AC17*AC18</f>
        <v>#DIV/0!</v>
      </c>
      <c r="AG15" s="13"/>
      <c r="AI15" s="153"/>
      <c r="AK15" s="13"/>
      <c r="AM15" s="13">
        <v>0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4" t="s">
        <v>70</v>
      </c>
      <c r="B16" s="52">
        <f>AVERAGE(G5:G18)</f>
        <v>12</v>
      </c>
      <c r="C16" s="54">
        <f>AVERAGE(K5:K18)</f>
        <v>12</v>
      </c>
      <c r="E16" s="187" t="s">
        <v>71</v>
      </c>
      <c r="F16" s="162"/>
      <c r="G16" s="162"/>
      <c r="H16" s="10"/>
      <c r="I16" s="10"/>
      <c r="J16" s="161"/>
      <c r="K16" s="161"/>
      <c r="L16" s="10"/>
      <c r="M16" s="10"/>
      <c r="O16" s="67"/>
      <c r="P16" s="188">
        <v>0.25</v>
      </c>
      <c r="Q16" s="16">
        <f t="shared" si="1"/>
        <v>0</v>
      </c>
      <c r="R16" s="155" t="e">
        <f t="shared" si="2"/>
        <v>#DIV/0!</v>
      </c>
      <c r="S16" s="171" t="e">
        <f t="shared" si="3"/>
        <v>#DIV/0!</v>
      </c>
      <c r="T16" s="172" t="e">
        <f>R16*PRODUCT(S5:S15)*PRODUCT(S17:S19)</f>
        <v>#DIV/0!</v>
      </c>
      <c r="U16" s="172" t="e">
        <f>R16*R17*PRODUCT(S5:S15)*PRODUCT(S18:S19)+R16*R18*PRODUCT(S5:S15)*S17*S19+R16*R19*PRODUCT(S5:S15)*S17*S18</f>
        <v>#DIV/0!</v>
      </c>
      <c r="W16" s="182" t="s">
        <v>72</v>
      </c>
      <c r="X16" s="15" t="s">
        <v>73</v>
      </c>
      <c r="Y16" s="69"/>
      <c r="Z16" s="189">
        <v>0.25</v>
      </c>
      <c r="AA16" s="19">
        <f t="shared" si="4"/>
        <v>0</v>
      </c>
      <c r="AB16" s="155" t="e">
        <f t="shared" si="5"/>
        <v>#DIV/0!</v>
      </c>
      <c r="AC16" s="171" t="e">
        <f t="shared" si="6"/>
        <v>#DIV/0!</v>
      </c>
      <c r="AD16" s="172" t="e">
        <f>AB16*PRODUCT(AC5:AC15)*PRODUCT(AC17:AC19)</f>
        <v>#DIV/0!</v>
      </c>
      <c r="AE16" s="172" t="e">
        <f>AB16*AB17*PRODUCT(AC5:AC15)*PRODUCT(AC18:AC19)+AB16*AB18*PRODUCT(AC5:AC15)*AC17*AC19+AB16*AB19*PRODUCT(AC5:AC15)*AC17*AC18</f>
        <v>#DIV/0!</v>
      </c>
      <c r="AG16" s="13"/>
      <c r="AI16" s="153"/>
      <c r="AK16" s="13"/>
      <c r="AM16" s="13">
        <v>0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3" t="s">
        <v>74</v>
      </c>
      <c r="B17" s="167" t="s">
        <v>75</v>
      </c>
      <c r="C17" s="168" t="s">
        <v>75</v>
      </c>
      <c r="E17" s="187" t="s">
        <v>71</v>
      </c>
      <c r="F17" s="162"/>
      <c r="G17" s="162"/>
      <c r="H17" s="10"/>
      <c r="I17" s="10"/>
      <c r="J17" s="161"/>
      <c r="K17" s="161"/>
      <c r="L17" s="10"/>
      <c r="M17" s="10"/>
      <c r="O17" s="67">
        <f>(AI17*2)*IF(COUNTBLANK(F14:F15)&lt;&gt;0,(2-COUNTBLANK(F14:F15))/2,1)*AG17</f>
        <v>0</v>
      </c>
      <c r="P17" s="188" t="str">
        <f>IF(COUNTIF(F14:F18,"CAB")&gt;0,0.95,P3)</f>
        <v>0,6</v>
      </c>
      <c r="Q17" s="16">
        <f t="shared" si="1"/>
        <v>0</v>
      </c>
      <c r="R17" s="155" t="e">
        <f t="shared" si="2"/>
        <v>#DIV/0!</v>
      </c>
      <c r="S17" s="171" t="e">
        <f t="shared" si="3"/>
        <v>#DIV/0!</v>
      </c>
      <c r="T17" s="172" t="e">
        <f>R17*PRODUCT(S5:S16)*PRODUCT(S18:S19)</f>
        <v>#DIV/0!</v>
      </c>
      <c r="U17" s="172" t="e">
        <f>R17*R18*PRODUCT(S5:S16)*S19+R17*R19*PRODUCT(S5:S16)*S18</f>
        <v>#DIV/0!</v>
      </c>
      <c r="W17" s="181" t="s">
        <v>76</v>
      </c>
      <c r="X17" s="15" t="s">
        <v>77</v>
      </c>
      <c r="Y17" s="69">
        <f>(AI17*2)*IF(COUNTBLANK(J14:J15)&lt;&gt;0,(2-COUNTBLANK(J14:J15))/2,1)*AK17</f>
        <v>0</v>
      </c>
      <c r="Z17" s="189" t="str">
        <f>IF(COUNTIF(J14:J18,"CAB")&gt;0,0.95,Z3)</f>
        <v>0,6</v>
      </c>
      <c r="AA17" s="19">
        <f t="shared" si="4"/>
        <v>0</v>
      </c>
      <c r="AB17" s="155" t="e">
        <f t="shared" si="5"/>
        <v>#DIV/0!</v>
      </c>
      <c r="AC17" s="171" t="e">
        <f t="shared" si="6"/>
        <v>#DIV/0!</v>
      </c>
      <c r="AD17" s="172" t="e">
        <f>AB17*PRODUCT(AC5:AC16)*PRODUCT(AC18:AC19)</f>
        <v>#DIV/0!</v>
      </c>
      <c r="AE17" s="172" t="e">
        <f>AB17*AB18*PRODUCT(AC5:AC16)*AC19+AB17*AB19*PRODUCT(AC5:AC16)*AC18</f>
        <v>#DIV/0!</v>
      </c>
      <c r="AG17" s="193">
        <f>IF(IF(COUNTBLANK(F14:F15)&lt;&gt;0,(2-COUNTBLANK(F14:F15))/2,1)+IF(COUNTBLANK(J14:J15)&lt;&gt;0,(2-COUNTBLANK(J14:J15))/2,1)=0,0,IF(COUNTBLANK(F14:F15)&lt;&gt;0,(2-COUNTBLANK(F14:F15))/2,1)/(IF(COUNTBLANK(F14:F15)&lt;&gt;0,(2-COUNTBLANK(F14:F15))/2,1)+IF(COUNTBLANK(J14:J15)&lt;&gt;0,(2-COUNTBLANK(J14:J15))/2,1)))</f>
        <v>0</v>
      </c>
      <c r="AI17" s="153">
        <f>IF(AN17=0,(AM17*2*$AI$2/2)+SUM($AN$5:$AN$19),0)</f>
        <v>0</v>
      </c>
      <c r="AK17" s="193">
        <f>IF(IF(COUNTBLANK(F14:F15)&lt;&gt;0,(2-COUNTBLANK(F14:F15))/2,1)+IF(COUNTBLANK(J14:J15)&lt;&gt;0,(2-COUNTBLANK(J14:J15))/2,1)=0,0,IF(COUNTBLANK(J14:J15)&lt;&gt;0,(2-COUNTBLANK(J14:J15))/2,1)/(IF(COUNTBLANK(F14:F15)&lt;&gt;0,(2-COUNTBLANK(F14:F15))/2,1)+IF(COUNTBLANK(J14:J15)&lt;&gt;0,(2-COUNTBLANK(J14:J15))/2,1)))</f>
        <v>0</v>
      </c>
      <c r="AM17" s="13">
        <v>0.08</v>
      </c>
      <c r="AN17">
        <f>IF(AK17+AG17=0,AM17*2/10,0)</f>
        <v>1.6E-2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3" t="s">
        <v>78</v>
      </c>
      <c r="B18" s="167">
        <v>20</v>
      </c>
      <c r="C18" s="168">
        <v>20</v>
      </c>
      <c r="E18" s="187" t="s">
        <v>71</v>
      </c>
      <c r="F18" s="162"/>
      <c r="G18" s="162"/>
      <c r="H18" s="10"/>
      <c r="I18" s="10"/>
      <c r="J18" s="161"/>
      <c r="K18" s="161"/>
      <c r="L18" s="10"/>
      <c r="M18" s="10"/>
      <c r="O18" s="67"/>
      <c r="P18" s="188"/>
      <c r="Q18" s="16">
        <f t="shared" si="1"/>
        <v>0</v>
      </c>
      <c r="R18" s="155" t="e">
        <f t="shared" si="2"/>
        <v>#DIV/0!</v>
      </c>
      <c r="S18" s="171" t="e">
        <f t="shared" si="3"/>
        <v>#DIV/0!</v>
      </c>
      <c r="T18" s="172" t="e">
        <f>R18*PRODUCT(S5:S17)*PRODUCT(S19)</f>
        <v>#DIV/0!</v>
      </c>
      <c r="U18" s="172" t="e">
        <f>R18*R19*PRODUCT(S5:S17)</f>
        <v>#DIV/0!</v>
      </c>
      <c r="W18" s="181" t="s">
        <v>79</v>
      </c>
      <c r="X18" s="15" t="s">
        <v>80</v>
      </c>
      <c r="Y18" s="69"/>
      <c r="Z18" s="189"/>
      <c r="AA18" s="19">
        <f t="shared" si="4"/>
        <v>0</v>
      </c>
      <c r="AB18" s="155" t="e">
        <f t="shared" si="5"/>
        <v>#DIV/0!</v>
      </c>
      <c r="AC18" s="171" t="e">
        <f t="shared" si="6"/>
        <v>#DIV/0!</v>
      </c>
      <c r="AD18" s="172" t="e">
        <f>AB18*PRODUCT(AC5:AC17)*PRODUCT(AC19)</f>
        <v>#DIV/0!</v>
      </c>
      <c r="AE18" s="172" t="e">
        <f>AB18*AB19*PRODUCT(AC5:AC17)</f>
        <v>#DIV/0!</v>
      </c>
      <c r="AG18" s="193"/>
      <c r="AI18" s="153"/>
      <c r="AK18" s="193"/>
      <c r="AM18" s="13">
        <v>0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81</v>
      </c>
      <c r="L19" s="13" t="s">
        <v>81</v>
      </c>
      <c r="O19" s="67">
        <f>COUNTIF(F11:F18,"TEC")*AG19*AI19</f>
        <v>0</v>
      </c>
      <c r="P19" s="188" t="str">
        <f>P3</f>
        <v>0,6</v>
      </c>
      <c r="Q19" s="16">
        <f t="shared" si="1"/>
        <v>0</v>
      </c>
      <c r="R19" s="155" t="e">
        <f t="shared" si="2"/>
        <v>#DIV/0!</v>
      </c>
      <c r="S19" s="173" t="e">
        <f t="shared" si="3"/>
        <v>#DIV/0!</v>
      </c>
      <c r="T19" s="174" t="e">
        <f>R19*PRODUCT(S5:S18)</f>
        <v>#DIV/0!</v>
      </c>
      <c r="U19" s="174">
        <v>0</v>
      </c>
      <c r="V19" s="1" t="s">
        <v>82</v>
      </c>
      <c r="W19" s="181" t="s">
        <v>83</v>
      </c>
      <c r="X19" s="15" t="s">
        <v>84</v>
      </c>
      <c r="Y19" s="69">
        <f>COUNTIF(J11:J18,"TEC")*AI19*AK19</f>
        <v>0</v>
      </c>
      <c r="Z19" s="189" t="str">
        <f>Z3</f>
        <v>0,6</v>
      </c>
      <c r="AA19" s="19">
        <f t="shared" si="4"/>
        <v>0</v>
      </c>
      <c r="AB19" s="155" t="e">
        <f t="shared" si="5"/>
        <v>#DIV/0!</v>
      </c>
      <c r="AC19" s="173" t="e">
        <f t="shared" si="6"/>
        <v>#DIV/0!</v>
      </c>
      <c r="AD19" s="174" t="e">
        <f>AB19*PRODUCT(AC5:AC18)</f>
        <v>#DIV/0!</v>
      </c>
      <c r="AE19" s="174">
        <v>0</v>
      </c>
      <c r="AF19" s="1" t="s">
        <v>82</v>
      </c>
      <c r="AG19" s="193">
        <f>IF(COUNTIF(F11:F18,"TEC")&gt;0,IF(COUNTIF(J6:J13,"CAB")&gt;0,IF(COUNTIF(F11:F18,"TEC")+COUNTIF(J11:J18,"TEC")&gt;0,COUNTIF(F11:F18,"TEC")/(COUNTIF(F11:F18,"TEC")+COUNTIF(J11:J18,"TEC")),0),0),0)</f>
        <v>0</v>
      </c>
      <c r="AI19" s="153">
        <f>IF(AN19=0,(AM19*2*$AI$2/2)+SUM($AN$5:$AN$19),0)</f>
        <v>0</v>
      </c>
      <c r="AK19" s="193">
        <f>IF(COUNTIF(J11:J18,"TEC")&gt;0,IF(COUNTIF(F6:F13,"CAB")&gt;0,IF(COUNTIF(F11:F18,"TEC")+COUNTIF(J11:J18,"TEC")&gt;0,COUNTIF(J11:J18,"TEC")/(COUNTIF(F11:F18,"TEC")+COUNTIF(J11:J18,"TEC")),0),0),0)</f>
        <v>0</v>
      </c>
      <c r="AM19" s="13">
        <v>0.06</v>
      </c>
      <c r="AN19">
        <f>IF(AK19+AG19=0,AM19*2/10,0)</f>
        <v>1.2E-2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85" t="s">
        <v>85</v>
      </c>
      <c r="B20">
        <f>IF(B17="Pres",IF(C17="Pres",2,1),IF(C17="Pres",1,0))</f>
        <v>0</v>
      </c>
      <c r="D20" s="36"/>
      <c r="O20" s="22"/>
      <c r="P20" s="22"/>
      <c r="Q20" s="22"/>
      <c r="S20" s="175" t="e">
        <f>PRODUCT(S5:S19)</f>
        <v>#DIV/0!</v>
      </c>
      <c r="T20" s="176" t="e">
        <f>SUM(T5:T19)</f>
        <v>#DIV/0!</v>
      </c>
      <c r="U20" s="176" t="e">
        <f>SUM(U5:U19)</f>
        <v>#DIV/0!</v>
      </c>
      <c r="V20" s="176" t="e">
        <f>1-S20-T20-U20</f>
        <v>#DIV/0!</v>
      </c>
      <c r="W20" s="21"/>
      <c r="X20" s="22"/>
      <c r="Y20" s="22"/>
      <c r="Z20" s="22"/>
      <c r="AA20" s="22"/>
      <c r="AB20" s="23"/>
      <c r="AC20" s="179" t="e">
        <f>PRODUCT(AC5:AC19)</f>
        <v>#DIV/0!</v>
      </c>
      <c r="AD20" s="176" t="e">
        <f>SUM(AD5:AD19)</f>
        <v>#DIV/0!</v>
      </c>
      <c r="AE20" s="176" t="e">
        <f>SUM(AE5:AE19)</f>
        <v>#DIV/0!</v>
      </c>
      <c r="AF20" s="17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85" t="s">
        <v>86</v>
      </c>
      <c r="B21" s="186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87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x14ac:dyDescent="0.25">
      <c r="A23" s="40" t="s">
        <v>88</v>
      </c>
      <c r="B23" s="56" t="e">
        <f>((B22^2.8)/((B22^2.8)+(C22^2.8)))*B21</f>
        <v>#DIV/0!</v>
      </c>
      <c r="C23" s="57" t="e">
        <f>B21-B23</f>
        <v>#DIV/0!</v>
      </c>
      <c r="D23" s="149">
        <f>SUM(D25:D30)</f>
        <v>1</v>
      </c>
      <c r="E23" s="149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8">BH15+1</f>
        <v>2</v>
      </c>
      <c r="BI23">
        <v>3</v>
      </c>
      <c r="BJ23" s="107" t="e">
        <f t="shared" ref="BJ23:BJ30" si="9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x14ac:dyDescent="0.25">
      <c r="A24" s="26" t="s">
        <v>89</v>
      </c>
      <c r="B24" s="64" t="e">
        <f>B23/B21</f>
        <v>#DIV/0!</v>
      </c>
      <c r="C24" s="65" t="e">
        <f>C23/B21</f>
        <v>#DIV/0!</v>
      </c>
      <c r="D24" s="13" t="s">
        <v>90</v>
      </c>
      <c r="E24" s="13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0">$H$32*H39</f>
        <v>#DIV/0!</v>
      </c>
    </row>
    <row r="25" spans="1:70" x14ac:dyDescent="0.25">
      <c r="A25" s="26" t="s">
        <v>114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1">
        <f>IF(B17="AOW",0.36-0.08,IF(B17="AIM",0.36+0.08,IF(B17="TL",(0.361)-(0.36*B32),0.36)))</f>
        <v>0.36</v>
      </c>
      <c r="E25" s="151">
        <f>IF(C17="AOW",0.36-0.08,IF(C17="AIM",0.36+0.08,IF(C17="TL",(0.361)-(0.36*C32),0.36)))</f>
        <v>0.36</v>
      </c>
      <c r="G25" s="124">
        <v>0</v>
      </c>
      <c r="H25" s="125" t="e">
        <f>L25*J25</f>
        <v>#DIV/0!</v>
      </c>
      <c r="I25" s="97">
        <v>0</v>
      </c>
      <c r="J25" s="98" t="e">
        <f t="shared" ref="J25:J35" si="11">Y25+AA25+AC25+AE25+AG25+AI25+AK25+AM25+AO25+AQ25+AS25</f>
        <v>#DIV/0!</v>
      </c>
      <c r="K25" s="97">
        <v>0</v>
      </c>
      <c r="L25" s="98" t="e">
        <f>S20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 t="shared" ref="P25:P30" si="12">N25</f>
        <v>#DIV/0!</v>
      </c>
      <c r="Q25" s="12">
        <v>0</v>
      </c>
      <c r="R25" s="73" t="e">
        <f>P25*N25</f>
        <v>#DIV/0!</v>
      </c>
      <c r="S25" s="70">
        <v>0</v>
      </c>
      <c r="T25" s="133" t="e">
        <f>(1-$B$33)^(INT(C23*2*(1-C31)))</f>
        <v>#DIV/0!</v>
      </c>
      <c r="U25" s="138">
        <v>0</v>
      </c>
      <c r="V25" s="86" t="e">
        <f>R25*T25</f>
        <v>#DIV/0!</v>
      </c>
      <c r="W25" s="134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0"/>
        <v>#DIV/0!</v>
      </c>
    </row>
    <row r="26" spans="1:70" x14ac:dyDescent="0.25">
      <c r="A26" s="40" t="s">
        <v>115</v>
      </c>
      <c r="B26" s="119" t="e">
        <f>1/(1+EXP(-3.1416*4*((B10/(B10+C9))-(3.1416/6))))</f>
        <v>#DIV/0!</v>
      </c>
      <c r="C26" s="118" t="e">
        <f>1/(1+EXP(-3.1416*4*((C10/(C10+B9))-(3.1416/6))))</f>
        <v>#DIV/0!</v>
      </c>
      <c r="D26" s="151">
        <f>IF(B17="AOW",0.257+0.04,IF(B17="AIM",0.257-0.04,IF(B17="TL",(0.257)-(0.257*B32),0.257)))</f>
        <v>0.25700000000000001</v>
      </c>
      <c r="E26" s="151">
        <f>IF(C17="AOW",0.257+0.04,IF(C17="AIM",0.257-0.04,IF(C17="TL",(0.257)-(0.257*C32),0.257)))</f>
        <v>0.25700000000000001</v>
      </c>
      <c r="G26" s="87">
        <v>1</v>
      </c>
      <c r="H26" s="126" t="e">
        <f>L25*J26+L26*J25</f>
        <v>#DIV/0!</v>
      </c>
      <c r="I26" s="93">
        <v>1</v>
      </c>
      <c r="J26" s="86" t="e">
        <f t="shared" si="11"/>
        <v>#DIV/0!</v>
      </c>
      <c r="K26" s="93">
        <v>1</v>
      </c>
      <c r="L26" s="86" t="e">
        <f>T20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si="12"/>
        <v>#DIV/0!</v>
      </c>
      <c r="Q26" s="28">
        <v>1</v>
      </c>
      <c r="R26" s="37" t="e">
        <f>N26*P25+P26*N25</f>
        <v>#DIV/0!</v>
      </c>
      <c r="S26" s="72">
        <v>1</v>
      </c>
      <c r="T26" s="133" t="e">
        <f t="shared" ref="T26:T35" si="13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5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0"/>
        <v>#DIV/0!</v>
      </c>
    </row>
    <row r="27" spans="1:70" x14ac:dyDescent="0.25">
      <c r="A27" s="26" t="s">
        <v>116</v>
      </c>
      <c r="B27" s="119" t="e">
        <f>1/(1+EXP(-3.1416*4*((B12/(B12+C7))-(3.1416/6))))</f>
        <v>#DIV/0!</v>
      </c>
      <c r="C27" s="118" t="e">
        <f>1/(1+EXP(-3.1416*4*((C12/(C12+B7))-(3.1416/6))))</f>
        <v>#DIV/0!</v>
      </c>
      <c r="D27" s="151">
        <f>D26</f>
        <v>0.25700000000000001</v>
      </c>
      <c r="E27" s="151">
        <f>E26</f>
        <v>0.25700000000000001</v>
      </c>
      <c r="G27" s="87">
        <v>2</v>
      </c>
      <c r="H27" s="126" t="e">
        <f>L25*J27+J26*L26+J25*L27</f>
        <v>#DIV/0!</v>
      </c>
      <c r="I27" s="93">
        <v>2</v>
      </c>
      <c r="J27" s="86" t="e">
        <f t="shared" si="11"/>
        <v>#DIV/0!</v>
      </c>
      <c r="K27" s="93">
        <v>2</v>
      </c>
      <c r="L27" s="86" t="e">
        <f>U20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2"/>
        <v>#DIV/0!</v>
      </c>
      <c r="Q27" s="28">
        <v>2</v>
      </c>
      <c r="R27" s="37" t="e">
        <f>P25*N27+P26*N26+P27*N25</f>
        <v>#DIV/0!</v>
      </c>
      <c r="S27" s="72">
        <v>2</v>
      </c>
      <c r="T27" s="133" t="e">
        <f t="shared" si="13"/>
        <v>#DIV/0!</v>
      </c>
      <c r="U27" s="93">
        <v>2</v>
      </c>
      <c r="V27" s="86" t="e">
        <f>R27*T25+T26*R26+R25*T27</f>
        <v>#DIV/0!</v>
      </c>
      <c r="W27" s="135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0"/>
        <v>#DIV/0!</v>
      </c>
    </row>
    <row r="28" spans="1:70" x14ac:dyDescent="0.25">
      <c r="A28" s="26" t="s">
        <v>117</v>
      </c>
      <c r="B28" s="169">
        <v>0.9</v>
      </c>
      <c r="C28" s="170">
        <v>0.9</v>
      </c>
      <c r="D28" s="151">
        <v>8.5000000000000006E-2</v>
      </c>
      <c r="E28" s="151">
        <v>8.5000000000000006E-2</v>
      </c>
      <c r="G28" s="87">
        <v>3</v>
      </c>
      <c r="H28" s="126" t="e">
        <f>J28*L25+J27*L26+L28*J25+L27*J26</f>
        <v>#DIV/0!</v>
      </c>
      <c r="I28" s="93">
        <v>3</v>
      </c>
      <c r="J28" s="86" t="e">
        <f t="shared" si="11"/>
        <v>#DIV/0!</v>
      </c>
      <c r="K28" s="93">
        <v>3</v>
      </c>
      <c r="L28" s="86" t="e">
        <f>V20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2"/>
        <v>#DIV/0!</v>
      </c>
      <c r="Q28" s="28">
        <v>3</v>
      </c>
      <c r="R28" s="37" t="e">
        <f>P25*N28+P26*N27+P27*N26+P28*N25</f>
        <v>#DIV/0!</v>
      </c>
      <c r="S28" s="72">
        <v>3</v>
      </c>
      <c r="T28" s="133" t="e">
        <f t="shared" si="13"/>
        <v>#DIV/0!</v>
      </c>
      <c r="U28" s="93">
        <v>3</v>
      </c>
      <c r="V28" s="86" t="e">
        <f>R28*T25+R27*T26+R26*T27+R25*T28</f>
        <v>#DIV/0!</v>
      </c>
      <c r="W28" s="135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 t="shared" ref="BF28:BF34" si="14"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0"/>
        <v>#DIV/0!</v>
      </c>
    </row>
    <row r="29" spans="1:70" x14ac:dyDescent="0.25">
      <c r="A29" s="26" t="s">
        <v>118</v>
      </c>
      <c r="B29" s="119">
        <f>1/(1+EXP(-3.1416*4*((B14/(B14+C13))-(3.1416/6))))</f>
        <v>1.555707217202411E-2</v>
      </c>
      <c r="C29" s="118">
        <f>1/(1+EXP(-3.1416*4*((C14/(C14+B13))-(3.1416/6))))</f>
        <v>0.96248844203767769</v>
      </c>
      <c r="D29" s="151">
        <v>0.04</v>
      </c>
      <c r="E29" s="151">
        <v>0.04</v>
      </c>
      <c r="G29" s="87">
        <v>4</v>
      </c>
      <c r="H29" s="126" t="e">
        <f>J29*L25+J28*L26+J27*L27+J26*L28</f>
        <v>#DIV/0!</v>
      </c>
      <c r="I29" s="93">
        <v>4</v>
      </c>
      <c r="J29" s="86" t="e">
        <f t="shared" si="11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2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3" t="e">
        <f t="shared" si="13"/>
        <v>#DIV/0!</v>
      </c>
      <c r="U29" s="93">
        <v>4</v>
      </c>
      <c r="V29" s="86" t="e">
        <f>T29*R25+T28*R26+T27*R27+T26*R28+T25*R29</f>
        <v>#DIV/0!</v>
      </c>
      <c r="W29" s="135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si="14"/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0"/>
        <v>#DIV/0!</v>
      </c>
    </row>
    <row r="30" spans="1:70" x14ac:dyDescent="0.25">
      <c r="A30" s="26" t="s">
        <v>119</v>
      </c>
      <c r="B30" s="169">
        <v>0.15</v>
      </c>
      <c r="C30" s="170">
        <v>0.15</v>
      </c>
      <c r="D30" s="151">
        <f>IF(B17="TL",0.875*B32,0.001)</f>
        <v>1E-3</v>
      </c>
      <c r="E30" s="151">
        <f>IF(C17="TL",0.875*C32,0.001)</f>
        <v>1E-3</v>
      </c>
      <c r="G30" s="87">
        <v>5</v>
      </c>
      <c r="H30" s="126" t="e">
        <f>J30*L25+J29*L26+J28*L27+J27*L28</f>
        <v>#DIV/0!</v>
      </c>
      <c r="I30" s="93">
        <v>5</v>
      </c>
      <c r="J30" s="86" t="e">
        <f t="shared" si="11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2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3" t="e">
        <f t="shared" si="13"/>
        <v>#DIV/0!</v>
      </c>
      <c r="U30" s="93">
        <v>5</v>
      </c>
      <c r="V30" s="86" t="e">
        <f>T30*R25+T29*R26+T28*R27+T27*R28+T26*R29+T25*R30</f>
        <v>#DIV/0!</v>
      </c>
      <c r="W30" s="135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0"/>
        <v>#DIV/0!</v>
      </c>
    </row>
    <row r="31" spans="1:70" x14ac:dyDescent="0.25">
      <c r="A31" s="184" t="s">
        <v>120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6" t="e">
        <f>J31*L25+J30*L26+J29*L27+J28*L28</f>
        <v>#DIV/0!</v>
      </c>
      <c r="I31" s="93">
        <v>6</v>
      </c>
      <c r="J31" s="86" t="e">
        <f t="shared" si="11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3" t="e">
        <f t="shared" si="13"/>
        <v>#DIV/0!</v>
      </c>
      <c r="U31" s="93">
        <v>6</v>
      </c>
      <c r="V31" s="86" t="e">
        <f>T31*R25+T30*R26+T29*R27+T28*R28+T27*R29+T26*R30+T25*R31</f>
        <v>#DIV/0!</v>
      </c>
      <c r="W31" s="135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$H$28*H43</f>
        <v>#DIV/0!</v>
      </c>
      <c r="BP31">
        <f t="shared" ref="BP31:BP37" si="17">BP24+1</f>
        <v>8</v>
      </c>
      <c r="BQ31">
        <v>0</v>
      </c>
      <c r="BR31" s="107" t="e">
        <f t="shared" ref="BR31:BR38" si="18">$H$33*H39</f>
        <v>#DIV/0!</v>
      </c>
    </row>
    <row r="32" spans="1:70" x14ac:dyDescent="0.25">
      <c r="A32" s="26" t="s">
        <v>121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6" t="e">
        <f>J32*L25+J31*L26+J30*L27+J29*L28</f>
        <v>#DIV/0!</v>
      </c>
      <c r="I32" s="93">
        <v>7</v>
      </c>
      <c r="J32" s="86" t="e">
        <f t="shared" si="11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3" t="e">
        <f t="shared" si="13"/>
        <v>#DIV/0!</v>
      </c>
      <c r="U32" s="93">
        <v>7</v>
      </c>
      <c r="V32" s="86" t="e">
        <f>T32*R25+T31*R26+T30*R27+T29*R28+T28*R29+T27*R30+T26*R31+T25*R32</f>
        <v>#DIV/0!</v>
      </c>
      <c r="W32" s="135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122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6" t="e">
        <f>J33*L25+J32*L26+J31*L27+J30*L28</f>
        <v>#DIV/0!</v>
      </c>
      <c r="I33" s="93">
        <v>8</v>
      </c>
      <c r="J33" s="86" t="e">
        <f t="shared" si="11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3" t="e">
        <f t="shared" si="13"/>
        <v>#DIV/0!</v>
      </c>
      <c r="U33" s="93">
        <v>8</v>
      </c>
      <c r="V33" s="86" t="e">
        <f>T33*R25+T32*R26+T31*R27+T30*R28+T29*R29+T28*R30+T27*R31+T26*R32+T25*R33</f>
        <v>#DIV/0!</v>
      </c>
      <c r="W33" s="135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123</v>
      </c>
      <c r="B34" s="56" t="e">
        <f>B23*2</f>
        <v>#DIV/0!</v>
      </c>
      <c r="C34" s="57" t="e">
        <f>C23*2</f>
        <v>#DIV/0!</v>
      </c>
      <c r="G34" s="87">
        <v>9</v>
      </c>
      <c r="H34" s="126" t="e">
        <f>J34*L25+J33*L26+J32*L27+J31*L28</f>
        <v>#DIV/0!</v>
      </c>
      <c r="I34" s="93">
        <v>9</v>
      </c>
      <c r="J34" s="86" t="e">
        <f t="shared" si="11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3" t="e">
        <f t="shared" si="13"/>
        <v>#DIV/0!</v>
      </c>
      <c r="U34" s="93">
        <v>9</v>
      </c>
      <c r="V34" s="86" t="e">
        <f>T34*R25+T33*R26+T32*R27+T31*R28+T30*R29+T29*R30+T28*R31+T27*R32+T26*R33+T25*R34</f>
        <v>#DIV/0!</v>
      </c>
      <c r="W34" s="135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88">
        <v>10</v>
      </c>
      <c r="H35" s="127" t="e">
        <f>J35*L25+J34*L26+J33*L27+J32*L28</f>
        <v>#DIV/0!</v>
      </c>
      <c r="I35" s="94">
        <v>10</v>
      </c>
      <c r="J35" s="89" t="e">
        <f t="shared" si="11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3" t="e">
        <f t="shared" si="13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5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x14ac:dyDescent="0.25">
      <c r="A37" s="109" t="s">
        <v>124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125</v>
      </c>
      <c r="B38" s="107" t="e">
        <f>SUM(BJ4:BJ59)</f>
        <v>#DIV/0!</v>
      </c>
      <c r="G38" s="103" t="str">
        <f t="shared" ref="G38:AS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39" t="str">
        <f t="shared" si="19"/>
        <v>p</v>
      </c>
      <c r="U38" s="140" t="str">
        <f t="shared" si="19"/>
        <v>Total</v>
      </c>
      <c r="V38" s="141" t="str">
        <f t="shared" si="19"/>
        <v>P</v>
      </c>
      <c r="W38" s="90" t="str">
        <f t="shared" si="19"/>
        <v>E(x)</v>
      </c>
      <c r="X38" s="30" t="str">
        <f t="shared" si="19"/>
        <v>G0</v>
      </c>
      <c r="Y38" s="30" t="str">
        <f t="shared" si="19"/>
        <v>p</v>
      </c>
      <c r="Z38" s="30" t="str">
        <f t="shared" si="19"/>
        <v>G1</v>
      </c>
      <c r="AA38" s="30" t="str">
        <f t="shared" si="19"/>
        <v>p</v>
      </c>
      <c r="AB38" s="30" t="str">
        <f t="shared" si="19"/>
        <v>G2</v>
      </c>
      <c r="AC38" s="30" t="str">
        <f t="shared" si="19"/>
        <v>p</v>
      </c>
      <c r="AD38" s="30" t="str">
        <f t="shared" si="19"/>
        <v>G3</v>
      </c>
      <c r="AE38" s="30" t="str">
        <f t="shared" si="19"/>
        <v>p</v>
      </c>
      <c r="AF38" s="30" t="str">
        <f t="shared" si="19"/>
        <v>G4</v>
      </c>
      <c r="AG38" s="30" t="str">
        <f t="shared" si="19"/>
        <v>p</v>
      </c>
      <c r="AH38" s="30" t="str">
        <f t="shared" si="19"/>
        <v>G5</v>
      </c>
      <c r="AI38" s="30" t="str">
        <f t="shared" si="19"/>
        <v>p</v>
      </c>
      <c r="AJ38" s="30" t="str">
        <f t="shared" si="19"/>
        <v>G6</v>
      </c>
      <c r="AK38" s="30" t="str">
        <f t="shared" si="19"/>
        <v>p</v>
      </c>
      <c r="AL38" s="30" t="str">
        <f t="shared" si="19"/>
        <v>G7</v>
      </c>
      <c r="AM38" s="30" t="str">
        <f t="shared" si="19"/>
        <v>p</v>
      </c>
      <c r="AN38" s="30" t="str">
        <f t="shared" si="19"/>
        <v>G8</v>
      </c>
      <c r="AO38" s="30" t="str">
        <f t="shared" si="19"/>
        <v>p</v>
      </c>
      <c r="AP38" s="30" t="str">
        <f t="shared" si="19"/>
        <v>G9</v>
      </c>
      <c r="AQ38" s="30" t="str">
        <f t="shared" si="19"/>
        <v>p</v>
      </c>
      <c r="AR38" s="30" t="str">
        <f t="shared" si="19"/>
        <v>G10</v>
      </c>
      <c r="AS38" s="30" t="str">
        <f t="shared" si="19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20">BH32+1</f>
        <v>4</v>
      </c>
      <c r="BI38">
        <v>5</v>
      </c>
      <c r="BJ38" s="107" t="e">
        <f t="shared" ref="BJ38:BJ43" si="21">$H$29*H44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126</v>
      </c>
      <c r="B39" s="107" t="e">
        <f>SUM(BR4:BR47)</f>
        <v>#DIV/0!</v>
      </c>
      <c r="G39" s="128">
        <v>0</v>
      </c>
      <c r="H39" s="129" t="e">
        <f>L39*J39</f>
        <v>#DIV/0!</v>
      </c>
      <c r="I39" s="97">
        <v>0</v>
      </c>
      <c r="J39" s="98" t="e">
        <f t="shared" ref="J39:J49" si="22">Y39+AA39+AC39+AE39+AG39+AI39+AK39+AM39+AO39+AQ39+AS39</f>
        <v>#DIV/0!</v>
      </c>
      <c r="K39" s="102">
        <v>0</v>
      </c>
      <c r="L39" s="98" t="e">
        <f>AC20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 t="shared" ref="P39:P44" si="23">N39</f>
        <v>#DIV/0!</v>
      </c>
      <c r="Q39" s="12">
        <v>0</v>
      </c>
      <c r="R39" s="73" t="e">
        <f>P39*N39</f>
        <v>#DIV/0!</v>
      </c>
      <c r="S39" s="70">
        <v>0</v>
      </c>
      <c r="T39" s="133" t="e">
        <f>(1-$C$33)^(INT(B23*2*(1-B31)))</f>
        <v>#DIV/0!</v>
      </c>
      <c r="U39" s="138">
        <v>0</v>
      </c>
      <c r="V39" s="86" t="e">
        <f>R39*T39</f>
        <v>#DIV/0!</v>
      </c>
      <c r="W39" s="134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20"/>
        <v>4</v>
      </c>
      <c r="BI39">
        <v>6</v>
      </c>
      <c r="BJ39" s="107" t="e">
        <f t="shared" si="21"/>
        <v>#DIV/0!</v>
      </c>
      <c r="BP39">
        <f t="shared" ref="BP39:BP46" si="24">BP31+1</f>
        <v>9</v>
      </c>
      <c r="BQ39">
        <v>0</v>
      </c>
      <c r="BR39" s="107" t="e">
        <f t="shared" ref="BR39:BR47" si="25">$H$34*H39</f>
        <v>#DIV/0!</v>
      </c>
    </row>
    <row r="40" spans="1:70" x14ac:dyDescent="0.25">
      <c r="G40" s="91">
        <v>1</v>
      </c>
      <c r="H40" s="130" t="e">
        <f>L39*J40+L40*J39</f>
        <v>#DIV/0!</v>
      </c>
      <c r="I40" s="93">
        <v>1</v>
      </c>
      <c r="J40" s="86" t="e">
        <f t="shared" si="22"/>
        <v>#DIV/0!</v>
      </c>
      <c r="K40" s="95">
        <v>1</v>
      </c>
      <c r="L40" s="86" t="e">
        <f>AD20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si="23"/>
        <v>#DIV/0!</v>
      </c>
      <c r="Q40" s="28">
        <v>1</v>
      </c>
      <c r="R40" s="37" t="e">
        <f>P40*N39+P39*N40</f>
        <v>#DIV/0!</v>
      </c>
      <c r="S40" s="72">
        <v>1</v>
      </c>
      <c r="T40" s="133" t="e">
        <f t="shared" ref="T40:T49" si="26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5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20"/>
        <v>4</v>
      </c>
      <c r="BI40">
        <v>7</v>
      </c>
      <c r="BJ40" s="107" t="e">
        <f t="shared" si="21"/>
        <v>#DIV/0!</v>
      </c>
      <c r="BP40">
        <f t="shared" si="24"/>
        <v>9</v>
      </c>
      <c r="BQ40">
        <v>1</v>
      </c>
      <c r="BR40" s="107" t="e">
        <f t="shared" si="25"/>
        <v>#DIV/0!</v>
      </c>
    </row>
    <row r="41" spans="1:70" x14ac:dyDescent="0.25">
      <c r="G41" s="91">
        <v>2</v>
      </c>
      <c r="H41" s="130" t="e">
        <f>L39*J41+J40*L40+J39*L41</f>
        <v>#DIV/0!</v>
      </c>
      <c r="I41" s="93">
        <v>2</v>
      </c>
      <c r="J41" s="86" t="e">
        <f t="shared" si="22"/>
        <v>#DIV/0!</v>
      </c>
      <c r="K41" s="95">
        <v>2</v>
      </c>
      <c r="L41" s="86" t="e">
        <f>AE20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23"/>
        <v>#DIV/0!</v>
      </c>
      <c r="Q41" s="28">
        <v>2</v>
      </c>
      <c r="R41" s="37" t="e">
        <f>P41*N39+P40*N40+P39*N41</f>
        <v>#DIV/0!</v>
      </c>
      <c r="S41" s="72">
        <v>2</v>
      </c>
      <c r="T41" s="133" t="e">
        <f t="shared" si="26"/>
        <v>#DIV/0!</v>
      </c>
      <c r="U41" s="93">
        <v>2</v>
      </c>
      <c r="V41" s="86" t="e">
        <f>R41*T39+T40*R40+R39*T41</f>
        <v>#DIV/0!</v>
      </c>
      <c r="W41" s="135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20"/>
        <v>4</v>
      </c>
      <c r="BI41">
        <v>8</v>
      </c>
      <c r="BJ41" s="107" t="e">
        <f t="shared" si="21"/>
        <v>#DIV/0!</v>
      </c>
      <c r="BP41">
        <f t="shared" si="24"/>
        <v>9</v>
      </c>
      <c r="BQ41">
        <v>2</v>
      </c>
      <c r="BR41" s="107" t="e">
        <f t="shared" si="25"/>
        <v>#DIV/0!</v>
      </c>
    </row>
    <row r="42" spans="1:70" ht="15" customHeight="1" x14ac:dyDescent="0.25">
      <c r="G42" s="91">
        <v>3</v>
      </c>
      <c r="H42" s="130" t="e">
        <f>J42*L39+J41*L40+L42*J39+L41*J40</f>
        <v>#DIV/0!</v>
      </c>
      <c r="I42" s="93">
        <v>3</v>
      </c>
      <c r="J42" s="86" t="e">
        <f t="shared" si="22"/>
        <v>#DIV/0!</v>
      </c>
      <c r="K42" s="95">
        <v>3</v>
      </c>
      <c r="L42" s="86" t="e">
        <f>AF20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23"/>
        <v>#DIV/0!</v>
      </c>
      <c r="Q42" s="28">
        <v>3</v>
      </c>
      <c r="R42" s="37" t="e">
        <f>P42*N39+P41*N40+P40*N41+P39*N42</f>
        <v>#DIV/0!</v>
      </c>
      <c r="S42" s="72">
        <v>3</v>
      </c>
      <c r="T42" s="133" t="e">
        <f t="shared" si="26"/>
        <v>#DIV/0!</v>
      </c>
      <c r="U42" s="93">
        <v>3</v>
      </c>
      <c r="V42" s="86" t="e">
        <f>R42*T39+R41*T40+R40*T41+R39*T42</f>
        <v>#DIV/0!</v>
      </c>
      <c r="W42" s="135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 t="shared" ref="BF42:BF48" si="27">BE41+BE42</f>
        <v>210</v>
      </c>
      <c r="BH42">
        <f t="shared" si="20"/>
        <v>4</v>
      </c>
      <c r="BI42">
        <v>9</v>
      </c>
      <c r="BJ42" s="107" t="e">
        <f t="shared" si="21"/>
        <v>#DIV/0!</v>
      </c>
      <c r="BP42">
        <f t="shared" si="24"/>
        <v>9</v>
      </c>
      <c r="BQ42">
        <v>3</v>
      </c>
      <c r="BR42" s="107" t="e">
        <f t="shared" si="25"/>
        <v>#DIV/0!</v>
      </c>
    </row>
    <row r="43" spans="1:70" ht="15" customHeight="1" x14ac:dyDescent="0.25">
      <c r="G43" s="91">
        <v>4</v>
      </c>
      <c r="H43" s="130" t="e">
        <f>J43*L39+J42*L40+J41*L41+J40*L42</f>
        <v>#DIV/0!</v>
      </c>
      <c r="I43" s="93">
        <v>4</v>
      </c>
      <c r="J43" s="86" t="e">
        <f t="shared" si="22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23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3" t="e">
        <f t="shared" si="26"/>
        <v>#DIV/0!</v>
      </c>
      <c r="U43" s="93">
        <v>4</v>
      </c>
      <c r="V43" s="86" t="e">
        <f>T43*R39+T42*R40+T41*R41+T40*R42+T39*R43</f>
        <v>#DIV/0!</v>
      </c>
      <c r="W43" s="135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si="27"/>
        <v>252</v>
      </c>
      <c r="BH43">
        <f t="shared" si="20"/>
        <v>4</v>
      </c>
      <c r="BI43">
        <v>10</v>
      </c>
      <c r="BJ43" s="107" t="e">
        <f t="shared" si="21"/>
        <v>#DIV/0!</v>
      </c>
      <c r="BP43">
        <f t="shared" si="24"/>
        <v>9</v>
      </c>
      <c r="BQ43">
        <v>4</v>
      </c>
      <c r="BR43" s="107" t="e">
        <f t="shared" si="25"/>
        <v>#DIV/0!</v>
      </c>
    </row>
    <row r="44" spans="1:70" ht="15" customHeight="1" x14ac:dyDescent="0.25">
      <c r="G44" s="91">
        <v>5</v>
      </c>
      <c r="H44" s="130" t="e">
        <f>J44*L39+J43*L40+J42*L41+J41*L42</f>
        <v>#DIV/0!</v>
      </c>
      <c r="I44" s="93">
        <v>5</v>
      </c>
      <c r="J44" s="86" t="e">
        <f t="shared" si="22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23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3" t="e">
        <f t="shared" si="26"/>
        <v>#DIV/0!</v>
      </c>
      <c r="U44" s="93">
        <v>5</v>
      </c>
      <c r="V44" s="86" t="e">
        <f>T44*R39+T43*R40+T42*R41+T41*R42+T40*R43+T39*R44</f>
        <v>#DIV/0!</v>
      </c>
      <c r="W44" s="135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27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24"/>
        <v>9</v>
      </c>
      <c r="BQ44">
        <v>5</v>
      </c>
      <c r="BR44" s="107" t="e">
        <f t="shared" si="25"/>
        <v>#DIV/0!</v>
      </c>
    </row>
    <row r="45" spans="1:70" ht="15" customHeight="1" x14ac:dyDescent="0.25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 t="e">
        <f>J45*L39+J44*L40+J43*L41+J42*L42</f>
        <v>#DIV/0!</v>
      </c>
      <c r="I45" s="93">
        <v>6</v>
      </c>
      <c r="J45" s="86" t="e">
        <f t="shared" si="22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3" t="e">
        <f t="shared" si="26"/>
        <v>#DIV/0!</v>
      </c>
      <c r="U45" s="93">
        <v>6</v>
      </c>
      <c r="V45" s="86" t="e">
        <f>T45*R39+T44*R40+T43*R41+T42*R42+T41*R43+T40*R44+T39*R45</f>
        <v>#DIV/0!</v>
      </c>
      <c r="W45" s="135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27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24"/>
        <v>9</v>
      </c>
      <c r="BQ45">
        <v>6</v>
      </c>
      <c r="BR45" s="107" t="e">
        <f t="shared" si="25"/>
        <v>#DIV/0!</v>
      </c>
    </row>
    <row r="46" spans="1:70" ht="15" customHeight="1" x14ac:dyDescent="0.25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 t="e">
        <f>J46*L39+J45*L40+J44*L41+J43*L42</f>
        <v>#DIV/0!</v>
      </c>
      <c r="I46" s="93">
        <v>7</v>
      </c>
      <c r="J46" s="86" t="e">
        <f t="shared" si="22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3" t="e">
        <f t="shared" si="26"/>
        <v>#DIV/0!</v>
      </c>
      <c r="U46" s="93">
        <v>7</v>
      </c>
      <c r="V46" s="86" t="e">
        <f>T46*R39+T45*R40+T44*R41+T43*R42+T42*R43+T41*R44+T40*R45+T39*R46</f>
        <v>#DIV/0!</v>
      </c>
      <c r="W46" s="135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27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24"/>
        <v>9</v>
      </c>
      <c r="BQ46">
        <v>7</v>
      </c>
      <c r="BR46" s="107" t="e">
        <f t="shared" si="25"/>
        <v>#DIV/0!</v>
      </c>
    </row>
    <row r="47" spans="1:70" ht="15" customHeight="1" x14ac:dyDescent="0.25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 t="e">
        <f>J47*L39+J46*L40+J45*L41+J44*L42</f>
        <v>#DIV/0!</v>
      </c>
      <c r="I47" s="93">
        <v>8</v>
      </c>
      <c r="J47" s="86" t="e">
        <f t="shared" si="22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3" t="e">
        <f t="shared" si="26"/>
        <v>#DIV/0!</v>
      </c>
      <c r="U47" s="93">
        <v>8</v>
      </c>
      <c r="V47" s="86" t="e">
        <f>T47*R39+T46*R40+T45*R41+T44*R42+T43*R43+T42*R44+T41*R45+T40*R46+T39*R47</f>
        <v>#DIV/0!</v>
      </c>
      <c r="W47" s="135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27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25"/>
        <v>#DIV/0!</v>
      </c>
    </row>
    <row r="48" spans="1:70" ht="15" customHeight="1" x14ac:dyDescent="0.25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 t="e">
        <f>J48*L39+J47*L40+J46*L41+J45*L42</f>
        <v>#DIV/0!</v>
      </c>
      <c r="I48" s="93">
        <v>9</v>
      </c>
      <c r="J48" s="86" t="e">
        <f t="shared" si="22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3" t="e">
        <f t="shared" si="26"/>
        <v>#DIV/0!</v>
      </c>
      <c r="U48" s="93">
        <v>9</v>
      </c>
      <c r="V48" s="86" t="e">
        <f>T48*R39+T47*R40+T46*R41+T45*R42+T44*R43+T43*R44+T42*R45+T41*R46+T40*R47+T39*R48</f>
        <v>#DIV/0!</v>
      </c>
      <c r="W48" s="135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27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x14ac:dyDescent="0.25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 t="e">
        <f>J49*L39+J48*L40+J47*L41+J46*L42</f>
        <v>#DIV/0!</v>
      </c>
      <c r="I49" s="94">
        <v>10</v>
      </c>
      <c r="J49" s="89" t="e">
        <f t="shared" si="22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3" t="e">
        <f t="shared" si="26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5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x14ac:dyDescent="0.25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x14ac:dyDescent="0.25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H49">
    <cfRule type="cellIs" dxfId="55" priority="1" operator="greaterThan">
      <formula>0.15</formula>
    </cfRule>
  </conditionalFormatting>
  <conditionalFormatting sqref="H39:H49">
    <cfRule type="cellIs" dxfId="54" priority="2" operator="greaterThan">
      <formula>0.15</formula>
    </cfRule>
  </conditionalFormatting>
  <conditionalFormatting sqref="H49">
    <cfRule type="cellIs" dxfId="53" priority="3" operator="greaterThan">
      <formula>0.15</formula>
    </cfRule>
  </conditionalFormatting>
  <conditionalFormatting sqref="H39:H49">
    <cfRule type="cellIs" dxfId="52" priority="4" operator="greaterThan">
      <formula>0.15</formula>
    </cfRule>
  </conditionalFormatting>
  <conditionalFormatting sqref="H35">
    <cfRule type="cellIs" dxfId="51" priority="5" operator="greaterThan">
      <formula>0.15</formula>
    </cfRule>
  </conditionalFormatting>
  <conditionalFormatting sqref="H25:H35">
    <cfRule type="cellIs" dxfId="50" priority="6" operator="greaterThan">
      <formula>0.15</formula>
    </cfRule>
  </conditionalFormatting>
  <conditionalFormatting sqref="H35">
    <cfRule type="cellIs" dxfId="49" priority="7" operator="greaterThan">
      <formula>0.15</formula>
    </cfRule>
  </conditionalFormatting>
  <conditionalFormatting sqref="H25:H35">
    <cfRule type="cellIs" dxfId="48" priority="8" operator="greaterThan">
      <formula>0.15</formula>
    </cfRule>
  </conditionalFormatting>
  <conditionalFormatting sqref="V49">
    <cfRule type="cellIs" dxfId="47" priority="9" operator="greaterThan">
      <formula>0.15</formula>
    </cfRule>
  </conditionalFormatting>
  <conditionalFormatting sqref="V35">
    <cfRule type="cellIs" dxfId="46" priority="10" operator="greaterThan">
      <formula>0.15</formula>
    </cfRule>
  </conditionalFormatting>
  <conditionalFormatting sqref="V25:V35 V39:V49">
    <cfRule type="cellIs" dxfId="45" priority="11" operator="greaterThan">
      <formula>0.15</formula>
    </cfRule>
  </conditionalFormatting>
  <conditionalFormatting sqref="V49">
    <cfRule type="cellIs" dxfId="44" priority="12" operator="greaterThan">
      <formula>0.15</formula>
    </cfRule>
  </conditionalFormatting>
  <conditionalFormatting sqref="V35">
    <cfRule type="cellIs" dxfId="43" priority="13" operator="greaterThan">
      <formula>0.15</formula>
    </cfRule>
  </conditionalFormatting>
  <conditionalFormatting sqref="V25:V35 V39:V49">
    <cfRule type="cellIs" dxfId="42" priority="14" operator="greaterThan">
      <formula>0.15</formula>
    </cfRule>
  </conditionalFormatting>
  <pageMargins left="0.7" right="0.7" top="0.75" bottom="0.75" header="0.3" footer="0.3"/>
  <pageSetup paperSize="9" fitToWidth="0"/>
  <drawing r:id="rId1"/>
  <legacyDrawing r:id="rId2"/>
  <extLst>
    <ext uri="smNativeData">
      <pm:sheetPrefs xmlns:pm="smNativeData" day="15952533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BR59"/>
  <sheetViews>
    <sheetView zoomScale="80" workbookViewId="0">
      <selection activeCell="G8" sqref="G8"/>
    </sheetView>
  </sheetViews>
  <sheetFormatPr baseColWidth="10" defaultColWidth="9.140625" defaultRowHeight="15" x14ac:dyDescent="0.25"/>
  <cols>
    <col min="1" max="1" width="22.7109375" customWidth="1"/>
    <col min="4" max="4" width="11.28515625" customWidth="1"/>
    <col min="5" max="5" width="10.140625" customWidth="1"/>
    <col min="6" max="6" width="4.85546875" customWidth="1"/>
    <col min="7" max="7" width="6" customWidth="1"/>
    <col min="9" max="9" width="4.42578125" customWidth="1"/>
    <col min="11" max="11" width="6" customWidth="1"/>
    <col min="13" max="13" width="5.7109375" customWidth="1"/>
    <col min="15" max="15" width="8.42578125" customWidth="1"/>
    <col min="16" max="16" width="10.140625" customWidth="1"/>
    <col min="17" max="17" width="8.85546875" customWidth="1"/>
    <col min="19" max="19" width="8.85546875" customWidth="1"/>
    <col min="21" max="21" width="8.85546875" customWidth="1"/>
    <col min="23" max="23" width="17.42578125" customWidth="1"/>
    <col min="24" max="24" width="7.140625" customWidth="1"/>
    <col min="25" max="25" width="8.42578125" customWidth="1"/>
    <col min="26" max="26" width="8.7109375" customWidth="1"/>
    <col min="27" max="27" width="8" customWidth="1"/>
    <col min="28" max="28" width="10" customWidth="1"/>
    <col min="29" max="29" width="8.42578125" customWidth="1"/>
    <col min="30" max="30" width="8.85546875" customWidth="1"/>
    <col min="31" max="31" width="8.42578125" customWidth="1"/>
    <col min="32" max="32" width="8.7109375" customWidth="1"/>
    <col min="33" max="33" width="8.42578125" customWidth="1"/>
    <col min="34" max="34" width="3.7109375" customWidth="1"/>
    <col min="35" max="35" width="8.42578125" customWidth="1"/>
    <col min="36" max="36" width="3.7109375" customWidth="1"/>
    <col min="37" max="37" width="8.42578125" customWidth="1"/>
    <col min="38" max="38" width="4.85546875" customWidth="1"/>
    <col min="42" max="42" width="4.5703125" customWidth="1"/>
    <col min="43" max="43" width="8.42578125" customWidth="1"/>
    <col min="44" max="44" width="5.42578125" customWidth="1"/>
    <col min="45" max="45" width="8.42578125" customWidth="1"/>
    <col min="46" max="46" width="2.28515625" customWidth="1"/>
    <col min="47" max="47" width="3.42578125" customWidth="1"/>
    <col min="48" max="48" width="4.28515625" customWidth="1"/>
    <col min="49" max="52" width="3" customWidth="1"/>
    <col min="53" max="56" width="3.42578125" customWidth="1"/>
    <col min="57" max="58" width="4.42578125" customWidth="1"/>
    <col min="60" max="60" width="2.42578125" customWidth="1"/>
    <col min="61" max="61" width="3.42578125" customWidth="1"/>
    <col min="62" max="62" width="6.140625" customWidth="1"/>
    <col min="63" max="63" width="4.7109375" customWidth="1"/>
    <col min="64" max="65" width="3.42578125" customWidth="1"/>
    <col min="66" max="66" width="6.140625" customWidth="1"/>
    <col min="67" max="67" width="4.42578125" customWidth="1"/>
    <col min="68" max="69" width="2.42578125" customWidth="1"/>
    <col min="70" max="70" width="5.28515625" customWidth="1"/>
  </cols>
  <sheetData>
    <row r="1" spans="1:70" x14ac:dyDescent="0.25">
      <c r="A1" s="153" t="s">
        <v>143</v>
      </c>
      <c r="B1" t="s">
        <v>0</v>
      </c>
      <c r="F1" s="10" t="s">
        <v>1</v>
      </c>
      <c r="G1" s="70">
        <f>IF(D3="SI",COUNTIF($F$6:$F$18,"RAP"),0)</f>
        <v>2</v>
      </c>
      <c r="H1" s="70">
        <f>G1+G2+G3</f>
        <v>4</v>
      </c>
      <c r="J1" s="11" t="s">
        <v>1</v>
      </c>
      <c r="K1" s="70">
        <f>IF(D3="SI",COUNTIF($J$6:$J$18,"RAP"),0)</f>
        <v>3</v>
      </c>
      <c r="L1" s="70">
        <f>K1+K2+K3</f>
        <v>3</v>
      </c>
      <c r="M1" s="148">
        <f>L1+H1</f>
        <v>7</v>
      </c>
      <c r="P1" s="306"/>
      <c r="Q1" s="306"/>
      <c r="R1" s="150">
        <v>0</v>
      </c>
      <c r="S1" s="151">
        <f>1+R1</f>
        <v>1</v>
      </c>
      <c r="U1" s="156" t="s">
        <v>154</v>
      </c>
      <c r="V1">
        <f>IF(B17="JC",IF(C17="JC",2,1.5),IF(C17="JC",1.5,1))</f>
        <v>1</v>
      </c>
      <c r="AE1" s="156" t="s">
        <v>154</v>
      </c>
    </row>
    <row r="2" spans="1:70" x14ac:dyDescent="0.25">
      <c r="A2" s="153" t="s">
        <v>146</v>
      </c>
      <c r="B2" t="s">
        <v>0</v>
      </c>
      <c r="F2" s="10" t="s">
        <v>2</v>
      </c>
      <c r="G2" s="70">
        <f>IF(D3="SI",COUNTIF($F$6:$F$18,"TEC"),0)</f>
        <v>2</v>
      </c>
      <c r="H2" s="13"/>
      <c r="J2" s="11" t="s">
        <v>2</v>
      </c>
      <c r="K2" s="70">
        <f>IF(D3="SI",COUNTIF($J$6:$J$18,"TEC"),0)</f>
        <v>0</v>
      </c>
      <c r="L2" s="13" t="s">
        <v>155</v>
      </c>
      <c r="M2" s="158" t="str">
        <f>IF(M1&lt;&gt;0,"SI","NO")</f>
        <v>SI</v>
      </c>
      <c r="O2" t="s">
        <v>3</v>
      </c>
      <c r="P2" s="190" t="s">
        <v>148</v>
      </c>
      <c r="R2" s="150">
        <v>0</v>
      </c>
      <c r="S2" s="151">
        <f>1+R2</f>
        <v>1</v>
      </c>
      <c r="U2">
        <f>IF(B17="JC",IF(C17="JC",3,2.25),IF(C17="JC",1.75,1))</f>
        <v>1</v>
      </c>
      <c r="Y2" t="s">
        <v>3</v>
      </c>
      <c r="Z2" s="191" t="s">
        <v>148</v>
      </c>
      <c r="AE2">
        <f>IF(B17="JC",IF(C17="JC",3,1.75),IF(C17="JC",2.25,1))</f>
        <v>1</v>
      </c>
    </row>
    <row r="3" spans="1:70" x14ac:dyDescent="0.25">
      <c r="A3" s="157" t="s">
        <v>4</v>
      </c>
      <c r="B3" s="307" t="s">
        <v>5</v>
      </c>
      <c r="C3" s="307"/>
      <c r="D3" t="str">
        <f>IF(B3="Sol","SI",IF(B3="Lluvia","SI","NO"))</f>
        <v>SI</v>
      </c>
      <c r="F3" s="10" t="s">
        <v>6</v>
      </c>
      <c r="G3" s="70">
        <f>IF(D3="SI",COUNTIF($F$6:$F$18,"POT"),0)</f>
        <v>0</v>
      </c>
      <c r="H3" s="13"/>
      <c r="J3" s="11" t="s">
        <v>6</v>
      </c>
      <c r="K3" s="70">
        <f>IF(D3="SI",COUNTIF($J$6:$J$18,"POT"),0)</f>
        <v>0</v>
      </c>
      <c r="L3" s="13"/>
      <c r="O3" t="s">
        <v>7</v>
      </c>
      <c r="P3" s="190" t="s">
        <v>149</v>
      </c>
      <c r="Q3" t="s">
        <v>8</v>
      </c>
      <c r="R3" s="190" t="s">
        <v>150</v>
      </c>
      <c r="Y3" t="s">
        <v>7</v>
      </c>
      <c r="Z3" s="191" t="s">
        <v>149</v>
      </c>
      <c r="AA3" t="s">
        <v>8</v>
      </c>
      <c r="AB3" s="191" t="s">
        <v>150</v>
      </c>
    </row>
    <row r="4" spans="1:70" ht="15.75" x14ac:dyDescent="0.25">
      <c r="A4" s="122"/>
      <c r="B4" s="8" t="s">
        <v>9</v>
      </c>
      <c r="C4" s="9" t="s">
        <v>10</v>
      </c>
      <c r="D4" s="13"/>
      <c r="E4" s="13"/>
      <c r="F4" s="8" t="s">
        <v>11</v>
      </c>
      <c r="G4" s="8" t="s">
        <v>12</v>
      </c>
      <c r="H4" s="8" t="s">
        <v>13</v>
      </c>
      <c r="I4" s="8" t="s">
        <v>14</v>
      </c>
      <c r="J4" s="9" t="s">
        <v>15</v>
      </c>
      <c r="K4" s="9" t="s">
        <v>12</v>
      </c>
      <c r="L4" s="9" t="s">
        <v>13</v>
      </c>
      <c r="M4" s="9" t="s">
        <v>14</v>
      </c>
      <c r="N4" s="13"/>
      <c r="O4" s="8" t="s">
        <v>16</v>
      </c>
      <c r="P4" s="8" t="s">
        <v>17</v>
      </c>
      <c r="Q4" s="8" t="s">
        <v>18</v>
      </c>
      <c r="R4" s="8" t="s">
        <v>19</v>
      </c>
      <c r="S4" s="8" t="s">
        <v>20</v>
      </c>
      <c r="T4" s="8" t="s">
        <v>21</v>
      </c>
      <c r="U4" s="8" t="s">
        <v>22</v>
      </c>
      <c r="V4" s="153"/>
      <c r="W4" s="123"/>
      <c r="X4" s="12" t="s">
        <v>23</v>
      </c>
      <c r="Y4" s="9" t="s">
        <v>16</v>
      </c>
      <c r="Z4" s="9" t="s">
        <v>17</v>
      </c>
      <c r="AA4" s="9" t="s">
        <v>18</v>
      </c>
      <c r="AB4" s="9" t="s">
        <v>24</v>
      </c>
      <c r="AC4" s="9" t="s">
        <v>20</v>
      </c>
      <c r="AD4" s="9" t="s">
        <v>21</v>
      </c>
      <c r="AE4" s="9" t="s">
        <v>22</v>
      </c>
      <c r="AF4" s="14"/>
      <c r="AI4" s="153" t="s">
        <v>18</v>
      </c>
      <c r="BH4">
        <v>0</v>
      </c>
      <c r="BI4">
        <v>1</v>
      </c>
      <c r="BJ4" s="107">
        <f t="shared" ref="BJ4:BJ13" si="0">$H$25*H40</f>
        <v>1.5710760863666719E-2</v>
      </c>
      <c r="BL4">
        <v>0</v>
      </c>
      <c r="BM4">
        <v>0</v>
      </c>
      <c r="BN4" s="107">
        <f>H25*H39</f>
        <v>4.2098796242761435E-3</v>
      </c>
      <c r="BP4">
        <v>1</v>
      </c>
      <c r="BQ4">
        <v>0</v>
      </c>
      <c r="BR4" s="107">
        <f>$H$26*H39</f>
        <v>9.7454689573103614E-3</v>
      </c>
    </row>
    <row r="5" spans="1:70" x14ac:dyDescent="0.25">
      <c r="A5" s="183" t="s">
        <v>30</v>
      </c>
      <c r="B5" s="154">
        <v>352</v>
      </c>
      <c r="C5" s="154">
        <v>352</v>
      </c>
      <c r="E5" s="187" t="s">
        <v>31</v>
      </c>
      <c r="F5" s="162" t="s">
        <v>37</v>
      </c>
      <c r="G5" s="162">
        <v>12</v>
      </c>
      <c r="H5" s="10"/>
      <c r="I5" s="10"/>
      <c r="J5" s="161" t="s">
        <v>32</v>
      </c>
      <c r="K5" s="161">
        <v>12</v>
      </c>
      <c r="L5" s="10"/>
      <c r="M5" s="10"/>
      <c r="O5" s="67">
        <f>COUNTIF(F5:F10,"IMP")*AI5</f>
        <v>0.04</v>
      </c>
      <c r="P5" s="188" t="str">
        <f>P3</f>
        <v>0,6</v>
      </c>
      <c r="Q5" s="16">
        <f t="shared" ref="Q5:Q19" si="1">P5*O5</f>
        <v>2.4E-2</v>
      </c>
      <c r="R5" s="155">
        <f t="shared" ref="R5:R19" si="2">IF($M$2="SI",Q5*$B$22/0.5*$S$1,Q5*$B$22/0.5*$S$2)</f>
        <v>2.2736842105263156E-2</v>
      </c>
      <c r="S5" s="171">
        <f t="shared" ref="S5:S19" si="3">(1-R5)</f>
        <v>0.97726315789473683</v>
      </c>
      <c r="T5" s="172">
        <f>R5*PRODUCT(S6:S19)</f>
        <v>1.5462580558822462E-2</v>
      </c>
      <c r="U5" s="172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6.1646568708122991E-3</v>
      </c>
      <c r="V5" s="18"/>
      <c r="W5" s="181" t="s">
        <v>33</v>
      </c>
      <c r="X5" s="15" t="s">
        <v>34</v>
      </c>
      <c r="Y5" s="69">
        <f>COUNTIF(J5:J10,"IMP")*AI5</f>
        <v>0.2</v>
      </c>
      <c r="Z5" s="189" t="str">
        <f>Z3</f>
        <v>0,6</v>
      </c>
      <c r="AA5" s="19">
        <f t="shared" ref="AA5:AA19" si="4">Z5*Y5</f>
        <v>0.12</v>
      </c>
      <c r="AB5" s="155">
        <f t="shared" ref="AB5:AB19" si="5">IF($M$2="SI",AA5*$C$22/0.5*$S$1,AA5*$C$22/0.5*$S$2)</f>
        <v>0.12631578947368421</v>
      </c>
      <c r="AC5" s="171">
        <f t="shared" ref="AC5:AC19" si="6">(1-AB5)</f>
        <v>0.87368421052631584</v>
      </c>
      <c r="AD5" s="172">
        <f>AB5*PRODUCT(AC6:AC19)</f>
        <v>6.5180495192466478E-2</v>
      </c>
      <c r="AE5" s="172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4.6200306086421165E-2</v>
      </c>
      <c r="AF5" s="18"/>
      <c r="AI5" s="153">
        <v>0.04</v>
      </c>
      <c r="BH5">
        <v>0</v>
      </c>
      <c r="BI5">
        <v>2</v>
      </c>
      <c r="BJ5" s="107">
        <f t="shared" si="0"/>
        <v>2.7310783784979888E-2</v>
      </c>
      <c r="BL5">
        <v>1</v>
      </c>
      <c r="BM5">
        <v>1</v>
      </c>
      <c r="BN5" s="107">
        <f>$H$26*H40</f>
        <v>3.6368909792501833E-2</v>
      </c>
      <c r="BP5">
        <f>BP4+1</f>
        <v>2</v>
      </c>
      <c r="BQ5">
        <v>0</v>
      </c>
      <c r="BR5" s="107">
        <f>$H$27*H39</f>
        <v>1.0470909407618526E-2</v>
      </c>
    </row>
    <row r="6" spans="1:70" x14ac:dyDescent="0.25">
      <c r="A6" s="2" t="s">
        <v>35</v>
      </c>
      <c r="B6" s="163">
        <v>9</v>
      </c>
      <c r="C6" s="164">
        <v>10</v>
      </c>
      <c r="E6" s="187" t="s">
        <v>36</v>
      </c>
      <c r="F6" s="162" t="s">
        <v>32</v>
      </c>
      <c r="G6" s="162"/>
      <c r="H6" s="10"/>
      <c r="I6" s="10"/>
      <c r="J6" s="161" t="s">
        <v>37</v>
      </c>
      <c r="K6" s="161"/>
      <c r="L6" s="10"/>
      <c r="M6" s="10"/>
      <c r="O6" s="67">
        <f>COUNTIF(F11:F18,"IMP")*AI6</f>
        <v>0.04</v>
      </c>
      <c r="P6" s="188" t="str">
        <f>P3</f>
        <v>0,6</v>
      </c>
      <c r="Q6" s="16">
        <f t="shared" si="1"/>
        <v>2.4E-2</v>
      </c>
      <c r="R6" s="155">
        <f t="shared" si="2"/>
        <v>2.2736842105263156E-2</v>
      </c>
      <c r="S6" s="171">
        <f t="shared" si="3"/>
        <v>0.97726315789473683</v>
      </c>
      <c r="T6" s="172">
        <f>R6*S5*PRODUCT(S7:S19)</f>
        <v>1.5462580558822462E-2</v>
      </c>
      <c r="U6" s="172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5.8049070430757996E-3</v>
      </c>
      <c r="V6" s="18"/>
      <c r="W6" s="181" t="s">
        <v>38</v>
      </c>
      <c r="X6" s="15" t="s">
        <v>39</v>
      </c>
      <c r="Y6" s="69">
        <f>COUNTIF(J11:J18,"IMP")*AI6</f>
        <v>0.08</v>
      </c>
      <c r="Z6" s="189" t="str">
        <f>Z3</f>
        <v>0,6</v>
      </c>
      <c r="AA6" s="19">
        <f t="shared" si="4"/>
        <v>4.8000000000000001E-2</v>
      </c>
      <c r="AB6" s="155">
        <f t="shared" si="5"/>
        <v>5.052631578947369E-2</v>
      </c>
      <c r="AC6" s="171">
        <f t="shared" si="6"/>
        <v>0.94947368421052636</v>
      </c>
      <c r="AD6" s="172">
        <f>AB6*AC5*PRODUCT(AC7:AC19)</f>
        <v>2.3991047010974362E-2</v>
      </c>
      <c r="AE6" s="172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1.5728305281779445E-2</v>
      </c>
      <c r="AF6" s="18"/>
      <c r="AI6" s="153">
        <v>0.04</v>
      </c>
      <c r="BH6">
        <v>0</v>
      </c>
      <c r="BI6">
        <v>3</v>
      </c>
      <c r="BJ6" s="107">
        <f t="shared" si="0"/>
        <v>2.9377629484313671E-2</v>
      </c>
      <c r="BL6">
        <f>BH14+1</f>
        <v>2</v>
      </c>
      <c r="BM6">
        <v>2</v>
      </c>
      <c r="BN6" s="107">
        <f>$H$27*H41</f>
        <v>6.7928009441066028E-2</v>
      </c>
      <c r="BP6">
        <f>BL5+1</f>
        <v>2</v>
      </c>
      <c r="BQ6">
        <v>1</v>
      </c>
      <c r="BR6" s="107">
        <f>$H$27*H40</f>
        <v>3.9076165688822599E-2</v>
      </c>
    </row>
    <row r="7" spans="1:70" x14ac:dyDescent="0.25">
      <c r="A7" s="5" t="s">
        <v>40</v>
      </c>
      <c r="B7" s="163">
        <v>9</v>
      </c>
      <c r="C7" s="164">
        <v>8</v>
      </c>
      <c r="E7" s="187" t="s">
        <v>41</v>
      </c>
      <c r="F7" s="162"/>
      <c r="G7" s="162"/>
      <c r="H7" s="10"/>
      <c r="I7" s="10"/>
      <c r="J7" s="161" t="s">
        <v>37</v>
      </c>
      <c r="K7" s="161"/>
      <c r="L7" s="10"/>
      <c r="M7" s="10"/>
      <c r="O7" s="67"/>
      <c r="P7" s="188">
        <f>B30</f>
        <v>0.15</v>
      </c>
      <c r="Q7" s="16">
        <f t="shared" si="1"/>
        <v>0</v>
      </c>
      <c r="R7" s="155">
        <f t="shared" si="2"/>
        <v>0</v>
      </c>
      <c r="S7" s="171">
        <f t="shared" si="3"/>
        <v>1</v>
      </c>
      <c r="T7" s="172">
        <f>R7*PRODUCT(S5:S6)*PRODUCT(S8:S19)</f>
        <v>0</v>
      </c>
      <c r="U7" s="172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1" t="s">
        <v>152</v>
      </c>
      <c r="X7" s="15" t="s">
        <v>153</v>
      </c>
      <c r="Y7" s="69"/>
      <c r="Z7" s="189">
        <f>C30</f>
        <v>0.15</v>
      </c>
      <c r="AA7" s="19">
        <f t="shared" si="4"/>
        <v>0</v>
      </c>
      <c r="AB7" s="155">
        <f t="shared" si="5"/>
        <v>0</v>
      </c>
      <c r="AC7" s="171">
        <f t="shared" si="6"/>
        <v>1</v>
      </c>
      <c r="AD7" s="172">
        <f>AB7*PRODUCT(AC5:AC6)*PRODUCT(AC8:AC19)</f>
        <v>0</v>
      </c>
      <c r="AE7" s="172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I7" s="153">
        <v>0</v>
      </c>
      <c r="BH7">
        <v>0</v>
      </c>
      <c r="BI7">
        <v>4</v>
      </c>
      <c r="BJ7" s="107">
        <f t="shared" si="0"/>
        <v>2.1875343532560668E-2</v>
      </c>
      <c r="BL7">
        <f>BH23+1</f>
        <v>3</v>
      </c>
      <c r="BM7">
        <v>3</v>
      </c>
      <c r="BN7" s="107">
        <f>$H$28*H42</f>
        <v>4.8362110630153693E-2</v>
      </c>
      <c r="BP7">
        <f>BP5+1</f>
        <v>3</v>
      </c>
      <c r="BQ7">
        <v>0</v>
      </c>
      <c r="BR7" s="107">
        <f>$H$28*H39</f>
        <v>6.9303979831859888E-3</v>
      </c>
    </row>
    <row r="8" spans="1:70" x14ac:dyDescent="0.25">
      <c r="A8" s="5" t="s">
        <v>44</v>
      </c>
      <c r="B8" s="163">
        <v>9</v>
      </c>
      <c r="C8" s="164">
        <v>8</v>
      </c>
      <c r="E8" s="187" t="s">
        <v>41</v>
      </c>
      <c r="F8" s="162" t="s">
        <v>32</v>
      </c>
      <c r="G8" s="162"/>
      <c r="H8" s="10"/>
      <c r="I8" s="10"/>
      <c r="J8" s="161" t="s">
        <v>37</v>
      </c>
      <c r="K8" s="161"/>
      <c r="L8" s="10"/>
      <c r="M8" s="10"/>
      <c r="O8" s="67">
        <f>COUNTIF(F6:F18,"IMP")*AI8</f>
        <v>0.04</v>
      </c>
      <c r="P8" s="188" t="str">
        <f>P3</f>
        <v>0,6</v>
      </c>
      <c r="Q8" s="16">
        <f t="shared" si="1"/>
        <v>2.4E-2</v>
      </c>
      <c r="R8" s="155">
        <f t="shared" si="2"/>
        <v>2.2736842105263156E-2</v>
      </c>
      <c r="S8" s="171">
        <f t="shared" si="3"/>
        <v>0.97726315789473683</v>
      </c>
      <c r="T8" s="172">
        <f>R8*PRODUCT(S5:S7)*PRODUCT(S9:S19)</f>
        <v>1.5462580558822464E-2</v>
      </c>
      <c r="U8" s="172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5.4451572153393019E-3</v>
      </c>
      <c r="W8" s="181" t="s">
        <v>45</v>
      </c>
      <c r="X8" s="15" t="s">
        <v>46</v>
      </c>
      <c r="Y8" s="69">
        <f>COUNTIF(J6:J18,"IMP")*AI8</f>
        <v>0.28000000000000003</v>
      </c>
      <c r="Z8" s="189" t="str">
        <f>Z3</f>
        <v>0,6</v>
      </c>
      <c r="AA8" s="19">
        <f t="shared" si="4"/>
        <v>0.16800000000000001</v>
      </c>
      <c r="AB8" s="155">
        <f t="shared" si="5"/>
        <v>0.17684210526315794</v>
      </c>
      <c r="AC8" s="171">
        <f t="shared" si="6"/>
        <v>0.82315789473684209</v>
      </c>
      <c r="AD8" s="172">
        <f>AB8*PRODUCT(AC5:AC7)*PRODUCT(AC9:AC19)</f>
        <v>9.6853881603127953E-2</v>
      </c>
      <c r="AE8" s="172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4.2689012359657573E-2</v>
      </c>
      <c r="AI8" s="153">
        <v>0.04</v>
      </c>
      <c r="BH8">
        <v>0</v>
      </c>
      <c r="BI8">
        <v>5</v>
      </c>
      <c r="BJ8" s="107">
        <f t="shared" si="0"/>
        <v>1.192809961349613E-2</v>
      </c>
      <c r="BL8">
        <f>BH31+1</f>
        <v>4</v>
      </c>
      <c r="BM8">
        <v>4</v>
      </c>
      <c r="BN8" s="107">
        <f>$H$29*H43</f>
        <v>1.6424231496534585E-2</v>
      </c>
      <c r="BP8">
        <f>BP6+1</f>
        <v>3</v>
      </c>
      <c r="BQ8">
        <v>1</v>
      </c>
      <c r="BR8" s="107">
        <f>$H$28*H40</f>
        <v>2.5863405874127481E-2</v>
      </c>
    </row>
    <row r="9" spans="1:70" x14ac:dyDescent="0.25">
      <c r="A9" s="5" t="s">
        <v>47</v>
      </c>
      <c r="B9" s="163">
        <v>9</v>
      </c>
      <c r="C9" s="164">
        <v>8</v>
      </c>
      <c r="E9" s="187" t="s">
        <v>41</v>
      </c>
      <c r="F9" s="162"/>
      <c r="G9" s="162"/>
      <c r="H9" s="10"/>
      <c r="I9" s="10"/>
      <c r="J9" s="161" t="s">
        <v>37</v>
      </c>
      <c r="K9" s="161"/>
      <c r="L9" s="10"/>
      <c r="M9" s="10"/>
      <c r="O9" s="67">
        <f>COUNTIF(J6:J13,"IMP")*AI9</f>
        <v>0.125</v>
      </c>
      <c r="P9" s="188" t="str">
        <f>Z3</f>
        <v>0,6</v>
      </c>
      <c r="Q9" s="16">
        <f t="shared" si="1"/>
        <v>7.4999999999999997E-2</v>
      </c>
      <c r="R9" s="155">
        <f t="shared" si="2"/>
        <v>7.1052631578947367E-2</v>
      </c>
      <c r="S9" s="171">
        <f t="shared" si="3"/>
        <v>0.92894736842105263</v>
      </c>
      <c r="T9" s="172">
        <f>R9*PRODUCT(S5:S8)*PRODUCT(S10:S19)</f>
        <v>5.0833781128933352E-2</v>
      </c>
      <c r="U9" s="172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1.4013010928952015E-2</v>
      </c>
      <c r="W9" s="182" t="s">
        <v>48</v>
      </c>
      <c r="X9" s="15" t="s">
        <v>49</v>
      </c>
      <c r="Y9" s="69">
        <f>COUNTIF(F6:F13,"IMP")*AI9</f>
        <v>2.5000000000000001E-2</v>
      </c>
      <c r="Z9" s="189" t="str">
        <f>P3</f>
        <v>0,6</v>
      </c>
      <c r="AA9" s="19">
        <f t="shared" si="4"/>
        <v>1.4999999999999999E-2</v>
      </c>
      <c r="AB9" s="155">
        <f t="shared" si="5"/>
        <v>1.5789473684210527E-2</v>
      </c>
      <c r="AC9" s="171">
        <f t="shared" si="6"/>
        <v>0.98421052631578942</v>
      </c>
      <c r="AD9" s="172">
        <f>AB9*PRODUCT(AC5:AC8)*PRODUCT(AC10:AC19)</f>
        <v>7.2325950547790351E-3</v>
      </c>
      <c r="AE9" s="172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3.0717849213186916E-3</v>
      </c>
      <c r="AI9" s="153">
        <v>2.5000000000000001E-2</v>
      </c>
      <c r="BH9">
        <v>0</v>
      </c>
      <c r="BI9">
        <v>6</v>
      </c>
      <c r="BJ9" s="107">
        <f t="shared" si="0"/>
        <v>4.9030419901580176E-3</v>
      </c>
      <c r="BL9">
        <f>BH38+1</f>
        <v>5</v>
      </c>
      <c r="BM9">
        <v>5</v>
      </c>
      <c r="BN9" s="107">
        <f>$H$30*H44</f>
        <v>2.9800808497183564E-3</v>
      </c>
      <c r="BP9">
        <f>BL6+1</f>
        <v>3</v>
      </c>
      <c r="BQ9">
        <v>2</v>
      </c>
      <c r="BR9" s="107">
        <f>$H$28*H41</f>
        <v>4.4959623018959255E-2</v>
      </c>
    </row>
    <row r="10" spans="1:70" x14ac:dyDescent="0.25">
      <c r="A10" s="6" t="s">
        <v>50</v>
      </c>
      <c r="B10" s="163">
        <v>7</v>
      </c>
      <c r="C10" s="164">
        <v>8</v>
      </c>
      <c r="E10" s="187" t="s">
        <v>36</v>
      </c>
      <c r="F10" s="162" t="s">
        <v>2</v>
      </c>
      <c r="G10" s="162"/>
      <c r="H10" s="10"/>
      <c r="I10" s="10"/>
      <c r="J10" s="161" t="s">
        <v>37</v>
      </c>
      <c r="K10" s="161"/>
      <c r="L10" s="10"/>
      <c r="M10" s="10"/>
      <c r="O10" s="67">
        <f>COUNTIF(F11:F18,"RAP")*AI10</f>
        <v>0.12</v>
      </c>
      <c r="P10" s="188" t="str">
        <f>R3</f>
        <v>0,72</v>
      </c>
      <c r="Q10" s="16">
        <f t="shared" si="1"/>
        <v>8.6399999999999991E-2</v>
      </c>
      <c r="R10" s="155">
        <f t="shared" si="2"/>
        <v>8.1852631578947357E-2</v>
      </c>
      <c r="S10" s="171">
        <f t="shared" si="3"/>
        <v>0.9181473684210526</v>
      </c>
      <c r="T10" s="172">
        <f>R10*PRODUCT(S5:S9)*PRODUCT(S11:S19)</f>
        <v>5.9249352525587905E-2</v>
      </c>
      <c r="U10" s="172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1.105080915621854E-2</v>
      </c>
      <c r="W10" s="181" t="s">
        <v>51</v>
      </c>
      <c r="X10" s="15" t="s">
        <v>52</v>
      </c>
      <c r="Y10" s="69">
        <f>COUNTIF(J11:J18,"RAP")*AI10</f>
        <v>0.18</v>
      </c>
      <c r="Z10" s="189" t="str">
        <f>AB3</f>
        <v>0,72</v>
      </c>
      <c r="AA10" s="19">
        <f t="shared" si="4"/>
        <v>0.12959999999999999</v>
      </c>
      <c r="AB10" s="155">
        <f t="shared" si="5"/>
        <v>0.13642105263157897</v>
      </c>
      <c r="AC10" s="171">
        <f t="shared" si="6"/>
        <v>0.863578947368421</v>
      </c>
      <c r="AD10" s="172">
        <f>AB10*PRODUCT(AC5:AC9)*PRODUCT(AC11:AC19)</f>
        <v>7.1218668808540914E-2</v>
      </c>
      <c r="AE10" s="172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1.8997035386145802E-2</v>
      </c>
      <c r="AI10" s="153">
        <v>0.06</v>
      </c>
      <c r="BH10">
        <v>0</v>
      </c>
      <c r="BI10">
        <v>7</v>
      </c>
      <c r="BJ10" s="107">
        <f t="shared" si="0"/>
        <v>1.5374619379472027E-3</v>
      </c>
      <c r="BL10">
        <f>BH44+1</f>
        <v>6</v>
      </c>
      <c r="BM10">
        <v>6</v>
      </c>
      <c r="BN10" s="107">
        <f>$H$31*H45</f>
        <v>3.0672599812041091E-4</v>
      </c>
      <c r="BP10">
        <f>BP7+1</f>
        <v>4</v>
      </c>
      <c r="BQ10">
        <v>0</v>
      </c>
      <c r="BR10" s="107">
        <f>$H$29*H39</f>
        <v>3.1608206480843145E-3</v>
      </c>
    </row>
    <row r="11" spans="1:70" x14ac:dyDescent="0.25">
      <c r="A11" s="6" t="s">
        <v>53</v>
      </c>
      <c r="B11" s="163">
        <v>7</v>
      </c>
      <c r="C11" s="164">
        <v>8</v>
      </c>
      <c r="E11" s="187" t="s">
        <v>54</v>
      </c>
      <c r="F11" s="162" t="s">
        <v>37</v>
      </c>
      <c r="G11" s="162"/>
      <c r="H11" s="10"/>
      <c r="I11" s="10"/>
      <c r="J11" s="161" t="s">
        <v>1</v>
      </c>
      <c r="K11" s="161"/>
      <c r="L11" s="10"/>
      <c r="M11" s="10"/>
      <c r="O11" s="67">
        <f>COUNTIF(F11:F18,"RAP")*AI11</f>
        <v>0.12</v>
      </c>
      <c r="P11" s="188" t="str">
        <f>R3</f>
        <v>0,72</v>
      </c>
      <c r="Q11" s="16">
        <f t="shared" si="1"/>
        <v>8.6399999999999991E-2</v>
      </c>
      <c r="R11" s="155">
        <f t="shared" si="2"/>
        <v>8.1852631578947357E-2</v>
      </c>
      <c r="S11" s="171">
        <f t="shared" si="3"/>
        <v>0.9181473684210526</v>
      </c>
      <c r="T11" s="172">
        <f>R11*PRODUCT(S5:S10)*PRODUCT(S12:S19)</f>
        <v>5.9249352525587898E-2</v>
      </c>
      <c r="U11" s="172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5.7687426924130317E-3</v>
      </c>
      <c r="W11" s="181" t="s">
        <v>55</v>
      </c>
      <c r="X11" s="15" t="s">
        <v>56</v>
      </c>
      <c r="Y11" s="69">
        <f>COUNTIF(J11:J18,"RAP")*AI11</f>
        <v>0.18</v>
      </c>
      <c r="Z11" s="189" t="str">
        <f>AB3</f>
        <v>0,72</v>
      </c>
      <c r="AA11" s="19">
        <f t="shared" si="4"/>
        <v>0.12959999999999999</v>
      </c>
      <c r="AB11" s="155">
        <f t="shared" si="5"/>
        <v>0.13642105263157897</v>
      </c>
      <c r="AC11" s="171">
        <f t="shared" si="6"/>
        <v>0.863578947368421</v>
      </c>
      <c r="AD11" s="172">
        <f>AB11*PRODUCT(AC5:AC10)*PRODUCT(AC12:AC19)</f>
        <v>7.1218668808540914E-2</v>
      </c>
      <c r="AE11" s="172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7.746499699179803E-3</v>
      </c>
      <c r="AI11" s="153">
        <v>0.06</v>
      </c>
      <c r="BH11">
        <v>0</v>
      </c>
      <c r="BI11">
        <v>8</v>
      </c>
      <c r="BJ11" s="107">
        <f t="shared" si="0"/>
        <v>3.6724810127541869E-4</v>
      </c>
      <c r="BL11">
        <f>BH50+1</f>
        <v>7</v>
      </c>
      <c r="BM11">
        <v>7</v>
      </c>
      <c r="BN11" s="107">
        <f>$H$32*H46</f>
        <v>1.838762597856114E-5</v>
      </c>
      <c r="BP11">
        <f>BP8+1</f>
        <v>4</v>
      </c>
      <c r="BQ11">
        <v>1</v>
      </c>
      <c r="BR11" s="107">
        <f>$H$29*H40</f>
        <v>1.1795799824925205E-2</v>
      </c>
    </row>
    <row r="12" spans="1:70" x14ac:dyDescent="0.25">
      <c r="A12" s="6" t="s">
        <v>57</v>
      </c>
      <c r="B12" s="163">
        <v>7</v>
      </c>
      <c r="C12" s="164">
        <v>8</v>
      </c>
      <c r="E12" s="187" t="s">
        <v>54</v>
      </c>
      <c r="F12" s="162" t="s">
        <v>2</v>
      </c>
      <c r="G12" s="162"/>
      <c r="H12" s="10"/>
      <c r="I12" s="10"/>
      <c r="J12" s="161"/>
      <c r="K12" s="161"/>
      <c r="L12" s="10"/>
      <c r="M12" s="10"/>
      <c r="O12" s="67"/>
      <c r="P12" s="188">
        <v>0.5</v>
      </c>
      <c r="Q12" s="16">
        <f t="shared" si="1"/>
        <v>0</v>
      </c>
      <c r="R12" s="155">
        <f t="shared" si="2"/>
        <v>0</v>
      </c>
      <c r="S12" s="171">
        <f t="shared" si="3"/>
        <v>1</v>
      </c>
      <c r="T12" s="172">
        <f>R12*PRODUCT(S5:S11)*PRODUCT(S13:S19)</f>
        <v>0</v>
      </c>
      <c r="U12" s="172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2" t="s">
        <v>58</v>
      </c>
      <c r="X12" s="15" t="s">
        <v>59</v>
      </c>
      <c r="Y12" s="69"/>
      <c r="Z12" s="189">
        <v>0.5</v>
      </c>
      <c r="AA12" s="19">
        <f t="shared" si="4"/>
        <v>0</v>
      </c>
      <c r="AB12" s="155">
        <f t="shared" si="5"/>
        <v>0</v>
      </c>
      <c r="AC12" s="171">
        <f t="shared" si="6"/>
        <v>1</v>
      </c>
      <c r="AD12" s="172">
        <f>AB12*PRODUCT(AC5:AC11)*PRODUCT(AC13:AC19)</f>
        <v>0</v>
      </c>
      <c r="AE12" s="172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I12" s="153">
        <v>0</v>
      </c>
      <c r="BH12">
        <v>0</v>
      </c>
      <c r="BI12">
        <v>9</v>
      </c>
      <c r="BJ12" s="107">
        <f t="shared" si="0"/>
        <v>6.5868638185525192E-5</v>
      </c>
      <c r="BL12">
        <f>BH54+1</f>
        <v>8</v>
      </c>
      <c r="BM12">
        <v>8</v>
      </c>
      <c r="BN12" s="107">
        <f>$H$33*H47</f>
        <v>6.4208908520440627E-7</v>
      </c>
      <c r="BP12">
        <f>BP9+1</f>
        <v>4</v>
      </c>
      <c r="BQ12">
        <v>2</v>
      </c>
      <c r="BR12" s="107">
        <f>$H$29*H41</f>
        <v>2.0505215589810017E-2</v>
      </c>
    </row>
    <row r="13" spans="1:70" x14ac:dyDescent="0.25">
      <c r="A13" s="7" t="s">
        <v>60</v>
      </c>
      <c r="B13" s="163">
        <v>11</v>
      </c>
      <c r="C13" s="164">
        <v>12.5</v>
      </c>
      <c r="E13" s="187" t="s">
        <v>54</v>
      </c>
      <c r="F13" s="162" t="s">
        <v>32</v>
      </c>
      <c r="G13" s="162"/>
      <c r="H13" s="10"/>
      <c r="I13" s="10"/>
      <c r="J13" s="161"/>
      <c r="K13" s="161"/>
      <c r="L13" s="10"/>
      <c r="M13" s="10"/>
      <c r="O13" s="67">
        <f>AI13</f>
        <v>0.125</v>
      </c>
      <c r="P13" s="188" t="str">
        <f>P2</f>
        <v>0,4</v>
      </c>
      <c r="Q13" s="16">
        <f t="shared" si="1"/>
        <v>0.05</v>
      </c>
      <c r="R13" s="155">
        <f t="shared" si="2"/>
        <v>4.736842105263158E-2</v>
      </c>
      <c r="S13" s="171">
        <f t="shared" si="3"/>
        <v>0.95263157894736838</v>
      </c>
      <c r="T13" s="172">
        <f>R13*PRODUCT(S5:S12)*PRODUCT(S14:S19)</f>
        <v>3.3046638560798293E-2</v>
      </c>
      <c r="U13" s="172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1.5743436103071084E-3</v>
      </c>
      <c r="W13" s="181" t="s">
        <v>61</v>
      </c>
      <c r="X13" s="15" t="s">
        <v>62</v>
      </c>
      <c r="Y13" s="69">
        <f>AI13</f>
        <v>0.125</v>
      </c>
      <c r="Z13" s="189" t="str">
        <f>Z2</f>
        <v>0,4</v>
      </c>
      <c r="AA13" s="19">
        <f t="shared" si="4"/>
        <v>0.05</v>
      </c>
      <c r="AB13" s="155">
        <f t="shared" si="5"/>
        <v>5.2631578947368432E-2</v>
      </c>
      <c r="AC13" s="171">
        <f t="shared" si="6"/>
        <v>0.94736842105263153</v>
      </c>
      <c r="AD13" s="172">
        <f>AB13*PRODUCT(AC5:AC12)*PRODUCT(AC14:AC19)</f>
        <v>2.5046208800808885E-2</v>
      </c>
      <c r="AE13" s="172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1.3328359450541314E-3</v>
      </c>
      <c r="AI13" s="153">
        <v>0.125</v>
      </c>
      <c r="BH13">
        <v>0</v>
      </c>
      <c r="BI13">
        <v>10</v>
      </c>
      <c r="BJ13" s="107">
        <f t="shared" si="0"/>
        <v>8.6049888980214087E-6</v>
      </c>
      <c r="BL13">
        <f>BH57+1</f>
        <v>9</v>
      </c>
      <c r="BM13">
        <v>9</v>
      </c>
      <c r="BN13" s="107">
        <f>$H$34*H48</f>
        <v>1.2727679298407143E-8</v>
      </c>
      <c r="BP13">
        <f>BL7+1</f>
        <v>4</v>
      </c>
      <c r="BQ13">
        <v>3</v>
      </c>
      <c r="BR13" s="107">
        <f>$H$29*H42</f>
        <v>2.205702446462595E-2</v>
      </c>
    </row>
    <row r="14" spans="1:70" x14ac:dyDescent="0.25">
      <c r="A14" s="7" t="s">
        <v>63</v>
      </c>
      <c r="B14" s="163">
        <v>9</v>
      </c>
      <c r="C14" s="164">
        <v>10.75</v>
      </c>
      <c r="E14" s="187" t="s">
        <v>64</v>
      </c>
      <c r="F14" s="162" t="s">
        <v>1</v>
      </c>
      <c r="G14" s="162"/>
      <c r="H14" s="10"/>
      <c r="I14" s="10"/>
      <c r="J14" s="161" t="s">
        <v>37</v>
      </c>
      <c r="K14" s="161"/>
      <c r="L14" s="10"/>
      <c r="M14" s="10"/>
      <c r="O14" s="67">
        <f>IF(COUNTIF(F6:F18,"CAB")&gt;0,AI14,0)</f>
        <v>0</v>
      </c>
      <c r="P14" s="188">
        <f>IF(COUNTIF(F6:F18,"CAB")-COUNTIF(J6:J18,"CAB")&gt;0,0.85,IF(COUNTIF(F6:F18,"CAB")-COUNTIF(J6:J18,"CAB")=0,0.5,0.25))</f>
        <v>0.5</v>
      </c>
      <c r="Q14" s="16">
        <f t="shared" si="1"/>
        <v>0</v>
      </c>
      <c r="R14" s="155">
        <f t="shared" si="2"/>
        <v>0</v>
      </c>
      <c r="S14" s="171">
        <f t="shared" si="3"/>
        <v>1</v>
      </c>
      <c r="T14" s="172">
        <f>R14*PRODUCT(S5:S13)*PRODUCT(S15:S19)</f>
        <v>0</v>
      </c>
      <c r="U14" s="172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1" t="s">
        <v>65</v>
      </c>
      <c r="X14" s="15" t="s">
        <v>66</v>
      </c>
      <c r="Y14" s="69">
        <f>IF(COUNTIF(J6:J18,"CAB")&gt;0,AI14,0)</f>
        <v>0</v>
      </c>
      <c r="Z14" s="189">
        <f>IF(COUNTIF(J6:J18,"CAB")-COUNTIF(F6:F18,"CAB")&gt;0,0.85,IF(COUNTIF(J6:J18,"CAB")-COUNTIF(F6:F18,"CAB")=0,0.5,0.25))</f>
        <v>0.5</v>
      </c>
      <c r="AA14" s="19">
        <f t="shared" si="4"/>
        <v>0</v>
      </c>
      <c r="AB14" s="155">
        <f t="shared" si="5"/>
        <v>0</v>
      </c>
      <c r="AC14" s="171">
        <f t="shared" si="6"/>
        <v>1</v>
      </c>
      <c r="AD14" s="172">
        <f>AB14*PRODUCT(AC5:AC13)*PRODUCT(AC15:AC19)</f>
        <v>0</v>
      </c>
      <c r="AE14" s="172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0</v>
      </c>
      <c r="AI14" s="153">
        <v>0.125</v>
      </c>
      <c r="BH14">
        <v>1</v>
      </c>
      <c r="BI14">
        <v>2</v>
      </c>
      <c r="BJ14" s="107">
        <f t="shared" ref="BJ14:BJ22" si="7">$H$26*H41</f>
        <v>6.3221854145556533E-2</v>
      </c>
      <c r="BL14">
        <f>BP39+1</f>
        <v>10</v>
      </c>
      <c r="BM14">
        <v>10</v>
      </c>
      <c r="BN14" s="107">
        <f>$H$35*H49</f>
        <v>1.3514223913083559E-10</v>
      </c>
      <c r="BP14">
        <f>BP10+1</f>
        <v>5</v>
      </c>
      <c r="BQ14">
        <v>0</v>
      </c>
      <c r="BR14" s="107">
        <f>$H$30*H39</f>
        <v>1.0517837756594383E-3</v>
      </c>
    </row>
    <row r="15" spans="1:70" x14ac:dyDescent="0.25">
      <c r="A15" s="184" t="s">
        <v>67</v>
      </c>
      <c r="B15" s="165">
        <v>7.75</v>
      </c>
      <c r="C15" s="166">
        <v>8.25</v>
      </c>
      <c r="E15" s="187" t="s">
        <v>64</v>
      </c>
      <c r="F15" s="162" t="s">
        <v>1</v>
      </c>
      <c r="G15" s="162"/>
      <c r="H15" s="10"/>
      <c r="I15" s="10"/>
      <c r="J15" s="161" t="s">
        <v>37</v>
      </c>
      <c r="K15" s="161"/>
      <c r="L15" s="10"/>
      <c r="M15" s="10"/>
      <c r="O15" s="67"/>
      <c r="P15" s="188">
        <v>0.5</v>
      </c>
      <c r="Q15" s="16">
        <f t="shared" si="1"/>
        <v>0</v>
      </c>
      <c r="R15" s="155">
        <f t="shared" si="2"/>
        <v>0</v>
      </c>
      <c r="S15" s="171">
        <f t="shared" si="3"/>
        <v>1</v>
      </c>
      <c r="T15" s="172">
        <f>R15*PRODUCT(S5:S14)*PRODUCT(S16:S19)</f>
        <v>0</v>
      </c>
      <c r="U15" s="172">
        <f>R15*R16*PRODUCT(S5:S14)*PRODUCT(S17:S19)+R15*R17*PRODUCT(S5:S14)*S16*PRODUCT(S18:S19)+R15*R18*PRODUCT(S5:S14)*S16*S17*S19+R15*R19*PRODUCT(S5:S14)*S16*S17*S18</f>
        <v>0</v>
      </c>
      <c r="W15" s="181" t="s">
        <v>68</v>
      </c>
      <c r="X15" s="15" t="s">
        <v>69</v>
      </c>
      <c r="Y15" s="69"/>
      <c r="Z15" s="189">
        <v>0.5</v>
      </c>
      <c r="AA15" s="19">
        <f t="shared" si="4"/>
        <v>0</v>
      </c>
      <c r="AB15" s="155">
        <f t="shared" si="5"/>
        <v>0</v>
      </c>
      <c r="AC15" s="171">
        <f t="shared" si="6"/>
        <v>1</v>
      </c>
      <c r="AD15" s="172">
        <f>AB15*PRODUCT(AC5:AC14)*PRODUCT(AC16:AC19)</f>
        <v>0</v>
      </c>
      <c r="AE15" s="172">
        <f>AB15*AB16*PRODUCT(AC5:AC14)*PRODUCT(AC17:AC19)+AB15*AB17*PRODUCT(AC5:AC14)*AC16*PRODUCT(AC18:AC19)+AB15*AB18*PRODUCT(AC5:AC14)*AC16*AC17*AC19+AB15*AB19*PRODUCT(AC5:AC14)*AC16*AC17*AC18</f>
        <v>0</v>
      </c>
      <c r="AI15" s="153">
        <v>0</v>
      </c>
      <c r="BH15">
        <v>1</v>
      </c>
      <c r="BI15">
        <v>3</v>
      </c>
      <c r="BJ15" s="107">
        <f t="shared" si="7"/>
        <v>6.8006404394038086E-2</v>
      </c>
      <c r="BP15">
        <f>BP11+1</f>
        <v>5</v>
      </c>
      <c r="BQ15">
        <v>1</v>
      </c>
      <c r="BR15" s="107">
        <f>$H$30*H40</f>
        <v>3.9251296603311199E-3</v>
      </c>
    </row>
    <row r="16" spans="1:70" x14ac:dyDescent="0.25">
      <c r="A16" s="184" t="s">
        <v>70</v>
      </c>
      <c r="B16" s="52">
        <f>AVERAGE(G5:G18)</f>
        <v>12</v>
      </c>
      <c r="C16" s="54">
        <f>AVERAGE(K5:K18)</f>
        <v>12</v>
      </c>
      <c r="E16" s="187" t="s">
        <v>71</v>
      </c>
      <c r="F16" s="162" t="s">
        <v>32</v>
      </c>
      <c r="G16" s="162"/>
      <c r="H16" s="10"/>
      <c r="I16" s="10"/>
      <c r="J16" s="161" t="s">
        <v>1</v>
      </c>
      <c r="K16" s="161"/>
      <c r="L16" s="10"/>
      <c r="M16" s="10"/>
      <c r="O16" s="67"/>
      <c r="P16" s="188">
        <v>0.25</v>
      </c>
      <c r="Q16" s="16">
        <f t="shared" si="1"/>
        <v>0</v>
      </c>
      <c r="R16" s="155">
        <f t="shared" si="2"/>
        <v>0</v>
      </c>
      <c r="S16" s="171">
        <f t="shared" si="3"/>
        <v>1</v>
      </c>
      <c r="T16" s="172">
        <f>R16*PRODUCT(S5:S15)*PRODUCT(S17:S19)</f>
        <v>0</v>
      </c>
      <c r="U16" s="172">
        <f>R16*R17*PRODUCT(S5:S15)*PRODUCT(S18:S19)+R16*R18*PRODUCT(S5:S15)*S17*S19+R16*R19*PRODUCT(S5:S15)*S17*S18</f>
        <v>0</v>
      </c>
      <c r="W16" s="182" t="s">
        <v>72</v>
      </c>
      <c r="X16" s="15" t="s">
        <v>73</v>
      </c>
      <c r="Y16" s="69"/>
      <c r="Z16" s="189">
        <v>0.25</v>
      </c>
      <c r="AA16" s="19">
        <f t="shared" si="4"/>
        <v>0</v>
      </c>
      <c r="AB16" s="155">
        <f t="shared" si="5"/>
        <v>0</v>
      </c>
      <c r="AC16" s="171">
        <f t="shared" si="6"/>
        <v>1</v>
      </c>
      <c r="AD16" s="172">
        <f>AB16*PRODUCT(AC5:AC15)*PRODUCT(AC17:AC19)</f>
        <v>0</v>
      </c>
      <c r="AE16" s="172">
        <f>AB16*AB17*PRODUCT(AC5:AC15)*PRODUCT(AC18:AC19)+AB16*AB18*PRODUCT(AC5:AC15)*AC17*AC19+AB16*AB19*PRODUCT(AC5:AC15)*AC17*AC18</f>
        <v>0</v>
      </c>
      <c r="AI16" s="153">
        <v>0</v>
      </c>
      <c r="BH16">
        <v>1</v>
      </c>
      <c r="BI16">
        <v>4</v>
      </c>
      <c r="BJ16" s="107">
        <f t="shared" si="7"/>
        <v>5.0639329471023911E-2</v>
      </c>
      <c r="BP16">
        <f>BP12+1</f>
        <v>5</v>
      </c>
      <c r="BQ16">
        <v>2</v>
      </c>
      <c r="BR16" s="107">
        <f>$H$30*H41</f>
        <v>6.82324480727255E-3</v>
      </c>
    </row>
    <row r="17" spans="1:70" x14ac:dyDescent="0.25">
      <c r="A17" s="183" t="s">
        <v>74</v>
      </c>
      <c r="B17" s="167" t="s">
        <v>75</v>
      </c>
      <c r="C17" s="168" t="s">
        <v>75</v>
      </c>
      <c r="E17" s="187" t="s">
        <v>71</v>
      </c>
      <c r="F17" s="162" t="s">
        <v>32</v>
      </c>
      <c r="G17" s="162"/>
      <c r="H17" s="10"/>
      <c r="I17" s="10"/>
      <c r="J17" s="161"/>
      <c r="K17" s="161"/>
      <c r="L17" s="10"/>
      <c r="M17" s="10"/>
      <c r="O17" s="67">
        <f>(AI17*2)*IF(COUNTBLANK(F14:F15)&lt;&gt;0,(2-COUNTBLANK(F14:F15))/2,1)</f>
        <v>0.08</v>
      </c>
      <c r="P17" s="188" t="str">
        <f>P3</f>
        <v>0,6</v>
      </c>
      <c r="Q17" s="16">
        <f t="shared" si="1"/>
        <v>4.8000000000000001E-2</v>
      </c>
      <c r="R17" s="155">
        <f t="shared" si="2"/>
        <v>4.5473684210526312E-2</v>
      </c>
      <c r="S17" s="171">
        <f t="shared" si="3"/>
        <v>0.95452631578947367</v>
      </c>
      <c r="T17" s="172">
        <f>R17*PRODUCT(S5:S16)*PRODUCT(S18:S19)</f>
        <v>3.1661799273954072E-2</v>
      </c>
      <c r="U17" s="172">
        <f>R17*R18*PRODUCT(S5:S16)*S19+R17*R19*PRODUCT(S5:S16)*S18</f>
        <v>0</v>
      </c>
      <c r="W17" s="181" t="s">
        <v>76</v>
      </c>
      <c r="X17" s="15" t="s">
        <v>77</v>
      </c>
      <c r="Y17" s="69">
        <f>(AI17*2)*IF(COUNTBLANK(J14:J15)&lt;&gt;0,(2-COUNTBLANK(J14:J15))/2,1)</f>
        <v>0.08</v>
      </c>
      <c r="Z17" s="189" t="str">
        <f>Z3</f>
        <v>0,6</v>
      </c>
      <c r="AA17" s="19">
        <f t="shared" si="4"/>
        <v>4.8000000000000001E-2</v>
      </c>
      <c r="AB17" s="155">
        <f t="shared" si="5"/>
        <v>5.052631578947369E-2</v>
      </c>
      <c r="AC17" s="171">
        <f t="shared" si="6"/>
        <v>0.94947368421052636</v>
      </c>
      <c r="AD17" s="172">
        <f>AB17*PRODUCT(AC5:AC16)*PRODUCT(AC18:AC19)</f>
        <v>2.3991047010974358E-2</v>
      </c>
      <c r="AE17" s="172">
        <f>AB17*AB18*PRODUCT(AC5:AC16)*AC19+AB17*AB19*PRODUCT(AC5:AC16)*AC18</f>
        <v>0</v>
      </c>
      <c r="AI17" s="153">
        <v>0.04</v>
      </c>
      <c r="BH17">
        <v>1</v>
      </c>
      <c r="BI17">
        <v>5</v>
      </c>
      <c r="BJ17" s="107">
        <f t="shared" si="7"/>
        <v>2.7612410538465144E-2</v>
      </c>
      <c r="BP17">
        <f>BP13+1</f>
        <v>5</v>
      </c>
      <c r="BQ17">
        <v>3</v>
      </c>
      <c r="BR17" s="107">
        <f>$H$30*H42</f>
        <v>7.3396193755179643E-3</v>
      </c>
    </row>
    <row r="18" spans="1:70" x14ac:dyDescent="0.25">
      <c r="A18" s="183" t="s">
        <v>78</v>
      </c>
      <c r="B18" s="167">
        <v>20</v>
      </c>
      <c r="C18" s="168">
        <v>20</v>
      </c>
      <c r="E18" s="187" t="s">
        <v>71</v>
      </c>
      <c r="F18" s="162" t="s">
        <v>32</v>
      </c>
      <c r="G18" s="162"/>
      <c r="H18" s="10"/>
      <c r="I18" s="10"/>
      <c r="J18" s="161" t="s">
        <v>1</v>
      </c>
      <c r="K18" s="161"/>
      <c r="L18" s="10"/>
      <c r="M18" s="10"/>
      <c r="O18" s="67">
        <f>IF(COUNTIF(F14:F18,"CAB")&gt;0,(AI18*2)*IF(COUNTBLANK(F14:F15)&lt;&gt;0,(2-COUNTBLANK(F14:F15))/2,1),0)</f>
        <v>0</v>
      </c>
      <c r="P18" s="188">
        <v>0.95</v>
      </c>
      <c r="Q18" s="16">
        <f t="shared" si="1"/>
        <v>0</v>
      </c>
      <c r="R18" s="155">
        <f t="shared" si="2"/>
        <v>0</v>
      </c>
      <c r="S18" s="171">
        <f t="shared" si="3"/>
        <v>1</v>
      </c>
      <c r="T18" s="172">
        <f>R18*PRODUCT(S5:S17)*PRODUCT(S19)</f>
        <v>0</v>
      </c>
      <c r="U18" s="172">
        <f>R18*R19*PRODUCT(S5:S17)</f>
        <v>0</v>
      </c>
      <c r="W18" s="181" t="s">
        <v>79</v>
      </c>
      <c r="X18" s="15" t="s">
        <v>80</v>
      </c>
      <c r="Y18" s="69">
        <f>IF(COUNTIF(J14:J18,"CAB")&gt;0,(AI18*2)*IF(COUNTBLANK(J14:J15)&lt;&gt;0,(2-COUNTBLANK(J14:J15))/2,1),0)</f>
        <v>0</v>
      </c>
      <c r="Z18" s="189">
        <v>0.95</v>
      </c>
      <c r="AA18" s="19">
        <f t="shared" si="4"/>
        <v>0</v>
      </c>
      <c r="AB18" s="155">
        <f t="shared" si="5"/>
        <v>0</v>
      </c>
      <c r="AC18" s="171">
        <f t="shared" si="6"/>
        <v>1</v>
      </c>
      <c r="AD18" s="172">
        <f>AB18*PRODUCT(AC5:AC17)*PRODUCT(AC19)</f>
        <v>0</v>
      </c>
      <c r="AE18" s="172">
        <f>AB18*AB19*PRODUCT(AC5:AC17)</f>
        <v>0</v>
      </c>
      <c r="AI18" s="153">
        <v>0.04</v>
      </c>
      <c r="BH18">
        <v>1</v>
      </c>
      <c r="BI18">
        <v>6</v>
      </c>
      <c r="BJ18" s="107">
        <f t="shared" si="7"/>
        <v>1.135007358308731E-2</v>
      </c>
      <c r="BP18">
        <f>BL8+1</f>
        <v>5</v>
      </c>
      <c r="BQ18">
        <v>4</v>
      </c>
      <c r="BR18" s="107">
        <f>$H$30*H43</f>
        <v>5.4652706176794791E-3</v>
      </c>
    </row>
    <row r="19" spans="1:70" x14ac:dyDescent="0.25">
      <c r="H19" s="13" t="s">
        <v>156</v>
      </c>
      <c r="L19" s="13" t="s">
        <v>156</v>
      </c>
      <c r="O19" s="67">
        <f>IF(AND(F14="TEC",J10="CAB"),AI19,IF(AND(F15="TEC",J6="CAB"),AI19,IF(AND(OR(F16="TEC",F17="TEC",F18="TEC"),OR(J7="CAB",J8="CAB",J9="CAB")),AI19,IF(AND(OR(F11="TEC",F12="TEC",F13="TEC"),OR(J11="CAB",J12="CAB",J13="CAB")),AI19,0))))</f>
        <v>0</v>
      </c>
      <c r="P19" s="188" t="str">
        <f>P3</f>
        <v>0,6</v>
      </c>
      <c r="Q19" s="16">
        <f t="shared" si="1"/>
        <v>0</v>
      </c>
      <c r="R19" s="155">
        <f t="shared" si="2"/>
        <v>0</v>
      </c>
      <c r="S19" s="173">
        <f t="shared" si="3"/>
        <v>1</v>
      </c>
      <c r="T19" s="174">
        <f>R19*PRODUCT(S5:S18)</f>
        <v>0</v>
      </c>
      <c r="U19" s="174">
        <v>0</v>
      </c>
      <c r="V19" s="1" t="s">
        <v>82</v>
      </c>
      <c r="W19" s="181" t="s">
        <v>83</v>
      </c>
      <c r="X19" s="15" t="s">
        <v>84</v>
      </c>
      <c r="Y19" s="69">
        <f>IF(AND(J14="TEC",F10="CAB"),AI19,IF(AND(J15="TEC",F6="CAB"),AI19,IF(AND(OR(J16="TEC",J17="TEC",J18="TEC"),OR(F7="CAB",F8="CAB",F9="CAB")),AI19,IF(AND(OR(J11="TEC",J12="TEC",J13="TEC"),OR(F11="CAB",F12="CAB",F13="CAB")),AI19,0))))</f>
        <v>0</v>
      </c>
      <c r="Z19" s="189" t="str">
        <f>Z3</f>
        <v>0,6</v>
      </c>
      <c r="AA19" s="19">
        <f t="shared" si="4"/>
        <v>0</v>
      </c>
      <c r="AB19" s="155">
        <f t="shared" si="5"/>
        <v>0</v>
      </c>
      <c r="AC19" s="173">
        <f t="shared" si="6"/>
        <v>1</v>
      </c>
      <c r="AD19" s="174">
        <f>AB19*PRODUCT(AC5:AC18)</f>
        <v>0</v>
      </c>
      <c r="AE19" s="174">
        <v>0</v>
      </c>
      <c r="AF19" s="1" t="s">
        <v>82</v>
      </c>
      <c r="AI19" s="153">
        <v>0.06</v>
      </c>
      <c r="BH19">
        <v>1</v>
      </c>
      <c r="BI19">
        <v>7</v>
      </c>
      <c r="BJ19" s="107">
        <f t="shared" si="7"/>
        <v>3.559077438440287E-3</v>
      </c>
      <c r="BP19">
        <f>BP15+1</f>
        <v>6</v>
      </c>
      <c r="BQ19">
        <v>1</v>
      </c>
      <c r="BR19" s="107">
        <f>$H$31*H40</f>
        <v>9.8283857589071097E-4</v>
      </c>
    </row>
    <row r="20" spans="1:70" x14ac:dyDescent="0.25">
      <c r="A20" s="185" t="s">
        <v>85</v>
      </c>
      <c r="B20">
        <f>IF(B17="Pres",IF(C17="Pres",2,1),IF(C17="Pres",1,0))</f>
        <v>0</v>
      </c>
      <c r="D20" s="36"/>
      <c r="O20" s="22"/>
      <c r="P20" s="22"/>
      <c r="Q20" s="22"/>
      <c r="S20" s="175">
        <f>PRODUCT(S5:S19)</f>
        <v>0.66460461994494335</v>
      </c>
      <c r="T20" s="176">
        <f>SUM(T5:T19)</f>
        <v>0.28042866569132896</v>
      </c>
      <c r="U20" s="176">
        <f>SUM(U5:U19)</f>
        <v>4.9821627517118099E-2</v>
      </c>
      <c r="V20" s="176">
        <f>1-S20-T20-U20</f>
        <v>5.1450868466095881E-3</v>
      </c>
      <c r="W20" s="21"/>
      <c r="X20" s="22"/>
      <c r="Y20" s="22"/>
      <c r="Z20" s="22"/>
      <c r="AA20" s="22"/>
      <c r="AB20" s="23"/>
      <c r="AC20" s="179">
        <f>PRODUCT(AC5:AC19)</f>
        <v>0.4508317584145598</v>
      </c>
      <c r="AD20" s="176">
        <f>SUM(AD5:AD19)</f>
        <v>0.38473261229021288</v>
      </c>
      <c r="AE20" s="176">
        <f>SUM(AE5:AE19)</f>
        <v>0.13576577967955661</v>
      </c>
      <c r="AF20" s="176">
        <f>1-AC20-AD20-AE20</f>
        <v>2.8669849615670706E-2</v>
      </c>
      <c r="BH20">
        <v>1</v>
      </c>
      <c r="BI20">
        <v>8</v>
      </c>
      <c r="BJ20" s="107">
        <f t="shared" si="7"/>
        <v>8.5014425352509875E-4</v>
      </c>
      <c r="BP20">
        <f>BP16+1</f>
        <v>6</v>
      </c>
      <c r="BQ20">
        <v>2</v>
      </c>
      <c r="BR20" s="107">
        <f>$H$31*H41</f>
        <v>1.7085163522388503E-3</v>
      </c>
    </row>
    <row r="21" spans="1:70" x14ac:dyDescent="0.25">
      <c r="A21" s="185" t="s">
        <v>86</v>
      </c>
      <c r="B21" s="186">
        <f>5-B20</f>
        <v>5</v>
      </c>
      <c r="C21" s="35"/>
      <c r="D21" s="24"/>
      <c r="E21" s="24"/>
      <c r="O21" s="22"/>
      <c r="P21" s="22"/>
      <c r="Q21" s="22"/>
      <c r="S21" s="177">
        <f>1-T21-U21-V21</f>
        <v>0.66460461994494335</v>
      </c>
      <c r="T21" s="178">
        <f>T20*U2</f>
        <v>0.28042866569132896</v>
      </c>
      <c r="U21" s="178">
        <f>U20*U2</f>
        <v>4.9821627517118099E-2</v>
      </c>
      <c r="V21" s="178">
        <f>V20*U2</f>
        <v>5.1450868466095881E-3</v>
      </c>
      <c r="W21" s="21"/>
      <c r="X21" s="22"/>
      <c r="Y21" s="22"/>
      <c r="Z21" s="22"/>
      <c r="AA21" s="22"/>
      <c r="AB21" s="23"/>
      <c r="AC21" s="180">
        <f>1-AD21-AE21-AF21</f>
        <v>0.45083175841455986</v>
      </c>
      <c r="AD21" s="178">
        <f>AD20*AE2</f>
        <v>0.38473261229021288</v>
      </c>
      <c r="AE21" s="178">
        <f>AE20*AE2</f>
        <v>0.13576577967955661</v>
      </c>
      <c r="AF21" s="178">
        <f>AF20*AE2</f>
        <v>2.8669849615670706E-2</v>
      </c>
      <c r="BH21" s="18">
        <v>1</v>
      </c>
      <c r="BI21">
        <v>9</v>
      </c>
      <c r="BJ21" s="107">
        <f t="shared" si="7"/>
        <v>1.5247960179092223E-4</v>
      </c>
      <c r="BP21">
        <f>BP17+1</f>
        <v>6</v>
      </c>
      <c r="BQ21">
        <v>3</v>
      </c>
      <c r="BR21" s="107">
        <f>$H$31*H42</f>
        <v>1.8378147166749667E-3</v>
      </c>
    </row>
    <row r="22" spans="1:70" x14ac:dyDescent="0.25">
      <c r="A22" s="26" t="s">
        <v>87</v>
      </c>
      <c r="B22" s="62">
        <f>(B6)/((B6)+(C6))</f>
        <v>0.47368421052631576</v>
      </c>
      <c r="C22" s="63">
        <f>1-B22</f>
        <v>0.52631578947368429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7"/>
        <v>1.9919726849217682E-5</v>
      </c>
      <c r="BP22">
        <f>BP18+1</f>
        <v>6</v>
      </c>
      <c r="BQ22">
        <v>4</v>
      </c>
      <c r="BR22" s="107">
        <f>$H$31*H43</f>
        <v>1.3684844210431289E-3</v>
      </c>
    </row>
    <row r="23" spans="1:70" x14ac:dyDescent="0.25">
      <c r="A23" s="40" t="s">
        <v>88</v>
      </c>
      <c r="B23" s="56">
        <f>((B22^2.8)/((B22^2.8)+(C22^2.8)))*B21</f>
        <v>2.1338895849549826</v>
      </c>
      <c r="C23" s="57">
        <f>B21-B23</f>
        <v>2.8661104150450174</v>
      </c>
      <c r="D23" s="149">
        <f>SUM(D25:D30)</f>
        <v>1</v>
      </c>
      <c r="E23" s="149">
        <f>SUM(E25:E30)</f>
        <v>1</v>
      </c>
      <c r="H23" s="59">
        <f>SUM(H25:H35)</f>
        <v>0.99999989180232174</v>
      </c>
      <c r="J23" s="59">
        <f>SUM(J25:J35)</f>
        <v>0.99999999999999989</v>
      </c>
      <c r="K23" s="59"/>
      <c r="L23" s="59">
        <f>SUM(L25:L35)</f>
        <v>1</v>
      </c>
      <c r="N23" s="59">
        <f>SUM(N25:N35)</f>
        <v>1.0000000000000002</v>
      </c>
      <c r="O23" s="34"/>
      <c r="P23" s="59">
        <f>SUM(P25:P35)</f>
        <v>1.0000000000000002</v>
      </c>
      <c r="R23" s="59">
        <f>SUM(R25:R35)</f>
        <v>1</v>
      </c>
      <c r="T23" s="59">
        <f>SUM(T25:T35)</f>
        <v>1</v>
      </c>
      <c r="V23" s="59">
        <f>SUM(V25:V34)</f>
        <v>0.99975813565668914</v>
      </c>
      <c r="Y23" s="80">
        <f>SUM(Y25:Y35)</f>
        <v>3.7731004883405344E-3</v>
      </c>
      <c r="Z23" s="81"/>
      <c r="AA23" s="80">
        <f>SUM(AA25:AA35)</f>
        <v>2.8148540579964569E-2</v>
      </c>
      <c r="AB23" s="81"/>
      <c r="AC23" s="80">
        <f>SUM(AC25:AC35)</f>
        <v>9.4540965211025202E-2</v>
      </c>
      <c r="AD23" s="81"/>
      <c r="AE23" s="80">
        <f>SUM(AE25:AE35)</f>
        <v>0.18828113238782931</v>
      </c>
      <c r="AF23" s="81"/>
      <c r="AG23" s="80">
        <f>SUM(AG25:AG35)</f>
        <v>0.24628757091290551</v>
      </c>
      <c r="AH23" s="81"/>
      <c r="AI23" s="80">
        <f>SUM(AI25:AI35)</f>
        <v>0.22120189162163784</v>
      </c>
      <c r="AJ23" s="81"/>
      <c r="AK23" s="80">
        <f>SUM(AK25:AK35)</f>
        <v>0.13825350881016671</v>
      </c>
      <c r="AL23" s="81"/>
      <c r="AM23" s="80">
        <f>SUM(AM25:AM35)</f>
        <v>5.9467002659498752E-2</v>
      </c>
      <c r="AN23" s="81"/>
      <c r="AO23" s="80">
        <f>SUM(AO25:AO35)</f>
        <v>1.6906172264115515E-2</v>
      </c>
      <c r="AP23" s="81"/>
      <c r="AQ23" s="80">
        <f>SUM(AQ25:AQ35)</f>
        <v>2.8982507212050802E-3</v>
      </c>
      <c r="AR23" s="81"/>
      <c r="AS23" s="80">
        <f>SUM(AS25:AS35)</f>
        <v>2.4186434331086013E-4</v>
      </c>
      <c r="BH23">
        <f t="shared" ref="BH23:BH30" si="8">BH15+1</f>
        <v>2</v>
      </c>
      <c r="BI23">
        <v>3</v>
      </c>
      <c r="BJ23" s="107">
        <f t="shared" ref="BJ23:BJ30" si="9">$H$27*H42</f>
        <v>7.3068715591534925E-2</v>
      </c>
      <c r="BP23">
        <f>BL9+1</f>
        <v>6</v>
      </c>
      <c r="BQ23">
        <v>5</v>
      </c>
      <c r="BR23" s="107">
        <f>$H$31*H44</f>
        <v>7.4620169824639304E-4</v>
      </c>
    </row>
    <row r="24" spans="1:70" x14ac:dyDescent="0.25">
      <c r="A24" s="26" t="s">
        <v>89</v>
      </c>
      <c r="B24" s="64">
        <f>B23/B21</f>
        <v>0.42677791699099654</v>
      </c>
      <c r="C24" s="65">
        <f>C23/B21</f>
        <v>0.57322208300900346</v>
      </c>
      <c r="D24" s="13" t="s">
        <v>90</v>
      </c>
      <c r="E24" s="13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5.4408857457381762E-2</v>
      </c>
      <c r="BP24">
        <f>BH49+1</f>
        <v>7</v>
      </c>
      <c r="BQ24">
        <v>0</v>
      </c>
      <c r="BR24" s="107">
        <f t="shared" ref="BR24:BR30" si="10">$H$32*H39</f>
        <v>5.0349013549767308E-5</v>
      </c>
    </row>
    <row r="25" spans="1:70" x14ac:dyDescent="0.25">
      <c r="A25" s="26" t="s">
        <v>114</v>
      </c>
      <c r="B25" s="117">
        <f>1/(1+EXP(-3.1416*4*((B11/(B11+C8))-(3.1416/6))))</f>
        <v>0.32839636256027932</v>
      </c>
      <c r="C25" s="118">
        <f>1/(1+EXP(-3.1416*4*((C11/(C11+B8))-(3.1416/6))))</f>
        <v>0.33935563523733447</v>
      </c>
      <c r="D25" s="151">
        <f>IF(B17="AOW",0.36-0.08,IF(B17="AIM",0.36+0.08,IF(B17="TL",(0.361)-(0.36*B32),0.36)))</f>
        <v>0.36</v>
      </c>
      <c r="E25" s="151">
        <f>IF(C17="AOW",0.36-0.08,IF(C17="AIM",0.36+0.08,IF(C17="TL",(0.361)-(0.36*C32),0.36)))</f>
        <v>0.36</v>
      </c>
      <c r="G25" s="124">
        <v>0</v>
      </c>
      <c r="H25" s="125">
        <f>L25*J25</f>
        <v>0.11729554082099101</v>
      </c>
      <c r="I25" s="97">
        <v>0</v>
      </c>
      <c r="J25" s="98">
        <f t="shared" ref="J25:J35" si="11">Y25+AA25+AC25+AE25+AG25+AI25+AK25+AM25+AO25+AQ25+AS25</f>
        <v>0.17648920471047572</v>
      </c>
      <c r="K25" s="97">
        <v>0</v>
      </c>
      <c r="L25" s="98">
        <f>S21</f>
        <v>0.66460461994494335</v>
      </c>
      <c r="M25" s="84">
        <v>0</v>
      </c>
      <c r="N25" s="71">
        <f>(1-$B$24)^$B$21</f>
        <v>6.1889156665255927E-2</v>
      </c>
      <c r="O25" s="70">
        <v>0</v>
      </c>
      <c r="P25" s="71">
        <f t="shared" ref="P25:P30" si="12">N25</f>
        <v>6.1889156665255927E-2</v>
      </c>
      <c r="Q25" s="12">
        <v>0</v>
      </c>
      <c r="R25" s="73">
        <f>P25*N25</f>
        <v>3.830267712736592E-3</v>
      </c>
      <c r="S25" s="70">
        <v>0</v>
      </c>
      <c r="T25" s="133">
        <f>(1-$B$33)^(INT(C23*2*(1-C31)))</f>
        <v>0.98507487500000002</v>
      </c>
      <c r="U25" s="138">
        <v>0</v>
      </c>
      <c r="V25" s="86">
        <f>R25*T25</f>
        <v>3.7731004883405344E-3</v>
      </c>
      <c r="W25" s="134">
        <f>B31</f>
        <v>0.37202183834290609</v>
      </c>
      <c r="X25" s="12">
        <v>0</v>
      </c>
      <c r="Y25" s="79">
        <f>V25</f>
        <v>3.7731004883405344E-3</v>
      </c>
      <c r="Z25" s="12">
        <v>0</v>
      </c>
      <c r="AA25" s="78">
        <f>((1-W25)^Z26)*V26</f>
        <v>1.7676668766736257E-2</v>
      </c>
      <c r="AB25" s="12">
        <v>0</v>
      </c>
      <c r="AC25" s="79">
        <f>(((1-$W$25)^AB27))*V27</f>
        <v>3.7282850908643514E-2</v>
      </c>
      <c r="AD25" s="12">
        <v>0</v>
      </c>
      <c r="AE25" s="79">
        <f>(((1-$W$25)^AB28))*V28</f>
        <v>4.6627316867003415E-2</v>
      </c>
      <c r="AF25" s="12">
        <v>0</v>
      </c>
      <c r="AG25" s="79">
        <f>(((1-$W$25)^AB29))*V29</f>
        <v>3.830193014890438E-2</v>
      </c>
      <c r="AH25" s="12">
        <v>0</v>
      </c>
      <c r="AI25" s="79">
        <f>(((1-$W$25)^AB30))*V30</f>
        <v>2.1602874477469437E-2</v>
      </c>
      <c r="AJ25" s="12">
        <v>0</v>
      </c>
      <c r="AK25" s="79">
        <f>(((1-$W$25)^AB31))*V31</f>
        <v>8.4789760607709031E-3</v>
      </c>
      <c r="AL25" s="12">
        <v>0</v>
      </c>
      <c r="AM25" s="79">
        <f>(((1-$W$25)^AB32))*V32</f>
        <v>2.2902760787731325E-3</v>
      </c>
      <c r="AN25" s="12">
        <v>0</v>
      </c>
      <c r="AO25" s="79">
        <f>(((1-$W$25)^AB33))*V33</f>
        <v>4.0888541446675481E-4</v>
      </c>
      <c r="AP25" s="12">
        <v>0</v>
      </c>
      <c r="AQ25" s="79">
        <f>(((1-$W$25)^AB34))*V34</f>
        <v>4.4018660506926467E-5</v>
      </c>
      <c r="AR25" s="12">
        <v>0</v>
      </c>
      <c r="AS25" s="79">
        <f>(((1-$W$25)^AB35))*V35</f>
        <v>2.3068388604300221E-6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2.9667843645159519E-2</v>
      </c>
      <c r="BP25">
        <f>BP19+1</f>
        <v>7</v>
      </c>
      <c r="BQ25">
        <v>1</v>
      </c>
      <c r="BR25" s="107">
        <f t="shared" si="10"/>
        <v>1.878964203728081E-4</v>
      </c>
    </row>
    <row r="26" spans="1:70" x14ac:dyDescent="0.25">
      <c r="A26" s="40" t="s">
        <v>115</v>
      </c>
      <c r="B26" s="119">
        <f>1/(1+EXP(-3.1416*4*((B10/(B10+C9))-(3.1416/6))))</f>
        <v>0.32839636256027932</v>
      </c>
      <c r="C26" s="118">
        <f>1/(1+EXP(-3.1416*4*((C10/(C10+B9))-(3.1416/6))))</f>
        <v>0.33935563523733447</v>
      </c>
      <c r="D26" s="151">
        <f>IF(B17="AOW",0.257+0.04,IF(B17="AIM",0.257-0.04,IF(B17="TL",(0.257)-(0.257*B32),0.257)))</f>
        <v>0.25700000000000001</v>
      </c>
      <c r="E26" s="151">
        <f>IF(C17="AOW",0.257+0.04,IF(C17="AIM",0.257-0.04,IF(C17="TL",(0.257)-(0.257*C32),0.257)))</f>
        <v>0.25700000000000001</v>
      </c>
      <c r="G26" s="87">
        <v>1</v>
      </c>
      <c r="H26" s="126">
        <f>L25*J26+L26*J25</f>
        <v>0.27152796609913654</v>
      </c>
      <c r="I26" s="93">
        <v>1</v>
      </c>
      <c r="J26" s="86">
        <f t="shared" si="11"/>
        <v>0.3340863533745036</v>
      </c>
      <c r="K26" s="93">
        <v>1</v>
      </c>
      <c r="L26" s="86">
        <f>T21</f>
        <v>0.28042866569132896</v>
      </c>
      <c r="M26" s="85">
        <v>1</v>
      </c>
      <c r="N26" s="71">
        <f>(($B$24)^M26)*((1-($B$24))^($B$21-M26))*HLOOKUP($B$21,$AV$24:$BF$34,M26+1)</f>
        <v>0.23038998451768047</v>
      </c>
      <c r="O26" s="72">
        <v>1</v>
      </c>
      <c r="P26" s="71">
        <f t="shared" si="12"/>
        <v>0.23038998451768047</v>
      </c>
      <c r="Q26" s="28">
        <v>1</v>
      </c>
      <c r="R26" s="37">
        <f>N26*P25+P26*N25</f>
        <v>2.8517283691841228E-2</v>
      </c>
      <c r="S26" s="72">
        <v>1</v>
      </c>
      <c r="T26" s="133">
        <f t="shared" ref="T26:T35" si="13">(($B$33)^S26)*((1-($B$33))^(INT($C$23*2*(1-$C$31))-S26))*HLOOKUP(INT($C$23*2*(1-$C$31)),$AV$24:$BF$34,S26+1)</f>
        <v>1.4850375000000002E-2</v>
      </c>
      <c r="U26" s="93">
        <v>1</v>
      </c>
      <c r="V26" s="86">
        <f>R26*T25+T26*R25</f>
        <v>2.8148540579964569E-2</v>
      </c>
      <c r="W26" s="135"/>
      <c r="X26" s="28">
        <v>1</v>
      </c>
      <c r="Y26" s="73"/>
      <c r="Z26" s="28">
        <v>1</v>
      </c>
      <c r="AA26" s="79">
        <f>(1-((1-W25)^Z26))*V26</f>
        <v>1.0471871813228312E-2</v>
      </c>
      <c r="AB26" s="28">
        <v>1</v>
      </c>
      <c r="AC26" s="79">
        <f>((($W$25)^M26)*((1-($W$25))^($U$27-M26))*HLOOKUP($U$27,$AV$24:$BF$34,M26+1))*V27</f>
        <v>4.417362125172674E-2</v>
      </c>
      <c r="AD26" s="28">
        <v>1</v>
      </c>
      <c r="AE26" s="79">
        <f>((($W$25)^M26)*((1-($W$25))^($U$28-M26))*HLOOKUP($U$28,$AV$24:$BF$34,M26+1))*V28</f>
        <v>8.286775494908892E-2</v>
      </c>
      <c r="AF26" s="28">
        <v>1</v>
      </c>
      <c r="AG26" s="79">
        <f>((($W$25)^M26)*((1-($W$25))^($U$29-M26))*HLOOKUP($U$29,$AV$24:$BF$34,M26+1))*V29</f>
        <v>9.0762101844284876E-2</v>
      </c>
      <c r="AH26" s="28">
        <v>1</v>
      </c>
      <c r="AI26" s="79">
        <f>((($W$25)^M26)*((1-($W$25))^($U$30-M26))*HLOOKUP($U$30,$AV$24:$BF$34,M26+1))*V30</f>
        <v>6.3989017192827735E-2</v>
      </c>
      <c r="AJ26" s="28">
        <v>1</v>
      </c>
      <c r="AK26" s="79">
        <f>((($W$25)^M26)*((1-($W$25))^($U$31-M26))*HLOOKUP($U$31,$AV$24:$BF$34,M26+1))*V31</f>
        <v>3.0138286207945401E-2</v>
      </c>
      <c r="AL26" s="28">
        <v>1</v>
      </c>
      <c r="AM26" s="79">
        <f>((($W$25)^Q26)*((1-($W$25))^($U$32-Q26))*HLOOKUP($U$32,$AV$24:$BF$34,Q26+1))*V32</f>
        <v>9.4975102386163808E-3</v>
      </c>
      <c r="AN26" s="28">
        <v>1</v>
      </c>
      <c r="AO26" s="79">
        <f>((($W$25)^Q26)*((1-($W$25))^($U$33-Q26))*HLOOKUP($U$33,$AV$24:$BF$34,Q26+1))*V33</f>
        <v>1.9378292157182994E-3</v>
      </c>
      <c r="AP26" s="28">
        <v>1</v>
      </c>
      <c r="AQ26" s="79">
        <f>((($W$25)^Q26)*((1-($W$25))^($U$34-Q26))*HLOOKUP($U$34,$AV$24:$BF$34,Q26+1))*V34</f>
        <v>2.3469466938101871E-4</v>
      </c>
      <c r="AR26" s="28">
        <v>1</v>
      </c>
      <c r="AS26" s="79">
        <f>((($W$25)^Q26)*((1-($W$25))^($U$35-Q26))*HLOOKUP($U$35,$AV$24:$BF$34,Q26+1))*V35</f>
        <v>1.3665991685975964E-5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1.2194958783298146E-2</v>
      </c>
      <c r="BP26">
        <f>BP20+1</f>
        <v>7</v>
      </c>
      <c r="BQ26">
        <v>2</v>
      </c>
      <c r="BR26" s="107">
        <f t="shared" si="10"/>
        <v>3.2662953470579358E-4</v>
      </c>
    </row>
    <row r="27" spans="1:70" x14ac:dyDescent="0.25">
      <c r="A27" s="26" t="s">
        <v>116</v>
      </c>
      <c r="B27" s="119">
        <f>1/(1+EXP(-3.1416*4*((B12/(B12+C7))-(3.1416/6))))</f>
        <v>0.32839636256027932</v>
      </c>
      <c r="C27" s="118">
        <f>1/(1+EXP(-3.1416*4*((C12/(C12+B7))-(3.1416/6))))</f>
        <v>0.33935563523733447</v>
      </c>
      <c r="D27" s="151">
        <f>D26</f>
        <v>0.25700000000000001</v>
      </c>
      <c r="E27" s="151">
        <f>E26</f>
        <v>0.25700000000000001</v>
      </c>
      <c r="G27" s="87">
        <v>2</v>
      </c>
      <c r="H27" s="126">
        <f>L25*J27+J26*L26+J25*L27</f>
        <v>0.2917401663391731</v>
      </c>
      <c r="I27" s="93">
        <v>2</v>
      </c>
      <c r="J27" s="86">
        <f t="shared" si="11"/>
        <v>0.2847705100733125</v>
      </c>
      <c r="K27" s="93">
        <v>2</v>
      </c>
      <c r="L27" s="86">
        <f>U21</f>
        <v>4.9821627517118099E-2</v>
      </c>
      <c r="M27" s="85">
        <v>2</v>
      </c>
      <c r="N27" s="71">
        <f>(($B$24)^M27)*((1-($B$24))^($B$21-M27))*HLOOKUP($B$21,$AV$24:$BF$34,M27+1)</f>
        <v>0.34306200197977804</v>
      </c>
      <c r="O27" s="72">
        <v>2</v>
      </c>
      <c r="P27" s="71">
        <f t="shared" si="12"/>
        <v>0.34306200197977804</v>
      </c>
      <c r="Q27" s="28">
        <v>2</v>
      </c>
      <c r="R27" s="37">
        <f>P25*N27+P26*N26+P27*N25</f>
        <v>9.5543180938902683E-2</v>
      </c>
      <c r="S27" s="72">
        <v>2</v>
      </c>
      <c r="T27" s="133">
        <f t="shared" si="13"/>
        <v>7.4625000000000011E-5</v>
      </c>
      <c r="U27" s="93">
        <v>2</v>
      </c>
      <c r="V27" s="86">
        <f>R27*T25+T26*R26+R25*T27</f>
        <v>9.454096521102523E-2</v>
      </c>
      <c r="W27" s="135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1.3084493050654962E-2</v>
      </c>
      <c r="AD27" s="28">
        <v>2</v>
      </c>
      <c r="AE27" s="79">
        <f>((($W$25)^M27)*((1-($W$25))^($U$28-M27))*HLOOKUP($U$28,$AV$24:$BF$34,M27+1))*V28</f>
        <v>4.9091857675686842E-2</v>
      </c>
      <c r="AF27" s="28">
        <v>2</v>
      </c>
      <c r="AG27" s="79">
        <f>((($W$25)^M27)*((1-($W$25))^($U$29-M27))*HLOOKUP($U$29,$AV$24:$BF$34,M27+1))*V29</f>
        <v>8.06528460103072E-2</v>
      </c>
      <c r="AH27" s="28">
        <v>2</v>
      </c>
      <c r="AI27" s="79">
        <f>((($W$25)^M27)*((1-($W$25))^($U$30-M27))*HLOOKUP($U$30,$AV$24:$BF$34,M27+1))*V30</f>
        <v>7.5815731384717922E-2</v>
      </c>
      <c r="AJ27" s="28">
        <v>2</v>
      </c>
      <c r="AK27" s="79">
        <f>((($W$25)^M27)*((1-($W$25))^($U$31-M27))*HLOOKUP($U$31,$AV$24:$BF$34,M27+1))*V31</f>
        <v>4.463571077853358E-2</v>
      </c>
      <c r="AL27" s="28">
        <v>2</v>
      </c>
      <c r="AM27" s="79">
        <f>((($W$25)^Q27)*((1-($W$25))^($U$32-Q27))*HLOOKUP($U$32,$AV$24:$BF$34,Q27+1))*V32</f>
        <v>1.6879318904946157E-2</v>
      </c>
      <c r="AN27" s="28">
        <v>2</v>
      </c>
      <c r="AO27" s="79">
        <f>((($W$25)^Q27)*((1-($W$25))^($U$33-Q27))*HLOOKUP($U$33,$AV$24:$BF$34,Q27+1))*V33</f>
        <v>4.0179769128168936E-3</v>
      </c>
      <c r="AP27" s="28">
        <v>2</v>
      </c>
      <c r="AQ27" s="79">
        <f>((($W$25)^Q27)*((1-($W$25))^($U$34-Q27))*HLOOKUP($U$34,$AV$24:$BF$34,Q27+1))*V34</f>
        <v>5.5614381316707897E-4</v>
      </c>
      <c r="AR27" s="28">
        <v>2</v>
      </c>
      <c r="AS27" s="79">
        <f>((($W$25)^Q27)*((1-($W$25))^($U$35-Q27))*HLOOKUP($U$35,$AV$24:$BF$34,Q27+1))*V35</f>
        <v>3.6431542481843528E-5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3.8240106859765166E-3</v>
      </c>
      <c r="BP27">
        <f>BP21+1</f>
        <v>7</v>
      </c>
      <c r="BQ27">
        <v>3</v>
      </c>
      <c r="BR27" s="107">
        <f t="shared" si="10"/>
        <v>3.5134844626824184E-4</v>
      </c>
    </row>
    <row r="28" spans="1:70" x14ac:dyDescent="0.25">
      <c r="A28" s="26" t="s">
        <v>117</v>
      </c>
      <c r="B28" s="169">
        <v>0.9</v>
      </c>
      <c r="C28" s="170">
        <v>0.9</v>
      </c>
      <c r="D28" s="151">
        <v>8.5000000000000006E-2</v>
      </c>
      <c r="E28" s="151">
        <v>8.5000000000000006E-2</v>
      </c>
      <c r="G28" s="87">
        <v>3</v>
      </c>
      <c r="H28" s="126">
        <f>J28*L25+J27*L26+L28*J25+L27*J26</f>
        <v>0.19309454238427987</v>
      </c>
      <c r="I28" s="93">
        <v>3</v>
      </c>
      <c r="J28" s="86">
        <f t="shared" si="11"/>
        <v>0.14397123824087624</v>
      </c>
      <c r="K28" s="93">
        <v>3</v>
      </c>
      <c r="L28" s="86">
        <f>V21</f>
        <v>5.1450868466095881E-3</v>
      </c>
      <c r="M28" s="85">
        <v>3</v>
      </c>
      <c r="N28" s="71">
        <f>(($B$24)^M28)*((1-($B$24))^($B$21-M28))*HLOOKUP($B$21,$AV$24:$BF$34,M28+1)</f>
        <v>0.25541808479383232</v>
      </c>
      <c r="O28" s="72">
        <v>3</v>
      </c>
      <c r="P28" s="71">
        <f t="shared" si="12"/>
        <v>0.25541808479383232</v>
      </c>
      <c r="Q28" s="28">
        <v>3</v>
      </c>
      <c r="R28" s="37">
        <f>P25*N28+P26*N27+P27*N26+P28*N25</f>
        <v>0.18969131837934131</v>
      </c>
      <c r="S28" s="72">
        <v>3</v>
      </c>
      <c r="T28" s="133">
        <f t="shared" si="13"/>
        <v>1.2500000000000002E-7</v>
      </c>
      <c r="U28" s="93">
        <v>3</v>
      </c>
      <c r="V28" s="86">
        <f>R28*T25+R27*T26+R26*T27+R25*T28</f>
        <v>0.18828113238782934</v>
      </c>
      <c r="W28" s="135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9.6942028960501376E-3</v>
      </c>
      <c r="AF28" s="28">
        <v>3</v>
      </c>
      <c r="AG28" s="79">
        <f>((($W$25)^M28)*((1-($W$25))^($U$29-M28))*HLOOKUP($U$29,$AV$24:$BF$34,M28+1))*V29</f>
        <v>3.1853145934423711E-2</v>
      </c>
      <c r="AH28" s="28">
        <v>3</v>
      </c>
      <c r="AI28" s="79">
        <f>((($W$25)^M28)*((1-($W$25))^($U$30-M28))*HLOOKUP($U$30,$AV$24:$BF$34,M28+1))*V30</f>
        <v>4.4914153846732106E-2</v>
      </c>
      <c r="AJ28" s="28">
        <v>3</v>
      </c>
      <c r="AK28" s="79">
        <f>((($W$25)^M28)*((1-($W$25))^($U$31-M28))*HLOOKUP($U$31,$AV$24:$BF$34,M28+1))*V31</f>
        <v>3.5256978014976903E-2</v>
      </c>
      <c r="AL28" s="28">
        <v>3</v>
      </c>
      <c r="AM28" s="79">
        <f>((($W$25)^Q28)*((1-($W$25))^($U$32-Q28))*HLOOKUP($U$32,$AV$24:$BF$34,Q28+1))*V32</f>
        <v>1.6665853560958517E-2</v>
      </c>
      <c r="AN28" s="28">
        <v>3</v>
      </c>
      <c r="AO28" s="79">
        <f>((($W$25)^Q28)*((1-($W$25))^($U$33-Q28))*HLOOKUP($U$33,$AV$24:$BF$34,Q28+1))*V33</f>
        <v>4.7605959849976879E-3</v>
      </c>
      <c r="AP28" s="28">
        <v>3</v>
      </c>
      <c r="AQ28" s="79">
        <f>((($W$25)^Q28)*((1-($W$25))^($U$34-Q28))*HLOOKUP($U$34,$AV$24:$BF$34,Q28+1))*V34</f>
        <v>7.6875470875210938E-4</v>
      </c>
      <c r="AR28" s="28">
        <v>3</v>
      </c>
      <c r="AS28" s="79">
        <f>((($W$25)^Q28)*((1-($W$25))^($U$35-Q28))*HLOOKUP($U$35,$AV$24:$BF$34,Q28+1))*V35</f>
        <v>5.7553293985038817E-5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 t="shared" ref="BF28:BF34" si="14">BE27+BE28</f>
        <v>210</v>
      </c>
      <c r="BH28">
        <f t="shared" si="8"/>
        <v>2</v>
      </c>
      <c r="BI28">
        <v>8</v>
      </c>
      <c r="BJ28" s="107">
        <f t="shared" si="9"/>
        <v>9.1342792235680939E-4</v>
      </c>
      <c r="BP28">
        <f>BP22+1</f>
        <v>7</v>
      </c>
      <c r="BQ28">
        <v>4</v>
      </c>
      <c r="BR28" s="107">
        <f t="shared" si="10"/>
        <v>2.6162314988188988E-4</v>
      </c>
    </row>
    <row r="29" spans="1:70" x14ac:dyDescent="0.25">
      <c r="A29" s="26" t="s">
        <v>118</v>
      </c>
      <c r="B29" s="119">
        <f>1/(1+EXP(-3.1416*4*((B14/(B14+C13))-(3.1416/6))))</f>
        <v>0.21091587975125142</v>
      </c>
      <c r="C29" s="118">
        <f>1/(1+EXP(-3.1416*4*((C14/(C14+B13))-(3.1416/6))))</f>
        <v>0.40883398126688669</v>
      </c>
      <c r="D29" s="151">
        <v>0.04</v>
      </c>
      <c r="E29" s="151">
        <v>0.04</v>
      </c>
      <c r="G29" s="87">
        <v>4</v>
      </c>
      <c r="H29" s="126">
        <f>J29*L25+J28*L26+J27*L27+J26*L28</f>
        <v>8.8066690842485224E-2</v>
      </c>
      <c r="I29" s="93">
        <v>4</v>
      </c>
      <c r="J29" s="86">
        <f t="shared" si="11"/>
        <v>4.782752642343932E-2</v>
      </c>
      <c r="K29" s="93">
        <v>4</v>
      </c>
      <c r="L29" s="86"/>
      <c r="M29" s="85">
        <v>4</v>
      </c>
      <c r="N29" s="71">
        <f>(($B$24)^M29)*((1-($B$24))^($B$21-M29))*HLOOKUP($B$21,$AV$24:$BF$34,M29+1)</f>
        <v>9.508251812101709E-2</v>
      </c>
      <c r="O29" s="72">
        <v>4</v>
      </c>
      <c r="P29" s="71">
        <f t="shared" si="12"/>
        <v>9.508251812101709E-2</v>
      </c>
      <c r="Q29" s="28">
        <v>4</v>
      </c>
      <c r="R29" s="37">
        <f>P25*N29+P26*N28+P27*N27+P28*N26+P29*N25</f>
        <v>0.24715222812498383</v>
      </c>
      <c r="S29" s="72">
        <v>4</v>
      </c>
      <c r="T29" s="133">
        <f t="shared" si="13"/>
        <v>0</v>
      </c>
      <c r="U29" s="93">
        <v>4</v>
      </c>
      <c r="V29" s="86">
        <f>T29*R25+T28*R26+T27*R27+T26*R28+T25*R29</f>
        <v>0.24628757091290557</v>
      </c>
      <c r="W29" s="135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4.7175469749853646E-3</v>
      </c>
      <c r="AH29" s="28">
        <v>4</v>
      </c>
      <c r="AI29" s="79">
        <f>((($W$25)^M29)*((1-($W$25))^($U$30-M29))*HLOOKUP($U$30,$AV$24:$BF$34,M29+1))*V30</f>
        <v>1.3303843271863109E-2</v>
      </c>
      <c r="AJ29" s="28">
        <v>4</v>
      </c>
      <c r="AK29" s="79">
        <f>((($W$25)^M29)*((1-($W$25))^($U$31-M29))*HLOOKUP($U$31,$AV$24:$BF$34,M29+1))*V31</f>
        <v>1.5664994313977391E-2</v>
      </c>
      <c r="AL29" s="28">
        <v>4</v>
      </c>
      <c r="AM29" s="79">
        <f>((($W$25)^Q29)*((1-($W$25))^($U$32-Q29))*HLOOKUP($U$32,$AV$24:$BF$34,Q29+1))*V32</f>
        <v>9.8730526917383231E-3</v>
      </c>
      <c r="AN29" s="28">
        <v>4</v>
      </c>
      <c r="AO29" s="79">
        <f>((($W$25)^Q29)*((1-($W$25))^($U$33-Q29))*HLOOKUP($U$33,$AV$24:$BF$34,Q29+1))*V33</f>
        <v>3.5252931114541151E-3</v>
      </c>
      <c r="AP29" s="28">
        <v>4</v>
      </c>
      <c r="AQ29" s="79">
        <f>((($W$25)^Q29)*((1-($W$25))^($U$34-Q29))*HLOOKUP($U$34,$AV$24:$BF$34,Q29+1))*V34</f>
        <v>6.8312934457000576E-4</v>
      </c>
      <c r="AR29" s="28">
        <v>4</v>
      </c>
      <c r="AS29" s="79">
        <f>((($W$25)^Q29)*((1-($W$25))^($U$35-Q29))*HLOOKUP($U$35,$AV$24:$BF$34,Q29+1))*V35</f>
        <v>5.9666714851012349E-5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si="14"/>
        <v>252</v>
      </c>
      <c r="BH29">
        <f t="shared" si="8"/>
        <v>2</v>
      </c>
      <c r="BI29">
        <v>9</v>
      </c>
      <c r="BJ29" s="107">
        <f t="shared" si="9"/>
        <v>1.638299915433867E-4</v>
      </c>
      <c r="BP29">
        <f>BP23+1</f>
        <v>7</v>
      </c>
      <c r="BQ29">
        <v>5</v>
      </c>
      <c r="BR29" s="107">
        <f t="shared" si="10"/>
        <v>1.4265682220454318E-4</v>
      </c>
    </row>
    <row r="30" spans="1:70" x14ac:dyDescent="0.25">
      <c r="A30" s="26" t="s">
        <v>119</v>
      </c>
      <c r="B30" s="169">
        <v>0.15</v>
      </c>
      <c r="C30" s="170">
        <v>0.15</v>
      </c>
      <c r="D30" s="151">
        <f>IF(B17="TL",0.875*B32,0.001)</f>
        <v>1E-3</v>
      </c>
      <c r="E30" s="151">
        <f>IF(C17="TL",0.875*C32,0.001)</f>
        <v>1E-3</v>
      </c>
      <c r="G30" s="87">
        <v>5</v>
      </c>
      <c r="H30" s="126">
        <f>J30*L25+J29*L26+J28*L27+J27*L28</f>
        <v>2.9304768260192272E-2</v>
      </c>
      <c r="I30" s="93">
        <v>5</v>
      </c>
      <c r="J30" s="86">
        <f t="shared" si="11"/>
        <v>1.0915525131401687E-2</v>
      </c>
      <c r="K30" s="93">
        <v>5</v>
      </c>
      <c r="L30" s="86"/>
      <c r="M30" s="85">
        <v>5</v>
      </c>
      <c r="N30" s="71">
        <f>(($B$24)^M30)*((1-($B$24))^($B$21-M30))*HLOOKUP($B$21,$AV$24:$BF$34,M30+1)</f>
        <v>1.4158253922436198E-2</v>
      </c>
      <c r="O30" s="72">
        <v>5</v>
      </c>
      <c r="P30" s="71">
        <f t="shared" si="12"/>
        <v>1.4158253922436198E-2</v>
      </c>
      <c r="Q30" s="28">
        <v>5</v>
      </c>
      <c r="R30" s="37">
        <f>P25*N30+P26*N29+P27*N28+P28*N27+P29*N26+P30*N25</f>
        <v>0.2208130835682563</v>
      </c>
      <c r="S30" s="72">
        <v>5</v>
      </c>
      <c r="T30" s="133">
        <f t="shared" si="13"/>
        <v>0</v>
      </c>
      <c r="U30" s="93">
        <v>5</v>
      </c>
      <c r="V30" s="86">
        <f>T30*R25+T29*R26+T28*R27+T27*R28+T26*R29+T25*R30</f>
        <v>0.22120189162163786</v>
      </c>
      <c r="W30" s="135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1.5762714480275135E-3</v>
      </c>
      <c r="AJ30" s="28">
        <v>5</v>
      </c>
      <c r="AK30" s="79">
        <f>((($W$25)^M30)*((1-($W$25))^($U$31-M30))*HLOOKUP($U$31,$AV$24:$BF$34,M30+1))*V31</f>
        <v>3.7120526401357595E-3</v>
      </c>
      <c r="AL30" s="28">
        <v>5</v>
      </c>
      <c r="AM30" s="79">
        <f>((($W$25)^Q30)*((1-($W$25))^($U$32-Q30))*HLOOKUP($U$32,$AV$24:$BF$34,Q30+1))*V32</f>
        <v>3.5093493086555748E-3</v>
      </c>
      <c r="AN30" s="28">
        <v>5</v>
      </c>
      <c r="AO30" s="79">
        <f>((($W$25)^Q30)*((1-($W$25))^($U$33-Q30))*HLOOKUP($U$33,$AV$24:$BF$34,Q30+1))*V33</f>
        <v>1.6707409322133436E-3</v>
      </c>
      <c r="AP30" s="28">
        <v>5</v>
      </c>
      <c r="AQ30" s="79">
        <f>((($W$25)^Q30)*((1-($W$25))^($U$34-Q30))*HLOOKUP($U$34,$AV$24:$BF$34,Q30+1))*V34</f>
        <v>4.0469406439596885E-4</v>
      </c>
      <c r="AR30" s="28">
        <v>5</v>
      </c>
      <c r="AS30" s="79">
        <f>((($W$25)^Q30)*((1-($W$25))^($U$35-Q30))*HLOOKUP($U$35,$AV$24:$BF$34,Q30+1))*V35</f>
        <v>4.2416737973527924E-5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2.1402526258749665E-5</v>
      </c>
      <c r="BP30">
        <f>BL10+1</f>
        <v>7</v>
      </c>
      <c r="BQ30">
        <v>6</v>
      </c>
      <c r="BR30" s="107">
        <f t="shared" si="10"/>
        <v>5.8639046630695621E-5</v>
      </c>
    </row>
    <row r="31" spans="1:70" x14ac:dyDescent="0.25">
      <c r="A31" s="184" t="s">
        <v>120</v>
      </c>
      <c r="B31" s="60">
        <f>(B25*D25)+(B26*D26)+(B27*D27)+(B28*D28)+(B29*D29)+(B30*D30)/(B25+B26+B27+B28+B29+B30)</f>
        <v>0.37202183834290609</v>
      </c>
      <c r="C31" s="61">
        <f>(C25*E25)+(C26*E26)+(C27*E27)+(C28*E28)+(C29*E29)+(C30*E30)/(C25+C26+C27+C28+C29+C30)</f>
        <v>0.38951074399685026</v>
      </c>
      <c r="G31" s="87">
        <v>6</v>
      </c>
      <c r="H31" s="126">
        <f>J31*L25+J30*L26+J29*L27+J28*L28</f>
        <v>7.3378102626105316E-3</v>
      </c>
      <c r="I31" s="93">
        <v>6</v>
      </c>
      <c r="J31" s="86">
        <f t="shared" si="11"/>
        <v>1.7351585429694668E-3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0.13700063588347353</v>
      </c>
      <c r="S31" s="70">
        <v>6</v>
      </c>
      <c r="T31" s="133">
        <f t="shared" si="13"/>
        <v>0</v>
      </c>
      <c r="U31" s="93">
        <v>6</v>
      </c>
      <c r="V31" s="86">
        <f>T31*R25+T30*R26+T29*R27+T28*R28+T27*R29+T26*R30+T25*R31</f>
        <v>0.13825350881016676</v>
      </c>
      <c r="W31" s="135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3.6651079382678064E-4</v>
      </c>
      <c r="AL31" s="28">
        <v>6</v>
      </c>
      <c r="AM31" s="79">
        <f>((($W$25)^Q31)*((1-($W$25))^($U$32-Q31))*HLOOKUP($U$32,$AV$24:$BF$34,Q31+1))*V32</f>
        <v>6.9299362138559449E-4</v>
      </c>
      <c r="AN31" s="28">
        <v>6</v>
      </c>
      <c r="AO31" s="79">
        <f>((($W$25)^Q31)*((1-($W$25))^($U$33-Q31))*HLOOKUP($U$33,$AV$24:$BF$34,Q31+1))*V33</f>
        <v>4.9488354129752828E-4</v>
      </c>
      <c r="AP31" s="28">
        <v>6</v>
      </c>
      <c r="AQ31" s="79">
        <f>((($W$25)^Q31)*((1-($W$25))^($U$34-Q31))*HLOOKUP($U$34,$AV$24:$BF$34,Q31+1))*V34</f>
        <v>1.5983043041472406E-4</v>
      </c>
      <c r="AR31" s="28">
        <v>6</v>
      </c>
      <c r="AS31" s="79">
        <f>((($W$25)^Q31)*((1-($W$25))^($U$35-Q31))*HLOOKUP($U$35,$AV$24:$BF$34,Q31+1))*V35</f>
        <v>2.0940156044839525E-5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3.6011679722463892E-2</v>
      </c>
      <c r="BP31">
        <f t="shared" ref="BP31:BP37" si="17">BP24+1</f>
        <v>8</v>
      </c>
      <c r="BQ31">
        <v>0</v>
      </c>
      <c r="BR31" s="107">
        <f t="shared" ref="BR31:BR38" si="18">$H$33*H39</f>
        <v>7.3604676168085289E-6</v>
      </c>
    </row>
    <row r="32" spans="1:70" x14ac:dyDescent="0.25">
      <c r="A32" s="26" t="s">
        <v>121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6">
        <f>J32*L25+J31*L26+J30*L27+J29*L28</f>
        <v>1.402822717321473E-3</v>
      </c>
      <c r="I32" s="93">
        <v>7</v>
      </c>
      <c r="J32" s="86">
        <f t="shared" si="11"/>
        <v>1.9008070995135939E-4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5.8285907222028095E-2</v>
      </c>
      <c r="S32" s="72">
        <v>7</v>
      </c>
      <c r="T32" s="133">
        <f t="shared" si="13"/>
        <v>0</v>
      </c>
      <c r="U32" s="93">
        <v>7</v>
      </c>
      <c r="V32" s="86">
        <f>T32*R25+T31*R26+T30*R27+T29*R28+T28*R29+T27*R30+T26*R31+T25*R32</f>
        <v>5.9467002659498766E-2</v>
      </c>
      <c r="W32" s="135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5.8648254425071328E-5</v>
      </c>
      <c r="AN32" s="28">
        <v>7</v>
      </c>
      <c r="AO32" s="79">
        <f>((($W$25)^Q32)*((1-($W$25))^($U$33-Q32))*HLOOKUP($U$33,$AV$24:$BF$34,Q32+1))*V33</f>
        <v>8.3764279915783552E-5</v>
      </c>
      <c r="AP32" s="28">
        <v>7</v>
      </c>
      <c r="AQ32" s="79">
        <f>((($W$25)^Q32)*((1-($W$25))^($U$34-Q32))*HLOOKUP($U$34,$AV$24:$BF$34,Q32+1))*V34</f>
        <v>4.0579489299291777E-5</v>
      </c>
      <c r="AR32" s="28">
        <v>7</v>
      </c>
      <c r="AS32" s="79">
        <f>((($W$25)^Q32)*((1-($W$25))^($U$35-Q32))*HLOOKUP($U$35,$AV$24:$BF$34,Q32+1))*V35</f>
        <v>7.0886863112126929E-6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1.9636304332295254E-2</v>
      </c>
      <c r="BP32">
        <f t="shared" si="17"/>
        <v>8</v>
      </c>
      <c r="BQ32">
        <v>1</v>
      </c>
      <c r="BR32" s="107">
        <f t="shared" si="18"/>
        <v>2.7468373657435598E-5</v>
      </c>
    </row>
    <row r="33" spans="1:70" x14ac:dyDescent="0.25">
      <c r="A33" s="26" t="s">
        <v>122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6">
        <f>J33*L25+J32*L26+J31*L27+J30*L28</f>
        <v>2.0507712971897473E-4</v>
      </c>
      <c r="I33" s="93">
        <v>8</v>
      </c>
      <c r="J33" s="86">
        <f t="shared" si="11"/>
        <v>1.3787599710083673E-5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1.6273233454020378E-2</v>
      </c>
      <c r="S33" s="72">
        <v>8</v>
      </c>
      <c r="T33" s="133">
        <f t="shared" si="13"/>
        <v>0</v>
      </c>
      <c r="U33" s="93">
        <v>8</v>
      </c>
      <c r="V33" s="86">
        <f>T33*R25+T32*R26+T31*R27+T30*R28+T29*R29+T28*R30+T27*R31+T26*R32+T25*R33</f>
        <v>1.6906172264115518E-2</v>
      </c>
      <c r="W33" s="135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6.2028712351058608E-6</v>
      </c>
      <c r="AP33" s="28">
        <v>8</v>
      </c>
      <c r="AQ33" s="79">
        <f>((($W$25)^Q33)*((1-($W$25))^($U$34-Q33))*HLOOKUP($U$34,$AV$24:$BF$34,Q33+1))*V34</f>
        <v>6.0099447440587116E-6</v>
      </c>
      <c r="AR33" s="28">
        <v>8</v>
      </c>
      <c r="AS33" s="79">
        <f>((($W$25)^Q33)*((1-($W$25))^($U$35-Q33))*HLOOKUP($U$35,$AV$24:$BF$34,Q33+1))*V35</f>
        <v>1.5747837309191023E-6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8.071497371117814E-3</v>
      </c>
      <c r="BP33">
        <f t="shared" si="17"/>
        <v>8</v>
      </c>
      <c r="BQ33">
        <v>2</v>
      </c>
      <c r="BR33" s="107">
        <f t="shared" si="18"/>
        <v>4.774961699138079E-5</v>
      </c>
    </row>
    <row r="34" spans="1:70" x14ac:dyDescent="0.25">
      <c r="A34" s="40" t="s">
        <v>123</v>
      </c>
      <c r="B34" s="56">
        <f>B23*2</f>
        <v>4.2677791699099652</v>
      </c>
      <c r="C34" s="57">
        <f>C23*2</f>
        <v>5.7322208300900348</v>
      </c>
      <c r="G34" s="87">
        <v>9</v>
      </c>
      <c r="H34" s="126">
        <f>J34*L25+J33*L26+J32*L27+J31*L28</f>
        <v>2.266480783309812E-5</v>
      </c>
      <c r="I34" s="93">
        <v>9</v>
      </c>
      <c r="J34" s="86">
        <f t="shared" si="11"/>
        <v>6.0291172478750003E-7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2.6924048702840022E-3</v>
      </c>
      <c r="S34" s="72">
        <v>9</v>
      </c>
      <c r="T34" s="133">
        <f t="shared" si="13"/>
        <v>0</v>
      </c>
      <c r="U34" s="93">
        <v>9</v>
      </c>
      <c r="V34" s="86">
        <f>T34*R25+T33*R26+T32*R27+T31*R28+T30*R29+T29*R30+T28*R31+T27*R32+T26*R33+T25*R34</f>
        <v>2.8982507212050816E-3</v>
      </c>
      <c r="W34" s="135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3.9559597389751952E-7</v>
      </c>
      <c r="AR34" s="28">
        <v>9</v>
      </c>
      <c r="AS34" s="79">
        <f>((($W$25)^Q34)*((1-($W$25))^($U$35-Q34))*HLOOKUP($U$35,$AV$24:$BF$34,Q34+1))*V35</f>
        <v>2.0731575088998045E-7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2.5310042245701029E-3</v>
      </c>
      <c r="BP34">
        <f t="shared" si="17"/>
        <v>8</v>
      </c>
      <c r="BQ34">
        <v>3</v>
      </c>
      <c r="BR34" s="107">
        <f t="shared" si="18"/>
        <v>5.1363247830410317E-5</v>
      </c>
    </row>
    <row r="35" spans="1:70" x14ac:dyDescent="0.25">
      <c r="G35" s="88">
        <v>10</v>
      </c>
      <c r="H35" s="127">
        <f>J35*L25+J34*L26+J33*L27+J32*L28</f>
        <v>1.8421385796623046E-6</v>
      </c>
      <c r="I35" s="94">
        <v>10</v>
      </c>
      <c r="J35" s="89">
        <f t="shared" si="11"/>
        <v>1.2281635170244181E-8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2.0045615413217998E-4</v>
      </c>
      <c r="S35" s="72">
        <v>10</v>
      </c>
      <c r="T35" s="133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2.4186434331086026E-4</v>
      </c>
      <c r="W35" s="135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1.2281635170244181E-8</v>
      </c>
      <c r="BH35">
        <f t="shared" si="15"/>
        <v>3</v>
      </c>
      <c r="BI35">
        <v>8</v>
      </c>
      <c r="BJ35" s="107">
        <f t="shared" si="16"/>
        <v>6.0457203710323883E-4</v>
      </c>
      <c r="BP35">
        <f t="shared" si="17"/>
        <v>8</v>
      </c>
      <c r="BQ35">
        <v>4</v>
      </c>
      <c r="BR35" s="107">
        <f t="shared" si="18"/>
        <v>3.8246404184456838E-5</v>
      </c>
    </row>
    <row r="36" spans="1:70" x14ac:dyDescent="0.25">
      <c r="A36" s="1"/>
      <c r="B36" s="108">
        <f>SUM(B37:B39)</f>
        <v>0.99999107374820073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5"/>
        <v>3</v>
      </c>
      <c r="BI36">
        <v>9</v>
      </c>
      <c r="BJ36" s="107">
        <f t="shared" si="16"/>
        <v>1.0843442520394211E-4</v>
      </c>
      <c r="BP36">
        <f t="shared" si="17"/>
        <v>8</v>
      </c>
      <c r="BQ36">
        <v>5</v>
      </c>
      <c r="BR36" s="107">
        <f t="shared" si="18"/>
        <v>2.085484592693087E-5</v>
      </c>
    </row>
    <row r="37" spans="1:70" x14ac:dyDescent="0.25">
      <c r="A37" s="109" t="s">
        <v>124</v>
      </c>
      <c r="B37" s="107">
        <f>SUM(BN4:BN14)</f>
        <v>0.17659899041025631</v>
      </c>
      <c r="G37" s="13"/>
      <c r="H37" s="59">
        <f>SUM(H39:H49)</f>
        <v>0.99999302393571066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0.99588288380291401</v>
      </c>
      <c r="W37" s="13"/>
      <c r="X37" s="13"/>
      <c r="Y37" s="80">
        <f>SUM(Y39:Y49)</f>
        <v>1.9845660399471149E-4</v>
      </c>
      <c r="Z37" s="81"/>
      <c r="AA37" s="80">
        <f>SUM(AA39:AA49)</f>
        <v>2.667542670436535E-3</v>
      </c>
      <c r="AB37" s="81"/>
      <c r="AC37" s="80">
        <f>SUM(AC39:AC49)</f>
        <v>1.6137702390179705E-2</v>
      </c>
      <c r="AD37" s="81"/>
      <c r="AE37" s="80">
        <f>SUM(AE39:AE49)</f>
        <v>5.7866491280477626E-2</v>
      </c>
      <c r="AF37" s="81"/>
      <c r="AG37" s="80">
        <f>SUM(AG39:AG49)</f>
        <v>0.13621440614823141</v>
      </c>
      <c r="AH37" s="81"/>
      <c r="AI37" s="80">
        <f>SUM(AI39:AI49)</f>
        <v>0.21997508653438402</v>
      </c>
      <c r="AJ37" s="81"/>
      <c r="AK37" s="80">
        <f>SUM(AK39:AK49)</f>
        <v>0.24688739984683841</v>
      </c>
      <c r="AL37" s="81"/>
      <c r="AM37" s="80">
        <f>SUM(AM39:AM49)</f>
        <v>0.19026383247544021</v>
      </c>
      <c r="AN37" s="81"/>
      <c r="AO37" s="80">
        <f>SUM(AO39:AO49)</f>
        <v>9.6483745132614707E-2</v>
      </c>
      <c r="AP37" s="81"/>
      <c r="AQ37" s="80">
        <f>SUM(AQ39:AQ49)</f>
        <v>2.9188220720316679E-2</v>
      </c>
      <c r="AR37" s="81"/>
      <c r="AS37" s="80">
        <f>SUM(AS39:AS49)</f>
        <v>4.1171161970859895E-3</v>
      </c>
      <c r="BH37">
        <f t="shared" si="15"/>
        <v>3</v>
      </c>
      <c r="BI37">
        <v>10</v>
      </c>
      <c r="BJ37" s="107">
        <f t="shared" si="16"/>
        <v>1.4165725157625937E-5</v>
      </c>
      <c r="BP37">
        <f t="shared" si="17"/>
        <v>8</v>
      </c>
      <c r="BQ37">
        <v>6</v>
      </c>
      <c r="BR37" s="107">
        <f t="shared" si="18"/>
        <v>8.5723785507562359E-6</v>
      </c>
    </row>
    <row r="38" spans="1:70" x14ac:dyDescent="0.25">
      <c r="A38" s="110" t="s">
        <v>125</v>
      </c>
      <c r="B38" s="107">
        <f>SUM(BJ4:BJ59)</f>
        <v>0.59597225178515745</v>
      </c>
      <c r="G38" s="103" t="str">
        <f t="shared" ref="G38:AS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39" t="str">
        <f t="shared" si="19"/>
        <v>p</v>
      </c>
      <c r="U38" s="140" t="str">
        <f t="shared" si="19"/>
        <v>Total</v>
      </c>
      <c r="V38" s="141" t="str">
        <f t="shared" si="19"/>
        <v>P</v>
      </c>
      <c r="W38" s="90" t="str">
        <f t="shared" si="19"/>
        <v>E(x)</v>
      </c>
      <c r="X38" s="30" t="str">
        <f t="shared" si="19"/>
        <v>G0</v>
      </c>
      <c r="Y38" s="30" t="str">
        <f t="shared" si="19"/>
        <v>p</v>
      </c>
      <c r="Z38" s="30" t="str">
        <f t="shared" si="19"/>
        <v>G1</v>
      </c>
      <c r="AA38" s="30" t="str">
        <f t="shared" si="19"/>
        <v>p</v>
      </c>
      <c r="AB38" s="30" t="str">
        <f t="shared" si="19"/>
        <v>G2</v>
      </c>
      <c r="AC38" s="30" t="str">
        <f t="shared" si="19"/>
        <v>p</v>
      </c>
      <c r="AD38" s="30" t="str">
        <f t="shared" si="19"/>
        <v>G3</v>
      </c>
      <c r="AE38" s="30" t="str">
        <f t="shared" si="19"/>
        <v>p</v>
      </c>
      <c r="AF38" s="30" t="str">
        <f t="shared" si="19"/>
        <v>G4</v>
      </c>
      <c r="AG38" s="30" t="str">
        <f t="shared" si="19"/>
        <v>p</v>
      </c>
      <c r="AH38" s="30" t="str">
        <f t="shared" si="19"/>
        <v>G5</v>
      </c>
      <c r="AI38" s="30" t="str">
        <f t="shared" si="19"/>
        <v>p</v>
      </c>
      <c r="AJ38" s="30" t="str">
        <f t="shared" si="19"/>
        <v>G6</v>
      </c>
      <c r="AK38" s="30" t="str">
        <f t="shared" si="19"/>
        <v>p</v>
      </c>
      <c r="AL38" s="30" t="str">
        <f t="shared" si="19"/>
        <v>G7</v>
      </c>
      <c r="AM38" s="30" t="str">
        <f t="shared" si="19"/>
        <v>p</v>
      </c>
      <c r="AN38" s="30" t="str">
        <f t="shared" si="19"/>
        <v>G8</v>
      </c>
      <c r="AO38" s="30" t="str">
        <f t="shared" si="19"/>
        <v>p</v>
      </c>
      <c r="AP38" s="30" t="str">
        <f t="shared" si="19"/>
        <v>G9</v>
      </c>
      <c r="AQ38" s="30" t="str">
        <f t="shared" si="19"/>
        <v>p</v>
      </c>
      <c r="AR38" s="30" t="str">
        <f t="shared" si="19"/>
        <v>G10</v>
      </c>
      <c r="AS38" s="30" t="str">
        <f t="shared" si="19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20">BH32+1</f>
        <v>4</v>
      </c>
      <c r="BI38">
        <v>5</v>
      </c>
      <c r="BJ38" s="107">
        <f t="shared" ref="BJ38:BJ43" si="21">$H$29*H44</f>
        <v>8.9557390984137137E-3</v>
      </c>
      <c r="BP38">
        <f>BL11+1</f>
        <v>8</v>
      </c>
      <c r="BQ38">
        <v>7</v>
      </c>
      <c r="BR38" s="107">
        <f t="shared" si="18"/>
        <v>2.6880670746688735E-6</v>
      </c>
    </row>
    <row r="39" spans="1:70" x14ac:dyDescent="0.25">
      <c r="A39" s="111" t="s">
        <v>126</v>
      </c>
      <c r="B39" s="107">
        <f>SUM(BR4:BR47)</f>
        <v>0.227419831552787</v>
      </c>
      <c r="G39" s="128">
        <v>0</v>
      </c>
      <c r="H39" s="129">
        <f>L39*J39</f>
        <v>3.5891216279918037E-2</v>
      </c>
      <c r="I39" s="97">
        <v>0</v>
      </c>
      <c r="J39" s="98">
        <f t="shared" ref="J39:J49" si="22">Y39+AA39+AC39+AE39+AG39+AI39+AK39+AM39+AO39+AQ39+AS39</f>
        <v>7.9611109044617184E-2</v>
      </c>
      <c r="K39" s="102">
        <v>0</v>
      </c>
      <c r="L39" s="98">
        <f>AC21</f>
        <v>0.45083175841455986</v>
      </c>
      <c r="M39" s="84">
        <v>0</v>
      </c>
      <c r="N39" s="71">
        <f>(1-$C$24)^$B$21</f>
        <v>1.4158253922436198E-2</v>
      </c>
      <c r="O39" s="70">
        <v>0</v>
      </c>
      <c r="P39" s="71">
        <f t="shared" ref="P39:P44" si="23">N39</f>
        <v>1.4158253922436198E-2</v>
      </c>
      <c r="Q39" s="12">
        <v>0</v>
      </c>
      <c r="R39" s="73">
        <f>P39*N39</f>
        <v>2.0045615413217998E-4</v>
      </c>
      <c r="S39" s="70">
        <v>0</v>
      </c>
      <c r="T39" s="133">
        <f>(1-$C$33)^(INT(B23*2*(1-B31)))</f>
        <v>0.99002500000000004</v>
      </c>
      <c r="U39" s="138">
        <v>0</v>
      </c>
      <c r="V39" s="86">
        <f>R39*T39</f>
        <v>1.9845660399471149E-4</v>
      </c>
      <c r="W39" s="134">
        <f>C31</f>
        <v>0.38951074399685026</v>
      </c>
      <c r="X39" s="12">
        <v>0</v>
      </c>
      <c r="Y39" s="79">
        <f>V39</f>
        <v>1.9845660399471149E-4</v>
      </c>
      <c r="Z39" s="12">
        <v>0</v>
      </c>
      <c r="AA39" s="78">
        <f>((1-W39)^Z40)*V40</f>
        <v>1.6285061402314556E-3</v>
      </c>
      <c r="AB39" s="12">
        <v>0</v>
      </c>
      <c r="AC39" s="79">
        <f>(((1-$W$39)^AB41))*V41</f>
        <v>6.0144753929720291E-3</v>
      </c>
      <c r="AD39" s="12">
        <v>0</v>
      </c>
      <c r="AE39" s="79">
        <f>(((1-$W$39)^AB42))*V42</f>
        <v>1.3166223571486406E-2</v>
      </c>
      <c r="AF39" s="12">
        <v>0</v>
      </c>
      <c r="AG39" s="79">
        <f>(((1-$W$39)^AB43))*V43</f>
        <v>1.892061035824074E-2</v>
      </c>
      <c r="AH39" s="12">
        <v>0</v>
      </c>
      <c r="AI39" s="79">
        <f>(((1-$W$39)^AB44))*V44</f>
        <v>1.8653641385078329E-2</v>
      </c>
      <c r="AJ39" s="12">
        <v>0</v>
      </c>
      <c r="AK39" s="79">
        <f>(((1-$W$39)^AB45))*V45</f>
        <v>1.2781065986532022E-2</v>
      </c>
      <c r="AL39" s="12">
        <v>0</v>
      </c>
      <c r="AM39" s="79">
        <f>(((1-$W$39)^AB46))*V46</f>
        <v>6.0131552515432611E-3</v>
      </c>
      <c r="AN39" s="12">
        <v>0</v>
      </c>
      <c r="AO39" s="79">
        <f>(((1-$W$39)^AB47))*V47</f>
        <v>1.8615656403259207E-3</v>
      </c>
      <c r="AP39" s="12">
        <v>0</v>
      </c>
      <c r="AQ39" s="79">
        <f>(((1-$W$39)^AB48))*V48</f>
        <v>3.4380314767349518E-4</v>
      </c>
      <c r="AR39" s="12">
        <v>0</v>
      </c>
      <c r="AS39" s="79">
        <f>(((1-$W$39)^AB49))*V49</f>
        <v>2.9605566538797197E-5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20"/>
        <v>4</v>
      </c>
      <c r="BI39">
        <v>6</v>
      </c>
      <c r="BJ39" s="107">
        <f t="shared" si="21"/>
        <v>3.6812540367067081E-3</v>
      </c>
      <c r="BP39">
        <f t="shared" ref="BP39:BP46" si="24">BP31+1</f>
        <v>9</v>
      </c>
      <c r="BQ39">
        <v>0</v>
      </c>
      <c r="BR39" s="107">
        <f t="shared" ref="BR39:BR47" si="25">$H$34*H39</f>
        <v>8.1346751988050509E-7</v>
      </c>
    </row>
    <row r="40" spans="1:70" x14ac:dyDescent="0.25">
      <c r="G40" s="91">
        <v>1</v>
      </c>
      <c r="H40" s="130">
        <f>L39*J40+L40*J39</f>
        <v>0.13394167206785365</v>
      </c>
      <c r="I40" s="93">
        <v>1</v>
      </c>
      <c r="J40" s="86">
        <f t="shared" si="22"/>
        <v>0.22916016937475037</v>
      </c>
      <c r="K40" s="95">
        <v>1</v>
      </c>
      <c r="L40" s="86">
        <f>AD21</f>
        <v>0.38473261229021288</v>
      </c>
      <c r="M40" s="85">
        <v>1</v>
      </c>
      <c r="N40" s="71">
        <f>(($C$24)^M26)*((1-($C$24))^($B$21-M26))*HLOOKUP($B$21,$AV$24:$BF$34,M26+1)</f>
        <v>9.508251812101709E-2</v>
      </c>
      <c r="O40" s="72">
        <v>1</v>
      </c>
      <c r="P40" s="71">
        <f t="shared" si="23"/>
        <v>9.508251812101709E-2</v>
      </c>
      <c r="Q40" s="28">
        <v>1</v>
      </c>
      <c r="R40" s="37">
        <f>P40*N39+P39*N40</f>
        <v>2.6924048702840022E-3</v>
      </c>
      <c r="S40" s="72">
        <v>1</v>
      </c>
      <c r="T40" s="133">
        <f t="shared" ref="T40:T49" si="26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2.667542670436535E-3</v>
      </c>
      <c r="W40" s="135"/>
      <c r="X40" s="28">
        <v>1</v>
      </c>
      <c r="Y40" s="73"/>
      <c r="Z40" s="28">
        <v>1</v>
      </c>
      <c r="AA40" s="79">
        <f>(1-((1-W39)^Z40))*V40</f>
        <v>1.0390365302050794E-3</v>
      </c>
      <c r="AB40" s="28">
        <v>1</v>
      </c>
      <c r="AC40" s="79">
        <f>((($W$39)^M40)*((1-($W$39))^($U$27-M40))*HLOOKUP($U$27,$AV$24:$BF$34,M40+1))*V41</f>
        <v>7.6748370656180608E-3</v>
      </c>
      <c r="AD40" s="28">
        <v>1</v>
      </c>
      <c r="AE40" s="79">
        <f>((($W$39)^M40)*((1-($W$39))^($U$28-M40))*HLOOKUP($U$28,$AV$24:$BF$34,M40+1))*V42</f>
        <v>2.5201355250052484E-2</v>
      </c>
      <c r="AF40" s="28">
        <v>1</v>
      </c>
      <c r="AG40" s="79">
        <f>((($W$39)^M40)*((1-($W$39))^($U$29-M40))*HLOOKUP($U$29,$AV$24:$BF$34,M40+1))*V43</f>
        <v>4.8287703313650704E-2</v>
      </c>
      <c r="AH40" s="28">
        <v>1</v>
      </c>
      <c r="AI40" s="79">
        <f>((($W$39)^M40)*((1-($W$39))^($U$30-M40))*HLOOKUP($U$30,$AV$24:$BF$34,M40+1))*V44</f>
        <v>5.9507957451382321E-2</v>
      </c>
      <c r="AJ40" s="28">
        <v>1</v>
      </c>
      <c r="AK40" s="79">
        <f>((($W$39)^M40)*((1-($W$39))^($U$31-M40))*HLOOKUP($U$31,$AV$24:$BF$34,M40+1))*V45</f>
        <v>4.8928256861521968E-2</v>
      </c>
      <c r="AL40" s="28">
        <v>1</v>
      </c>
      <c r="AM40" s="79">
        <f>((($W$39)^Q40)*((1-($W$39))^($U$32-Q40))*HLOOKUP($U$32,$AV$24:$BF$34,Q40+1))*V46</f>
        <v>2.6856033696513883E-2</v>
      </c>
      <c r="AN40" s="28">
        <v>1</v>
      </c>
      <c r="AO40" s="79">
        <f>((($W$39)^Q40)*((1-($W$39))^($U$33-Q40))*HLOOKUP($U$33,$AV$24:$BF$34,Q40+1))*V47</f>
        <v>9.5018847317251548E-3</v>
      </c>
      <c r="AP40" s="28">
        <v>1</v>
      </c>
      <c r="AQ40" s="79">
        <f>((($W$39)^Q40)*((1-($W$39))^($U$34-Q40))*HLOOKUP($U$34,$AV$24:$BF$34,Q40+1))*V48</f>
        <v>1.9742119401731789E-3</v>
      </c>
      <c r="AR40" s="28">
        <v>1</v>
      </c>
      <c r="AS40" s="79">
        <f>((($W$39)^Q40)*((1-($W$39))^($U$35-Q40))*HLOOKUP($U$35,$AV$24:$BF$34,Q40+1))*V49</f>
        <v>1.8889253390751981E-4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20"/>
        <v>4</v>
      </c>
      <c r="BI40">
        <v>7</v>
      </c>
      <c r="BJ40" s="107">
        <f t="shared" si="21"/>
        <v>1.1543421363129406E-3</v>
      </c>
      <c r="BP40">
        <f t="shared" si="24"/>
        <v>9</v>
      </c>
      <c r="BQ40">
        <v>1</v>
      </c>
      <c r="BR40" s="107">
        <f t="shared" si="25"/>
        <v>3.0357622582617492E-6</v>
      </c>
    </row>
    <row r="41" spans="1:70" x14ac:dyDescent="0.25">
      <c r="G41" s="91">
        <v>2</v>
      </c>
      <c r="H41" s="130">
        <f>L39*J41+J40*L40+J39*L41</f>
        <v>0.23283735761668781</v>
      </c>
      <c r="I41" s="93">
        <v>2</v>
      </c>
      <c r="J41" s="86">
        <f t="shared" si="22"/>
        <v>0.29692562742348416</v>
      </c>
      <c r="K41" s="95">
        <v>2</v>
      </c>
      <c r="L41" s="86">
        <f>AE21</f>
        <v>0.13576577967955661</v>
      </c>
      <c r="M41" s="85">
        <v>2</v>
      </c>
      <c r="N41" s="71">
        <f>(($C$24)^M27)*((1-($C$24))^($B$21-M27))*HLOOKUP($B$21,$AV$24:$BF$34,M27+1)</f>
        <v>0.25541808479383232</v>
      </c>
      <c r="O41" s="72">
        <v>2</v>
      </c>
      <c r="P41" s="71">
        <f t="shared" si="23"/>
        <v>0.25541808479383232</v>
      </c>
      <c r="Q41" s="28">
        <v>2</v>
      </c>
      <c r="R41" s="37">
        <f>P41*N39+P40*N40+P39*N41</f>
        <v>1.6273233454020378E-2</v>
      </c>
      <c r="S41" s="72">
        <v>2</v>
      </c>
      <c r="T41" s="133">
        <f t="shared" si="26"/>
        <v>2.5000000000000001E-5</v>
      </c>
      <c r="U41" s="93">
        <v>2</v>
      </c>
      <c r="V41" s="86">
        <f>R41*T39+T40*R40+R39*T41</f>
        <v>1.6137702390179705E-2</v>
      </c>
      <c r="W41" s="135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2.4483899315896154E-3</v>
      </c>
      <c r="AD41" s="28">
        <v>2</v>
      </c>
      <c r="AE41" s="79">
        <f>((($W$39)^M41)*((1-($W$39))^($U$28-M41))*HLOOKUP($U$28,$AV$24:$BF$34,M41+1))*V42</f>
        <v>1.6079232413430424E-2</v>
      </c>
      <c r="AF41" s="28">
        <v>2</v>
      </c>
      <c r="AG41" s="79">
        <f>((($W$39)^M41)*((1-($W$39))^($U$29-M41))*HLOOKUP($U$29,$AV$24:$BF$34,M41+1))*V43</f>
        <v>4.6213538711733407E-2</v>
      </c>
      <c r="AH41" s="28">
        <v>2</v>
      </c>
      <c r="AI41" s="79">
        <f>((($W$39)^M41)*((1-($W$39))^($U$30-M41))*HLOOKUP($U$30,$AV$24:$BF$34,M41+1))*V44</f>
        <v>7.5935779549578974E-2</v>
      </c>
      <c r="AJ41" s="28">
        <v>2</v>
      </c>
      <c r="AK41" s="79">
        <f>((($W$39)^M41)*((1-($W$39))^($U$31-M41))*HLOOKUP($U$31,$AV$24:$BF$34,M41+1))*V45</f>
        <v>7.8044296214862835E-2</v>
      </c>
      <c r="AL41" s="28">
        <v>2</v>
      </c>
      <c r="AM41" s="79">
        <f>((($W$39)^Q41)*((1-($W$39))^($U$32-Q41))*HLOOKUP($U$32,$AV$24:$BF$34,Q41+1))*V46</f>
        <v>5.1404903017062915E-2</v>
      </c>
      <c r="AN41" s="28">
        <v>2</v>
      </c>
      <c r="AO41" s="79">
        <f>((($W$39)^Q41)*((1-($W$39))^($U$33-Q41))*HLOOKUP($U$33,$AV$24:$BF$34,Q41+1))*V47</f>
        <v>2.121872177423903E-2</v>
      </c>
      <c r="AP41" s="28">
        <v>2</v>
      </c>
      <c r="AQ41" s="79">
        <f>((($W$39)^Q41)*((1-($W$39))^($U$34-Q41))*HLOOKUP($U$34,$AV$24:$BF$34,Q41+1))*V48</f>
        <v>5.0384294502332895E-3</v>
      </c>
      <c r="AR41" s="28">
        <v>2</v>
      </c>
      <c r="AS41" s="79">
        <f>((($W$39)^Q41)*((1-($W$39))^($U$35-Q41))*HLOOKUP($U$35,$AV$24:$BF$34,Q41+1))*V49</f>
        <v>5.4233636075365951E-4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20"/>
        <v>4</v>
      </c>
      <c r="BI41">
        <v>8</v>
      </c>
      <c r="BJ41" s="107">
        <f t="shared" si="21"/>
        <v>2.7573362781856131E-4</v>
      </c>
      <c r="BP41">
        <f t="shared" si="24"/>
        <v>9</v>
      </c>
      <c r="BQ41">
        <v>2</v>
      </c>
      <c r="BR41" s="107">
        <f t="shared" si="25"/>
        <v>5.2772139667485739E-6</v>
      </c>
    </row>
    <row r="42" spans="1:70" ht="15" customHeight="1" x14ac:dyDescent="0.25">
      <c r="G42" s="91">
        <v>3</v>
      </c>
      <c r="H42" s="130">
        <f>J42*L39+J41*L40+L42*J39+L41*J40</f>
        <v>0.25045819541552683</v>
      </c>
      <c r="I42" s="93">
        <v>3</v>
      </c>
      <c r="J42" s="86">
        <f t="shared" si="22"/>
        <v>0.22808214730009638</v>
      </c>
      <c r="K42" s="95">
        <v>3</v>
      </c>
      <c r="L42" s="86">
        <f>AF21</f>
        <v>2.8669849615670706E-2</v>
      </c>
      <c r="M42" s="85">
        <v>3</v>
      </c>
      <c r="N42" s="71">
        <f>(($C$24)^M28)*((1-($C$24))^($B$21-M28))*HLOOKUP($B$21,$AV$24:$BF$34,M28+1)</f>
        <v>0.34306200197977804</v>
      </c>
      <c r="O42" s="72">
        <v>3</v>
      </c>
      <c r="P42" s="71">
        <f t="shared" si="23"/>
        <v>0.34306200197977804</v>
      </c>
      <c r="Q42" s="28">
        <v>3</v>
      </c>
      <c r="R42" s="37">
        <f>P42*N39+P41*N40+P40*N41+P39*N42</f>
        <v>5.8285907222028095E-2</v>
      </c>
      <c r="S42" s="72">
        <v>3</v>
      </c>
      <c r="T42" s="133">
        <f t="shared" si="26"/>
        <v>0</v>
      </c>
      <c r="U42" s="93">
        <v>3</v>
      </c>
      <c r="V42" s="86">
        <f>R42*T39+R41*T40+R40*T41+R39*T42</f>
        <v>5.7866491280477626E-2</v>
      </c>
      <c r="W42" s="135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3.4196800455083094E-3</v>
      </c>
      <c r="AF42" s="28">
        <v>3</v>
      </c>
      <c r="AG42" s="79">
        <f>((($W$39)^M42)*((1-($W$39))^($U$29-M42))*HLOOKUP($U$29,$AV$24:$BF$34,M42+1))*V43</f>
        <v>1.9657097067996721E-2</v>
      </c>
      <c r="AH42" s="28">
        <v>3</v>
      </c>
      <c r="AI42" s="79">
        <f>((($W$39)^M42)*((1-($W$39))^($U$30-M42))*HLOOKUP($U$30,$AV$24:$BF$34,M42+1))*V44</f>
        <v>4.8449340750043791E-2</v>
      </c>
      <c r="AJ42" s="28">
        <v>3</v>
      </c>
      <c r="AK42" s="79">
        <f>((($W$39)^M42)*((1-($W$39))^($U$31-M42))*HLOOKUP($U$31,$AV$24:$BF$34,M42+1))*V45</f>
        <v>6.6392851491787627E-2</v>
      </c>
      <c r="AL42" s="28">
        <v>3</v>
      </c>
      <c r="AM42" s="79">
        <f>((($W$39)^Q42)*((1-($W$39))^($U$32-Q42))*HLOOKUP($U$32,$AV$24:$BF$34,Q42+1))*V46</f>
        <v>5.4663156974430596E-2</v>
      </c>
      <c r="AN42" s="28">
        <v>3</v>
      </c>
      <c r="AO42" s="79">
        <f>((($W$39)^Q42)*((1-($W$39))^($U$33-Q42))*HLOOKUP($U$33,$AV$24:$BF$34,Q42+1))*V47</f>
        <v>2.7076381848408385E-2</v>
      </c>
      <c r="AP42" s="28">
        <v>3</v>
      </c>
      <c r="AQ42" s="79">
        <f>((($W$39)^Q42)*((1-($W$39))^($U$34-Q42))*HLOOKUP($U$34,$AV$24:$BF$34,Q42+1))*V48</f>
        <v>7.5009001338216252E-3</v>
      </c>
      <c r="AR42" s="28">
        <v>3</v>
      </c>
      <c r="AS42" s="79">
        <f>((($W$39)^Q42)*((1-($W$39))^($U$35-Q42))*HLOOKUP($U$35,$AV$24:$BF$34,Q42+1))*V49</f>
        <v>9.2273898809935113E-4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 t="shared" ref="BF42:BF48" si="27">BE41+BE42</f>
        <v>210</v>
      </c>
      <c r="BH42">
        <f t="shared" si="20"/>
        <v>4</v>
      </c>
      <c r="BI42">
        <v>9</v>
      </c>
      <c r="BJ42" s="107">
        <f t="shared" si="21"/>
        <v>4.945484674607559E-5</v>
      </c>
      <c r="BP42">
        <f t="shared" si="24"/>
        <v>9</v>
      </c>
      <c r="BQ42">
        <v>3</v>
      </c>
      <c r="BR42" s="107">
        <f t="shared" si="25"/>
        <v>5.6765868693174524E-6</v>
      </c>
    </row>
    <row r="43" spans="1:70" ht="15" customHeight="1" x14ac:dyDescent="0.25">
      <c r="G43" s="91">
        <v>4</v>
      </c>
      <c r="H43" s="130">
        <f>J43*L39+J42*L40+J41*L41+J40*L42</f>
        <v>0.18649765693945197</v>
      </c>
      <c r="I43" s="93">
        <v>4</v>
      </c>
      <c r="J43" s="86">
        <f t="shared" si="22"/>
        <v>0.1150422274296974</v>
      </c>
      <c r="K43" s="95">
        <v>4</v>
      </c>
      <c r="L43" s="86"/>
      <c r="M43" s="85">
        <v>4</v>
      </c>
      <c r="N43" s="71">
        <f>(($C$24)^M29)*((1-($C$24))^($B$21-M29))*HLOOKUP($B$21,$AV$24:$BF$34,M29+1)</f>
        <v>0.23038998451768047</v>
      </c>
      <c r="O43" s="72">
        <v>4</v>
      </c>
      <c r="P43" s="71">
        <f t="shared" si="23"/>
        <v>0.23038998451768047</v>
      </c>
      <c r="Q43" s="28">
        <v>4</v>
      </c>
      <c r="R43" s="37">
        <f>P43*N39+P42*N40+P41*N41+P40*N42+P39*N43</f>
        <v>0.13700063588347353</v>
      </c>
      <c r="S43" s="72">
        <v>4</v>
      </c>
      <c r="T43" s="133">
        <f t="shared" si="26"/>
        <v>0</v>
      </c>
      <c r="U43" s="93">
        <v>4</v>
      </c>
      <c r="V43" s="86">
        <f>T43*R39+T42*R40+T41*R41+T40*R42+T39*R43</f>
        <v>0.13621440614823141</v>
      </c>
      <c r="W43" s="135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3.1354566966098267E-3</v>
      </c>
      <c r="AH43" s="28">
        <v>4</v>
      </c>
      <c r="AI43" s="79">
        <f>((($W$39)^M43)*((1-($W$39))^($U$30-M43))*HLOOKUP($U$30,$AV$24:$BF$34,M43+1))*V44</f>
        <v>1.545607770827756E-2</v>
      </c>
      <c r="AJ43" s="28">
        <v>4</v>
      </c>
      <c r="AK43" s="79">
        <f>((($W$39)^M43)*((1-($W$39))^($U$31-M43))*HLOOKUP($U$31,$AV$24:$BF$34,M43+1))*V45</f>
        <v>3.1770496441593188E-2</v>
      </c>
      <c r="AL43" s="28">
        <v>4</v>
      </c>
      <c r="AM43" s="79">
        <f>((($W$39)^Q43)*((1-($W$39))^($U$32-Q43))*HLOOKUP($U$32,$AV$24:$BF$34,Q43+1))*V46</f>
        <v>3.4876759472761663E-2</v>
      </c>
      <c r="AN43" s="28">
        <v>4</v>
      </c>
      <c r="AO43" s="79">
        <f>((($W$39)^Q43)*((1-($W$39))^($U$33-Q43))*HLOOKUP($U$33,$AV$24:$BF$34,Q43+1))*V47</f>
        <v>2.1594445632762183E-2</v>
      </c>
      <c r="AP43" s="28">
        <v>4</v>
      </c>
      <c r="AQ43" s="79">
        <f>((($W$39)^Q43)*((1-($W$39))^($U$34-Q43))*HLOOKUP($U$34,$AV$24:$BF$34,Q43+1))*V48</f>
        <v>7.1787042025089967E-3</v>
      </c>
      <c r="AR43" s="28">
        <v>4</v>
      </c>
      <c r="AS43" s="79">
        <f>((($W$39)^Q43)*((1-($W$39))^($U$35-Q43))*HLOOKUP($U$35,$AV$24:$BF$34,Q43+1))*V49</f>
        <v>1.030287275183993E-3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si="27"/>
        <v>252</v>
      </c>
      <c r="BH43">
        <f t="shared" si="20"/>
        <v>4</v>
      </c>
      <c r="BI43">
        <v>10</v>
      </c>
      <c r="BJ43" s="107">
        <f t="shared" si="21"/>
        <v>6.4607136100902139E-6</v>
      </c>
      <c r="BP43">
        <f t="shared" si="24"/>
        <v>9</v>
      </c>
      <c r="BQ43">
        <v>4</v>
      </c>
      <c r="BR43" s="107">
        <f t="shared" si="25"/>
        <v>4.226933555855737E-6</v>
      </c>
    </row>
    <row r="44" spans="1:70" ht="15" customHeight="1" x14ac:dyDescent="0.25">
      <c r="G44" s="91">
        <v>5</v>
      </c>
      <c r="H44" s="130">
        <f>J44*L39+J43*L40+J42*L41+J41*L42</f>
        <v>0.10169269462425716</v>
      </c>
      <c r="I44" s="93">
        <v>5</v>
      </c>
      <c r="J44" s="86">
        <f t="shared" si="22"/>
        <v>3.9823357520835309E-2</v>
      </c>
      <c r="K44" s="95">
        <v>5</v>
      </c>
      <c r="L44" s="86"/>
      <c r="M44" s="85">
        <v>5</v>
      </c>
      <c r="N44" s="71">
        <f>(($C$24)^M30)*((1-($C$24))^($B$21-M30))*HLOOKUP($B$21,$AV$24:$BF$34,M30+1)</f>
        <v>6.1889156665255927E-2</v>
      </c>
      <c r="O44" s="72">
        <v>5</v>
      </c>
      <c r="P44" s="71">
        <f t="shared" si="23"/>
        <v>6.1889156665255927E-2</v>
      </c>
      <c r="Q44" s="28">
        <v>5</v>
      </c>
      <c r="R44" s="37">
        <f>P44*N39+P43*N40+P42*N41+P41*N42+P40*N43+P39*N44</f>
        <v>0.2208130835682563</v>
      </c>
      <c r="S44" s="72">
        <v>5</v>
      </c>
      <c r="T44" s="133">
        <f t="shared" si="26"/>
        <v>0</v>
      </c>
      <c r="U44" s="93">
        <v>5</v>
      </c>
      <c r="V44" s="86">
        <f>T44*R39+T43*R40+T42*R41+T41*R42+T40*R43+T39*R44</f>
        <v>0.21997508653438405</v>
      </c>
      <c r="W44" s="135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1.9722896900230672E-3</v>
      </c>
      <c r="AJ44" s="28">
        <v>5</v>
      </c>
      <c r="AK44" s="79">
        <f>((($W$39)^M44)*((1-($W$39))^($U$31-M44))*HLOOKUP($U$31,$AV$24:$BF$34,M44+1))*V45</f>
        <v>8.1082178494885082E-3</v>
      </c>
      <c r="AL44" s="28">
        <v>5</v>
      </c>
      <c r="AM44" s="79">
        <f>((($W$39)^Q44)*((1-($W$39))^($U$32-Q44))*HLOOKUP($U$32,$AV$24:$BF$34,Q44+1))*V46</f>
        <v>1.3351461042286879E-2</v>
      </c>
      <c r="AN44" s="28">
        <v>5</v>
      </c>
      <c r="AO44" s="79">
        <f>((($W$39)^Q44)*((1-($W$39))^($U$33-Q44))*HLOOKUP($U$33,$AV$24:$BF$34,Q44+1))*V47</f>
        <v>1.1022331353950428E-2</v>
      </c>
      <c r="AP44" s="28">
        <v>5</v>
      </c>
      <c r="AQ44" s="79">
        <f>((($W$39)^Q44)*((1-($W$39))^($U$34-Q44))*HLOOKUP($U$34,$AV$24:$BF$34,Q44+1))*V48</f>
        <v>4.580231981737232E-3</v>
      </c>
      <c r="AR44" s="28">
        <v>5</v>
      </c>
      <c r="AS44" s="79">
        <f>((($W$39)^Q44)*((1-($W$39))^($U$35-Q44))*HLOOKUP($U$35,$AV$24:$BF$34,Q44+1))*V49</f>
        <v>7.8882560334919477E-4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27"/>
        <v>210</v>
      </c>
      <c r="BH44">
        <f>BH39+1</f>
        <v>5</v>
      </c>
      <c r="BI44">
        <v>6</v>
      </c>
      <c r="BJ44" s="107">
        <f>$H$30*H45</f>
        <v>1.2249613948312982E-3</v>
      </c>
      <c r="BP44">
        <f t="shared" si="24"/>
        <v>9</v>
      </c>
      <c r="BQ44">
        <v>5</v>
      </c>
      <c r="BR44" s="107">
        <f t="shared" si="25"/>
        <v>2.3048453816887188E-6</v>
      </c>
    </row>
    <row r="45" spans="1:70" ht="15" customHeight="1" x14ac:dyDescent="0.25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>
        <f>J45*L39+J44*L40+J43*L41+J42*L42</f>
        <v>4.1800753514072017E-2</v>
      </c>
      <c r="I45" s="93">
        <v>6</v>
      </c>
      <c r="J45" s="86">
        <f t="shared" si="22"/>
        <v>9.5856835683731014E-3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0.24715222812498383</v>
      </c>
      <c r="S45" s="70">
        <v>6</v>
      </c>
      <c r="T45" s="133">
        <f t="shared" si="26"/>
        <v>0</v>
      </c>
      <c r="U45" s="93">
        <v>6</v>
      </c>
      <c r="V45" s="86">
        <f>T45*R39+T44*R40+T43*R41+T42*R42+T41*R43+T40*R44+T39*R45</f>
        <v>0.24688739984683838</v>
      </c>
      <c r="W45" s="135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8.6221500105223691E-4</v>
      </c>
      <c r="AL45" s="28">
        <v>6</v>
      </c>
      <c r="AM45" s="79">
        <f>((($W$39)^Q45)*((1-($W$39))^($U$32-Q45))*HLOOKUP($U$32,$AV$24:$BF$34,Q45+1))*V46</f>
        <v>2.8395462998938741E-3</v>
      </c>
      <c r="AN45" s="28">
        <v>6</v>
      </c>
      <c r="AO45" s="79">
        <f>((($W$39)^Q45)*((1-($W$39))^($U$33-Q45))*HLOOKUP($U$33,$AV$24:$BF$34,Q45+1))*V47</f>
        <v>3.5162916005805106E-3</v>
      </c>
      <c r="AP45" s="28">
        <v>6</v>
      </c>
      <c r="AQ45" s="79">
        <f>((($W$39)^Q45)*((1-($W$39))^($U$34-Q45))*HLOOKUP($U$34,$AV$24:$BF$34,Q45+1))*V48</f>
        <v>1.9482183613022588E-3</v>
      </c>
      <c r="AR45" s="28">
        <v>6</v>
      </c>
      <c r="AS45" s="79">
        <f>((($W$39)^Q45)*((1-($W$39))^($U$35-Q45))*HLOOKUP($U$35,$AV$24:$BF$34,Q45+1))*V49</f>
        <v>4.1941230554422173E-4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27"/>
        <v>120</v>
      </c>
      <c r="BH45">
        <f>BH40+1</f>
        <v>5</v>
      </c>
      <c r="BI45">
        <v>7</v>
      </c>
      <c r="BJ45" s="107">
        <f>$H$30*H46</f>
        <v>3.8411490739591634E-4</v>
      </c>
      <c r="BP45">
        <f t="shared" si="24"/>
        <v>9</v>
      </c>
      <c r="BQ45">
        <v>6</v>
      </c>
      <c r="BR45" s="107">
        <f t="shared" si="25"/>
        <v>9.4740604567514321E-7</v>
      </c>
    </row>
    <row r="46" spans="1:70" ht="15" customHeight="1" x14ac:dyDescent="0.25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>
        <f>J46*L39+J45*L40+J44*L41+J43*L42</f>
        <v>1.3107590682356623E-2</v>
      </c>
      <c r="I46" s="93">
        <v>7</v>
      </c>
      <c r="J46" s="86">
        <f t="shared" si="22"/>
        <v>1.585454099080246E-3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0.18969131837934131</v>
      </c>
      <c r="S46" s="72">
        <v>7</v>
      </c>
      <c r="T46" s="133">
        <f t="shared" si="26"/>
        <v>0</v>
      </c>
      <c r="U46" s="93">
        <v>7</v>
      </c>
      <c r="V46" s="86">
        <f>T46*R39+T45*R40+T44*R41+T43*R42+T42*R43+T41*R44+T40*R45+T39*R46</f>
        <v>0.19026383247544018</v>
      </c>
      <c r="W46" s="135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2.588167209470946E-4</v>
      </c>
      <c r="AN46" s="28">
        <v>7</v>
      </c>
      <c r="AO46" s="79">
        <f>((($W$39)^Q46)*((1-($W$39))^($U$33-Q46))*HLOOKUP($U$33,$AV$24:$BF$34,Q46+1))*V47</f>
        <v>6.4100033303917021E-4</v>
      </c>
      <c r="AP46" s="28">
        <v>7</v>
      </c>
      <c r="AQ46" s="79">
        <f>((($W$39)^Q46)*((1-($W$39))^($U$34-Q46))*HLOOKUP($U$34,$AV$24:$BF$34,Q46+1))*V48</f>
        <v>5.3272400028837484E-4</v>
      </c>
      <c r="AR46" s="28">
        <v>7</v>
      </c>
      <c r="AS46" s="79">
        <f>((($W$39)^Q46)*((1-($W$39))^($U$35-Q46))*HLOOKUP($U$35,$AV$24:$BF$34,Q46+1))*V49</f>
        <v>1.5291304480560632E-4</v>
      </c>
      <c r="AV46" s="14">
        <v>8</v>
      </c>
      <c r="BD46">
        <v>1</v>
      </c>
      <c r="BE46">
        <v>9</v>
      </c>
      <c r="BF46">
        <f t="shared" si="27"/>
        <v>45</v>
      </c>
      <c r="BH46">
        <f>BH41+1</f>
        <v>5</v>
      </c>
      <c r="BI46">
        <v>8</v>
      </c>
      <c r="BJ46" s="107">
        <f>$H$30*H47</f>
        <v>9.1752170854442205E-5</v>
      </c>
      <c r="BP46">
        <f t="shared" si="24"/>
        <v>9</v>
      </c>
      <c r="BQ46">
        <v>7</v>
      </c>
      <c r="BR46" s="107">
        <f t="shared" si="25"/>
        <v>2.9708102397052031E-7</v>
      </c>
    </row>
    <row r="47" spans="1:70" ht="15" customHeight="1" x14ac:dyDescent="0.25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>
        <f>J47*L39+J46*L40+J45*L41+J44*L42</f>
        <v>3.1309638772704018E-3</v>
      </c>
      <c r="I47" s="93">
        <v>8</v>
      </c>
      <c r="J47" s="86">
        <f t="shared" si="22"/>
        <v>1.7268194592963838E-4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9.5543180938902683E-2</v>
      </c>
      <c r="S47" s="72">
        <v>8</v>
      </c>
      <c r="T47" s="133">
        <f t="shared" si="26"/>
        <v>0</v>
      </c>
      <c r="U47" s="93">
        <v>8</v>
      </c>
      <c r="V47" s="86">
        <f>T47*R39+T46*R40+T45*R41+T44*R42+T43*R43+T42*R44+T41*R45+T40*R46+T39*R47</f>
        <v>9.6483745132614707E-2</v>
      </c>
      <c r="W47" s="135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5.1122217583921701E-5</v>
      </c>
      <c r="AP47" s="28">
        <v>8</v>
      </c>
      <c r="AQ47" s="79">
        <f>((($W$39)^Q47)*((1-($W$39))^($U$34-Q47))*HLOOKUP($U$34,$AV$24:$BF$34,Q47+1))*V48</f>
        <v>8.4973535429521373E-5</v>
      </c>
      <c r="AR47" s="28">
        <v>8</v>
      </c>
      <c r="AS47" s="79">
        <f>((($W$39)^Q47)*((1-($W$39))^($U$35-Q47))*HLOOKUP($U$35,$AV$24:$BF$34,Q47+1))*V49</f>
        <v>3.6586192916195312E-5</v>
      </c>
      <c r="AV47" s="29">
        <v>9</v>
      </c>
      <c r="BE47">
        <v>1</v>
      </c>
      <c r="BF47">
        <f t="shared" si="27"/>
        <v>10</v>
      </c>
      <c r="BH47">
        <f>BH42+1</f>
        <v>5</v>
      </c>
      <c r="BI47">
        <v>9</v>
      </c>
      <c r="BJ47" s="107">
        <f>$H$30*H48</f>
        <v>1.6456424209570892E-5</v>
      </c>
      <c r="BP47">
        <f>BL12+1</f>
        <v>9</v>
      </c>
      <c r="BQ47">
        <v>8</v>
      </c>
      <c r="BR47" s="107">
        <f t="shared" si="25"/>
        <v>7.0962694610705461E-8</v>
      </c>
    </row>
    <row r="48" spans="1:70" ht="15" customHeight="1" x14ac:dyDescent="0.25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>
        <f>J48*L39+J47*L40+J46*L41+J45*L42</f>
        <v>5.6156131532783256E-4</v>
      </c>
      <c r="I48" s="93">
        <v>9</v>
      </c>
      <c r="J48" s="86">
        <f t="shared" si="22"/>
        <v>1.1211323967723943E-5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2.8517283691841228E-2</v>
      </c>
      <c r="S48" s="72">
        <v>9</v>
      </c>
      <c r="T48" s="133">
        <f t="shared" si="26"/>
        <v>0</v>
      </c>
      <c r="U48" s="93">
        <v>9</v>
      </c>
      <c r="V48" s="86">
        <f>T48*R39+T47*R40+T46*R41+T45*R42+T44*R43+T43*R44+T42*R45+T41*R46+T40*R47+T39*R48</f>
        <v>2.9188220720316679E-2</v>
      </c>
      <c r="W48" s="135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6.0239671487036541E-6</v>
      </c>
      <c r="AR48" s="28">
        <v>9</v>
      </c>
      <c r="AS48" s="79">
        <f>((($W$39)^Q48)*((1-($W$39))^($U$35-Q48))*HLOOKUP($U$35,$AV$24:$BF$34,Q48+1))*V49</f>
        <v>5.1873568190202897E-6</v>
      </c>
      <c r="AV48" s="14">
        <v>10</v>
      </c>
      <c r="BF48">
        <f t="shared" si="27"/>
        <v>1</v>
      </c>
      <c r="BH48">
        <f>BH43+1</f>
        <v>5</v>
      </c>
      <c r="BI48">
        <v>10</v>
      </c>
      <c r="BJ48" s="107">
        <f>$H$30*H49</f>
        <v>2.1498447747718403E-6</v>
      </c>
    </row>
    <row r="49" spans="1:62" ht="15" customHeight="1" x14ac:dyDescent="0.25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>
        <f>J49*L39+J48*L40+J47*L41+J46*L42</f>
        <v>7.336160298841875E-5</v>
      </c>
      <c r="I49" s="94">
        <v>10</v>
      </c>
      <c r="J49" s="89">
        <f t="shared" si="22"/>
        <v>3.3096916843091875E-7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3.830267712736592E-3</v>
      </c>
      <c r="S49" s="72">
        <v>10</v>
      </c>
      <c r="T49" s="133">
        <f t="shared" si="26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4.1171161970859904E-3</v>
      </c>
      <c r="W49" s="135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3.3096916843091875E-7</v>
      </c>
      <c r="BH49">
        <f>BP14+1</f>
        <v>6</v>
      </c>
      <c r="BI49">
        <v>0</v>
      </c>
      <c r="BJ49" s="107">
        <f>$H$31*H39</f>
        <v>2.6336293515635676E-4</v>
      </c>
    </row>
    <row r="50" spans="1:62" x14ac:dyDescent="0.25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9.6181013427094607E-5</v>
      </c>
    </row>
    <row r="51" spans="1:62" x14ac:dyDescent="0.25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H51">
        <f>BH46+1</f>
        <v>6</v>
      </c>
      <c r="BI51">
        <v>8</v>
      </c>
      <c r="BJ51" s="107">
        <f>$H$31*H47</f>
        <v>2.2974418870497614E-5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4.1206303826976387E-6</v>
      </c>
    </row>
    <row r="53" spans="1:62" x14ac:dyDescent="0.25">
      <c r="BH53">
        <f>BH48+1</f>
        <v>6</v>
      </c>
      <c r="BI53">
        <v>10</v>
      </c>
      <c r="BJ53" s="107">
        <f>$H$31*H49</f>
        <v>5.3831352328997858E-7</v>
      </c>
    </row>
    <row r="54" spans="1:62" x14ac:dyDescent="0.25">
      <c r="BH54">
        <f>BH51+1</f>
        <v>7</v>
      </c>
      <c r="BI54">
        <v>8</v>
      </c>
      <c r="BJ54" s="107">
        <f>$H$32*H47</f>
        <v>4.3921872541478401E-6</v>
      </c>
    </row>
    <row r="55" spans="1:62" x14ac:dyDescent="0.25">
      <c r="BH55">
        <f>BH52+1</f>
        <v>7</v>
      </c>
      <c r="BI55">
        <v>9</v>
      </c>
      <c r="BJ55" s="107">
        <f>$H$32*H48</f>
        <v>7.8777097031081063E-7</v>
      </c>
    </row>
    <row r="56" spans="1:62" x14ac:dyDescent="0.25">
      <c r="BH56">
        <f>BH53+1</f>
        <v>7</v>
      </c>
      <c r="BI56">
        <v>10</v>
      </c>
      <c r="BJ56" s="107">
        <f>$H$32*H49</f>
        <v>1.0291332325127269E-7</v>
      </c>
    </row>
    <row r="57" spans="1:62" x14ac:dyDescent="0.25">
      <c r="BH57">
        <f>BH55+1</f>
        <v>8</v>
      </c>
      <c r="BI57">
        <v>9</v>
      </c>
      <c r="BJ57" s="107">
        <f>$H$33*H48</f>
        <v>1.1516338270864398E-7</v>
      </c>
    </row>
    <row r="58" spans="1:62" x14ac:dyDescent="0.25">
      <c r="BH58">
        <f>BH56+1</f>
        <v>8</v>
      </c>
      <c r="BI58">
        <v>10</v>
      </c>
      <c r="BJ58" s="107">
        <f>$H$33*H49</f>
        <v>1.5044786972447876E-8</v>
      </c>
    </row>
    <row r="59" spans="1:62" x14ac:dyDescent="0.25">
      <c r="BH59">
        <f>BH58+1</f>
        <v>9</v>
      </c>
      <c r="BI59">
        <v>10</v>
      </c>
      <c r="BJ59" s="107">
        <f>$H$34*H49</f>
        <v>1.6627266340605477E-9</v>
      </c>
    </row>
  </sheetData>
  <mergeCells count="2">
    <mergeCell ref="P1:Q1"/>
    <mergeCell ref="B3:C3"/>
  </mergeCells>
  <conditionalFormatting sqref="H49">
    <cfRule type="cellIs" dxfId="41" priority="1" operator="greaterThan">
      <formula>0.15</formula>
    </cfRule>
  </conditionalFormatting>
  <conditionalFormatting sqref="H39:H49">
    <cfRule type="cellIs" dxfId="40" priority="2" operator="greaterThan">
      <formula>0.15</formula>
    </cfRule>
  </conditionalFormatting>
  <conditionalFormatting sqref="H49">
    <cfRule type="cellIs" dxfId="39" priority="3" operator="greaterThan">
      <formula>0.15</formula>
    </cfRule>
  </conditionalFormatting>
  <conditionalFormatting sqref="H39:H49">
    <cfRule type="cellIs" dxfId="38" priority="4" operator="greaterThan">
      <formula>0.15</formula>
    </cfRule>
  </conditionalFormatting>
  <conditionalFormatting sqref="H35">
    <cfRule type="cellIs" dxfId="37" priority="5" operator="greaterThan">
      <formula>0.15</formula>
    </cfRule>
  </conditionalFormatting>
  <conditionalFormatting sqref="H25:H35">
    <cfRule type="cellIs" dxfId="36" priority="6" operator="greaterThan">
      <formula>0.15</formula>
    </cfRule>
  </conditionalFormatting>
  <conditionalFormatting sqref="H35">
    <cfRule type="cellIs" dxfId="35" priority="7" operator="greaterThan">
      <formula>0.15</formula>
    </cfRule>
  </conditionalFormatting>
  <conditionalFormatting sqref="H25:H35">
    <cfRule type="cellIs" dxfId="34" priority="8" operator="greaterThan">
      <formula>0.15</formula>
    </cfRule>
  </conditionalFormatting>
  <conditionalFormatting sqref="V49">
    <cfRule type="cellIs" dxfId="33" priority="9" operator="greaterThan">
      <formula>0.15</formula>
    </cfRule>
  </conditionalFormatting>
  <conditionalFormatting sqref="V35">
    <cfRule type="cellIs" dxfId="32" priority="10" operator="greaterThan">
      <formula>0.15</formula>
    </cfRule>
  </conditionalFormatting>
  <conditionalFormatting sqref="V25:V35 V39:V49">
    <cfRule type="cellIs" dxfId="31" priority="11" operator="greaterThan">
      <formula>0.15</formula>
    </cfRule>
  </conditionalFormatting>
  <conditionalFormatting sqref="V49">
    <cfRule type="cellIs" dxfId="30" priority="12" operator="greaterThan">
      <formula>0.15</formula>
    </cfRule>
  </conditionalFormatting>
  <conditionalFormatting sqref="V35">
    <cfRule type="cellIs" dxfId="29" priority="13" operator="greaterThan">
      <formula>0.15</formula>
    </cfRule>
  </conditionalFormatting>
  <conditionalFormatting sqref="V25:V35 V39:V49">
    <cfRule type="cellIs" dxfId="28" priority="14" operator="greaterThan">
      <formula>0.15</formula>
    </cfRule>
  </conditionalFormatting>
  <pageMargins left="0.7" right="0.7" top="0.75" bottom="0.75" header="0.3" footer="0.3"/>
  <pageSetup paperSize="9" fitToWidth="0"/>
  <drawing r:id="rId1"/>
  <legacyDrawing r:id="rId2"/>
  <extLst>
    <ext uri="smNativeData">
      <pm:sheetPrefs xmlns:pm="smNativeData" day="15952533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BR59"/>
  <sheetViews>
    <sheetView zoomScale="80" workbookViewId="0">
      <selection activeCell="O16" sqref="O16"/>
    </sheetView>
  </sheetViews>
  <sheetFormatPr baseColWidth="10" defaultColWidth="9.140625" defaultRowHeight="15" x14ac:dyDescent="0.25"/>
  <cols>
    <col min="1" max="1" width="22.7109375" customWidth="1"/>
    <col min="4" max="4" width="11.28515625" customWidth="1"/>
    <col min="5" max="5" width="10.140625" customWidth="1"/>
    <col min="6" max="6" width="4.85546875" customWidth="1"/>
    <col min="7" max="7" width="6" customWidth="1"/>
    <col min="9" max="9" width="4.42578125" customWidth="1"/>
    <col min="11" max="11" width="6" customWidth="1"/>
    <col min="13" max="13" width="5.7109375" customWidth="1"/>
    <col min="15" max="15" width="7.140625" customWidth="1"/>
    <col min="17" max="17" width="8.85546875" customWidth="1"/>
    <col min="19" max="19" width="8.85546875" customWidth="1"/>
    <col min="21" max="21" width="8.85546875" customWidth="1"/>
    <col min="23" max="23" width="17.42578125" customWidth="1"/>
    <col min="24" max="24" width="7.140625" customWidth="1"/>
    <col min="26" max="26" width="8.7109375" customWidth="1"/>
    <col min="27" max="27" width="8" customWidth="1"/>
    <col min="28" max="28" width="10" customWidth="1"/>
    <col min="29" max="29" width="8.42578125" customWidth="1"/>
    <col min="30" max="30" width="8.85546875" customWidth="1"/>
    <col min="31" max="31" width="8.42578125" customWidth="1"/>
    <col min="32" max="32" width="8.7109375" customWidth="1"/>
    <col min="33" max="33" width="8.42578125" customWidth="1"/>
    <col min="34" max="34" width="3.7109375" customWidth="1"/>
    <col min="35" max="35" width="8.42578125" customWidth="1"/>
    <col min="36" max="36" width="3.7109375" customWidth="1"/>
    <col min="37" max="37" width="8.42578125" customWidth="1"/>
    <col min="38" max="38" width="4.85546875" customWidth="1"/>
    <col min="42" max="42" width="4.5703125" customWidth="1"/>
    <col min="43" max="43" width="8.42578125" customWidth="1"/>
    <col min="44" max="44" width="5.42578125" customWidth="1"/>
    <col min="45" max="45" width="8.42578125" customWidth="1"/>
    <col min="46" max="46" width="2.28515625" customWidth="1"/>
    <col min="47" max="47" width="3.42578125" customWidth="1"/>
    <col min="48" max="48" width="4.28515625" customWidth="1"/>
    <col min="49" max="52" width="3" customWidth="1"/>
    <col min="53" max="56" width="3.42578125" customWidth="1"/>
    <col min="57" max="58" width="4.42578125" customWidth="1"/>
    <col min="60" max="60" width="2.42578125" customWidth="1"/>
    <col min="61" max="61" width="3.42578125" customWidth="1"/>
    <col min="62" max="62" width="6.140625" customWidth="1"/>
    <col min="63" max="63" width="4.7109375" customWidth="1"/>
    <col min="64" max="65" width="3.42578125" customWidth="1"/>
    <col min="66" max="66" width="6.140625" customWidth="1"/>
    <col min="67" max="67" width="4.42578125" customWidth="1"/>
    <col min="68" max="69" width="2.42578125" customWidth="1"/>
    <col min="70" max="70" width="5.28515625" customWidth="1"/>
  </cols>
  <sheetData>
    <row r="1" spans="1:70" x14ac:dyDescent="0.25">
      <c r="A1" s="153" t="s">
        <v>143</v>
      </c>
      <c r="B1" t="s">
        <v>0</v>
      </c>
      <c r="F1" s="10" t="s">
        <v>1</v>
      </c>
      <c r="G1" s="70">
        <f>IF(D3="SI",COUNTIF($F$6:$F$18,"RAP"),0)</f>
        <v>0</v>
      </c>
      <c r="H1" s="70">
        <f>G1+G2+G3</f>
        <v>0</v>
      </c>
      <c r="J1" s="11" t="s">
        <v>1</v>
      </c>
      <c r="K1" s="70">
        <f>IF(D3="SI",COUNTIF($J$6:$J$18,"RAP"),0)</f>
        <v>0</v>
      </c>
      <c r="L1" s="70">
        <f>K1+K2+K3</f>
        <v>0</v>
      </c>
      <c r="M1" s="148">
        <f>L1+H1</f>
        <v>0</v>
      </c>
      <c r="P1" s="306" t="s">
        <v>157</v>
      </c>
      <c r="Q1" s="306"/>
      <c r="R1" s="150">
        <v>-0.12364059050405626</v>
      </c>
      <c r="S1" s="151">
        <f>1+R1</f>
        <v>0.87635940949594371</v>
      </c>
      <c r="U1" s="156" t="s">
        <v>154</v>
      </c>
      <c r="V1">
        <f>IF(B17="JC",IF(C17="JC",1.2,1.1),IF(C17="JC",1.1,1))</f>
        <v>1</v>
      </c>
      <c r="AF1">
        <f>COUNTA(J16:J18)</f>
        <v>0</v>
      </c>
    </row>
    <row r="2" spans="1:70" x14ac:dyDescent="0.25">
      <c r="A2" s="153" t="s">
        <v>146</v>
      </c>
      <c r="B2" t="s">
        <v>0</v>
      </c>
      <c r="F2" s="10" t="s">
        <v>2</v>
      </c>
      <c r="G2" s="70">
        <f>IF(D3="SI",COUNTIF($F$6:$F$18,"TEC"),0)</f>
        <v>0</v>
      </c>
      <c r="H2" s="13"/>
      <c r="J2" s="11" t="s">
        <v>2</v>
      </c>
      <c r="K2" s="70">
        <f>IF(D3="SI",COUNTIF($J$6:$J$18,"TEC"),0)</f>
        <v>0</v>
      </c>
      <c r="L2" s="13" t="s">
        <v>155</v>
      </c>
      <c r="M2" s="158" t="str">
        <f>IF(M1&lt;&gt;0,"SI","NO")</f>
        <v>NO</v>
      </c>
      <c r="O2" t="s">
        <v>3</v>
      </c>
      <c r="P2" s="160" t="s">
        <v>148</v>
      </c>
      <c r="R2" s="150">
        <v>7.3959748117051499E-2</v>
      </c>
      <c r="S2" s="151">
        <f>1+R2</f>
        <v>1.0739597481170515</v>
      </c>
      <c r="Y2" t="s">
        <v>3</v>
      </c>
      <c r="Z2" s="159" t="s">
        <v>148</v>
      </c>
    </row>
    <row r="3" spans="1:70" x14ac:dyDescent="0.25">
      <c r="A3" s="157" t="s">
        <v>4</v>
      </c>
      <c r="B3" s="307" t="s">
        <v>130</v>
      </c>
      <c r="C3" s="307"/>
      <c r="D3" t="str">
        <f>IF(B3="Sol","SI",IF(B3="Lluvia","SI","NO"))</f>
        <v>NO</v>
      </c>
      <c r="F3" s="10" t="s">
        <v>6</v>
      </c>
      <c r="G3" s="70">
        <f>IF(D3="SI",COUNTIF($F$6:$F$18,"POT"),0)</f>
        <v>0</v>
      </c>
      <c r="H3" s="13"/>
      <c r="J3" s="11" t="s">
        <v>6</v>
      </c>
      <c r="K3" s="70">
        <f>IF(D3="SI",COUNTIF($J$6:$J$18,"POT"),0)</f>
        <v>0</v>
      </c>
      <c r="L3" s="13"/>
      <c r="O3" t="s">
        <v>7</v>
      </c>
      <c r="P3" s="160" t="s">
        <v>149</v>
      </c>
      <c r="Q3" t="s">
        <v>8</v>
      </c>
      <c r="R3" s="160" t="s">
        <v>150</v>
      </c>
      <c r="Y3" t="s">
        <v>7</v>
      </c>
      <c r="Z3" s="159" t="s">
        <v>149</v>
      </c>
      <c r="AA3" t="s">
        <v>8</v>
      </c>
      <c r="AB3" s="159" t="s">
        <v>150</v>
      </c>
    </row>
    <row r="4" spans="1:70" ht="15.75" x14ac:dyDescent="0.25">
      <c r="A4" s="122"/>
      <c r="B4" s="8" t="s">
        <v>9</v>
      </c>
      <c r="C4" s="9" t="s">
        <v>10</v>
      </c>
      <c r="D4" s="13"/>
      <c r="E4" s="13"/>
      <c r="F4" s="8" t="s">
        <v>11</v>
      </c>
      <c r="G4" s="8" t="s">
        <v>12</v>
      </c>
      <c r="H4" s="8" t="s">
        <v>13</v>
      </c>
      <c r="I4" s="8" t="s">
        <v>14</v>
      </c>
      <c r="J4" s="9" t="s">
        <v>15</v>
      </c>
      <c r="K4" s="9" t="s">
        <v>12</v>
      </c>
      <c r="L4" s="9" t="s">
        <v>13</v>
      </c>
      <c r="M4" s="9" t="s">
        <v>14</v>
      </c>
      <c r="N4" s="13"/>
      <c r="O4" s="8" t="s">
        <v>16</v>
      </c>
      <c r="P4" s="8" t="s">
        <v>17</v>
      </c>
      <c r="Q4" s="8" t="s">
        <v>158</v>
      </c>
      <c r="R4" s="8" t="s">
        <v>19</v>
      </c>
      <c r="S4" s="8" t="s">
        <v>20</v>
      </c>
      <c r="T4" s="8" t="s">
        <v>21</v>
      </c>
      <c r="U4" s="8" t="s">
        <v>22</v>
      </c>
      <c r="V4" s="153"/>
      <c r="W4" s="123"/>
      <c r="X4" s="12" t="s">
        <v>23</v>
      </c>
      <c r="Y4" s="9" t="s">
        <v>16</v>
      </c>
      <c r="Z4" s="9" t="s">
        <v>17</v>
      </c>
      <c r="AA4" s="9" t="s">
        <v>159</v>
      </c>
      <c r="AB4" s="9" t="s">
        <v>24</v>
      </c>
      <c r="AC4" s="9" t="s">
        <v>20</v>
      </c>
      <c r="AD4" s="9" t="s">
        <v>21</v>
      </c>
      <c r="AE4" s="9" t="s">
        <v>22</v>
      </c>
      <c r="AF4" s="14"/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183" t="s">
        <v>160</v>
      </c>
      <c r="B5" s="154">
        <v>352</v>
      </c>
      <c r="C5" s="154">
        <v>352</v>
      </c>
      <c r="E5" s="187" t="s">
        <v>31</v>
      </c>
      <c r="F5" s="162"/>
      <c r="G5" s="162">
        <v>12</v>
      </c>
      <c r="H5" s="10"/>
      <c r="I5" s="10"/>
      <c r="J5" s="161"/>
      <c r="K5" s="161">
        <v>12</v>
      </c>
      <c r="L5" s="10"/>
      <c r="M5" s="10"/>
      <c r="O5" s="67">
        <f>COUNTIF(F5:F18,"IMP")*0.017</f>
        <v>0</v>
      </c>
      <c r="P5" s="16" t="str">
        <f>P3</f>
        <v>0,6</v>
      </c>
      <c r="Q5" s="16">
        <f t="shared" ref="Q5:Q19" si="1">P5*O5</f>
        <v>0</v>
      </c>
      <c r="R5" s="155" t="e">
        <f t="shared" ref="R5:R19" si="2">IF($M$2="SI",Q5*$B$22/0.5*$S$1,Q5*$B$22/0.5*$S$2)</f>
        <v>#DIV/0!</v>
      </c>
      <c r="S5" s="171" t="e">
        <f t="shared" ref="S5:S19" si="3">(1-R5)</f>
        <v>#DIV/0!</v>
      </c>
      <c r="T5" s="172" t="e">
        <f>R5*PRODUCT(S6:S19)</f>
        <v>#DIV/0!</v>
      </c>
      <c r="U5" s="17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1" t="s">
        <v>33</v>
      </c>
      <c r="X5" s="15" t="s">
        <v>34</v>
      </c>
      <c r="Y5" s="69">
        <f>COUNTIF(J5:J18,"IMP")*0.017</f>
        <v>0</v>
      </c>
      <c r="Z5" s="144" t="str">
        <f>Z3</f>
        <v>0,6</v>
      </c>
      <c r="AA5" s="19">
        <f t="shared" ref="AA5:AA19" si="4">Z5*Y5</f>
        <v>0</v>
      </c>
      <c r="AB5" s="155" t="e">
        <f t="shared" ref="AB5:AB19" si="5">IF($M$2="SI",AA5*$C$22/0.5*$S$1,AA5*$C$22/0.5*$S$2)</f>
        <v>#DIV/0!</v>
      </c>
      <c r="AC5" s="171" t="e">
        <f t="shared" ref="AC5:AC19" si="6">(1-AB5)</f>
        <v>#DIV/0!</v>
      </c>
      <c r="AD5" s="172" t="e">
        <f>AB5*PRODUCT(AC6:AC19)</f>
        <v>#DIV/0!</v>
      </c>
      <c r="AE5" s="17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35</v>
      </c>
      <c r="B6" s="163"/>
      <c r="C6" s="164"/>
      <c r="E6" s="187" t="s">
        <v>36</v>
      </c>
      <c r="F6" s="162"/>
      <c r="G6" s="162"/>
      <c r="H6" s="10"/>
      <c r="I6" s="10"/>
      <c r="J6" s="161"/>
      <c r="K6" s="161"/>
      <c r="L6" s="10"/>
      <c r="M6" s="10"/>
      <c r="O6" s="67">
        <f>COUNTIF(F14:F18,"IMP")*0.017</f>
        <v>0</v>
      </c>
      <c r="P6" s="16" t="str">
        <f>P3</f>
        <v>0,6</v>
      </c>
      <c r="Q6" s="16">
        <f t="shared" si="1"/>
        <v>0</v>
      </c>
      <c r="R6" s="155" t="e">
        <f t="shared" si="2"/>
        <v>#DIV/0!</v>
      </c>
      <c r="S6" s="171" t="e">
        <f t="shared" si="3"/>
        <v>#DIV/0!</v>
      </c>
      <c r="T6" s="172" t="e">
        <f>R6*S5*PRODUCT(S7:S19)</f>
        <v>#DIV/0!</v>
      </c>
      <c r="U6" s="17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1" t="s">
        <v>38</v>
      </c>
      <c r="X6" s="15" t="s">
        <v>39</v>
      </c>
      <c r="Y6" s="69">
        <f>COUNTIF(J14:J18,"IMP")*0.017</f>
        <v>0</v>
      </c>
      <c r="Z6" s="144" t="str">
        <f>Z3</f>
        <v>0,6</v>
      </c>
      <c r="AA6" s="19">
        <f t="shared" si="4"/>
        <v>0</v>
      </c>
      <c r="AB6" s="155" t="e">
        <f t="shared" si="5"/>
        <v>#DIV/0!</v>
      </c>
      <c r="AC6" s="171" t="e">
        <f t="shared" si="6"/>
        <v>#DIV/0!</v>
      </c>
      <c r="AD6" s="172" t="e">
        <f>AB6*AC5*PRODUCT(AC7:AC19)</f>
        <v>#DIV/0!</v>
      </c>
      <c r="AE6" s="17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40</v>
      </c>
      <c r="B7" s="163"/>
      <c r="C7" s="164"/>
      <c r="E7" s="187" t="s">
        <v>41</v>
      </c>
      <c r="F7" s="162"/>
      <c r="G7" s="162"/>
      <c r="H7" s="10"/>
      <c r="I7" s="10"/>
      <c r="J7" s="161"/>
      <c r="K7" s="161"/>
      <c r="L7" s="10"/>
      <c r="M7" s="10"/>
      <c r="O7" s="67">
        <v>0</v>
      </c>
      <c r="P7" s="142">
        <v>0.5</v>
      </c>
      <c r="Q7" s="16">
        <f t="shared" si="1"/>
        <v>0</v>
      </c>
      <c r="R7" s="155" t="e">
        <f t="shared" si="2"/>
        <v>#DIV/0!</v>
      </c>
      <c r="S7" s="171" t="e">
        <f t="shared" si="3"/>
        <v>#DIV/0!</v>
      </c>
      <c r="T7" s="172" t="e">
        <f>R7*PRODUCT(S5:S6)*PRODUCT(S8:S19)</f>
        <v>#DIV/0!</v>
      </c>
      <c r="U7" s="17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1" t="s">
        <v>152</v>
      </c>
      <c r="X7" s="15" t="s">
        <v>153</v>
      </c>
      <c r="Y7" s="69">
        <v>0</v>
      </c>
      <c r="Z7" s="144">
        <v>0.5</v>
      </c>
      <c r="AA7" s="19">
        <f t="shared" si="4"/>
        <v>0</v>
      </c>
      <c r="AB7" s="155" t="e">
        <f t="shared" si="5"/>
        <v>#DIV/0!</v>
      </c>
      <c r="AC7" s="171" t="e">
        <f t="shared" si="6"/>
        <v>#DIV/0!</v>
      </c>
      <c r="AD7" s="172" t="e">
        <f>AB7*PRODUCT(AC5:AC6)*PRODUCT(AC8:AC19)</f>
        <v>#DIV/0!</v>
      </c>
      <c r="AE7" s="17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44</v>
      </c>
      <c r="B8" s="163"/>
      <c r="C8" s="164"/>
      <c r="E8" s="187" t="s">
        <v>41</v>
      </c>
      <c r="F8" s="162"/>
      <c r="G8" s="162"/>
      <c r="H8" s="10"/>
      <c r="I8" s="10"/>
      <c r="J8" s="161"/>
      <c r="K8" s="161"/>
      <c r="L8" s="10"/>
      <c r="M8" s="10"/>
      <c r="O8" s="67">
        <f>COUNTIF(F6:F18,"IMP")*0.01</f>
        <v>0</v>
      </c>
      <c r="P8" s="16" t="str">
        <f>P3</f>
        <v>0,6</v>
      </c>
      <c r="Q8" s="16">
        <f t="shared" si="1"/>
        <v>0</v>
      </c>
      <c r="R8" s="155" t="e">
        <f t="shared" si="2"/>
        <v>#DIV/0!</v>
      </c>
      <c r="S8" s="171" t="e">
        <f t="shared" si="3"/>
        <v>#DIV/0!</v>
      </c>
      <c r="T8" s="172" t="e">
        <f>R8*PRODUCT(S5:S7)*PRODUCT(S9:S19)</f>
        <v>#DIV/0!</v>
      </c>
      <c r="U8" s="17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1" t="s">
        <v>45</v>
      </c>
      <c r="X8" s="15" t="s">
        <v>46</v>
      </c>
      <c r="Y8" s="69">
        <f>COUNTIF(J6:J18,"IMP")*0.01</f>
        <v>0</v>
      </c>
      <c r="Z8" s="144" t="str">
        <f>Z3</f>
        <v>0,6</v>
      </c>
      <c r="AA8" s="19">
        <f t="shared" si="4"/>
        <v>0</v>
      </c>
      <c r="AB8" s="155" t="e">
        <f t="shared" si="5"/>
        <v>#DIV/0!</v>
      </c>
      <c r="AC8" s="171" t="e">
        <f t="shared" si="6"/>
        <v>#DIV/0!</v>
      </c>
      <c r="AD8" s="172" t="e">
        <f>AB8*PRODUCT(AC5:AC7)*PRODUCT(AC9:AC19)</f>
        <v>#DIV/0!</v>
      </c>
      <c r="AE8" s="17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47</v>
      </c>
      <c r="B9" s="163"/>
      <c r="C9" s="164"/>
      <c r="E9" s="187" t="s">
        <v>41</v>
      </c>
      <c r="F9" s="162"/>
      <c r="G9" s="162"/>
      <c r="H9" s="10"/>
      <c r="I9" s="10"/>
      <c r="J9" s="161"/>
      <c r="K9" s="161"/>
      <c r="L9" s="10"/>
      <c r="M9" s="10"/>
      <c r="O9" s="67">
        <f>COUNTIF(J6:J13,"IMP")*0.025</f>
        <v>0</v>
      </c>
      <c r="P9" s="142">
        <v>0.5</v>
      </c>
      <c r="Q9" s="16">
        <f t="shared" si="1"/>
        <v>0</v>
      </c>
      <c r="R9" s="155" t="e">
        <f t="shared" si="2"/>
        <v>#DIV/0!</v>
      </c>
      <c r="S9" s="171" t="e">
        <f t="shared" si="3"/>
        <v>#DIV/0!</v>
      </c>
      <c r="T9" s="172" t="e">
        <f>R9*PRODUCT(S5:S8)*PRODUCT(S10:S19)</f>
        <v>#DIV/0!</v>
      </c>
      <c r="U9" s="17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2" t="s">
        <v>48</v>
      </c>
      <c r="X9" s="15" t="s">
        <v>49</v>
      </c>
      <c r="Y9" s="69">
        <f>COUNTIF(F6:F13,"IMP")*0.025</f>
        <v>0</v>
      </c>
      <c r="Z9" s="144">
        <v>0.5</v>
      </c>
      <c r="AA9" s="19">
        <f t="shared" si="4"/>
        <v>0</v>
      </c>
      <c r="AB9" s="155" t="e">
        <f t="shared" si="5"/>
        <v>#DIV/0!</v>
      </c>
      <c r="AC9" s="171" t="e">
        <f t="shared" si="6"/>
        <v>#DIV/0!</v>
      </c>
      <c r="AD9" s="172" t="e">
        <f>AB9*PRODUCT(AC5:AC8)*PRODUCT(AC10:AC19)</f>
        <v>#DIV/0!</v>
      </c>
      <c r="AE9" s="17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50</v>
      </c>
      <c r="B10" s="163"/>
      <c r="C10" s="164"/>
      <c r="E10" s="187" t="s">
        <v>36</v>
      </c>
      <c r="F10" s="162"/>
      <c r="G10" s="162"/>
      <c r="H10" s="10"/>
      <c r="I10" s="10"/>
      <c r="J10" s="161"/>
      <c r="K10" s="161"/>
      <c r="L10" s="10"/>
      <c r="M10" s="10"/>
      <c r="O10" s="67">
        <f>COUNTIF(F14:F18,"RAP")*0.085</f>
        <v>0</v>
      </c>
      <c r="P10" s="16" t="str">
        <f>R3</f>
        <v>0,72</v>
      </c>
      <c r="Q10" s="16">
        <f t="shared" si="1"/>
        <v>0</v>
      </c>
      <c r="R10" s="155" t="e">
        <f t="shared" si="2"/>
        <v>#DIV/0!</v>
      </c>
      <c r="S10" s="171" t="e">
        <f t="shared" si="3"/>
        <v>#DIV/0!</v>
      </c>
      <c r="T10" s="172" t="e">
        <f>R10*PRODUCT(S5:S9)*PRODUCT(S11:S19)</f>
        <v>#DIV/0!</v>
      </c>
      <c r="U10" s="17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1" t="s">
        <v>51</v>
      </c>
      <c r="X10" s="15" t="s">
        <v>52</v>
      </c>
      <c r="Y10" s="69">
        <f>COUNTIF(J14:J18,"RAP")*0.085</f>
        <v>8.5000000000000006E-2</v>
      </c>
      <c r="Z10" s="144" t="str">
        <f>AB3</f>
        <v>0,72</v>
      </c>
      <c r="AA10" s="19">
        <f t="shared" si="4"/>
        <v>6.1200000000000004E-2</v>
      </c>
      <c r="AB10" s="155" t="e">
        <f t="shared" si="5"/>
        <v>#DIV/0!</v>
      </c>
      <c r="AC10" s="171" t="e">
        <f t="shared" si="6"/>
        <v>#DIV/0!</v>
      </c>
      <c r="AD10" s="172" t="e">
        <f>AB10*PRODUCT(AC5:AC9)*PRODUCT(AC11:AC19)</f>
        <v>#DIV/0!</v>
      </c>
      <c r="AE10" s="17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53</v>
      </c>
      <c r="B11" s="163"/>
      <c r="C11" s="164"/>
      <c r="E11" s="187" t="s">
        <v>54</v>
      </c>
      <c r="F11" s="162"/>
      <c r="G11" s="162"/>
      <c r="H11" s="10"/>
      <c r="I11" s="10"/>
      <c r="J11" s="161"/>
      <c r="K11" s="161"/>
      <c r="L11" s="10"/>
      <c r="M11" s="10"/>
      <c r="O11" s="67">
        <f>IF(COUNTA(F16:F18)=0,0,COUNTIF(F14:F15,"RAP")*0.085)+IF(COUNTA(F17:F18)=0,0,COUNTIF(F16,"RAP")*0.085)+IF(COUNTA(F16:F17)=0,0,COUNTIF(F18,"RAP")*0.085)+IF(COUNTA(F16,F18)=0,0,COUNTIF(F17,"RAP")*0.085)</f>
        <v>0</v>
      </c>
      <c r="P11" s="16" t="str">
        <f>R3</f>
        <v>0,72</v>
      </c>
      <c r="Q11" s="16">
        <f t="shared" si="1"/>
        <v>0</v>
      </c>
      <c r="R11" s="155" t="e">
        <f t="shared" si="2"/>
        <v>#DIV/0!</v>
      </c>
      <c r="S11" s="171" t="e">
        <f t="shared" si="3"/>
        <v>#DIV/0!</v>
      </c>
      <c r="T11" s="172" t="e">
        <f>R11*PRODUCT(S5:S10)*PRODUCT(S12:S19)</f>
        <v>#DIV/0!</v>
      </c>
      <c r="U11" s="17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1" t="s">
        <v>55</v>
      </c>
      <c r="X11" s="15" t="s">
        <v>56</v>
      </c>
      <c r="Y11" s="69">
        <f>IF(COUNTA(J16:J18)=0,0,COUNTIF(J14:J15,"RAP")*0.085)+IF(COUNTA(J17:J18)=0,0,COUNTIF(J16,"RAP")*0.085)+IF(COUNTA(J16:J17)=0,0,COUNTIF(J18,"RAP")*0.085)+IF(COUNTA(J16,J18)=0,0,COUNTIF(J17,"RAP")*0.085)</f>
        <v>0</v>
      </c>
      <c r="Z11" s="144" t="str">
        <f>AB3</f>
        <v>0,72</v>
      </c>
      <c r="AA11" s="19">
        <f t="shared" si="4"/>
        <v>0</v>
      </c>
      <c r="AB11" s="155" t="e">
        <f t="shared" si="5"/>
        <v>#DIV/0!</v>
      </c>
      <c r="AC11" s="171" t="e">
        <f t="shared" si="6"/>
        <v>#DIV/0!</v>
      </c>
      <c r="AD11" s="172" t="e">
        <f>AB11*PRODUCT(AC5:AC10)*PRODUCT(AC12:AC19)</f>
        <v>#DIV/0!</v>
      </c>
      <c r="AE11" s="17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57</v>
      </c>
      <c r="B12" s="163"/>
      <c r="C12" s="164"/>
      <c r="E12" s="187" t="s">
        <v>54</v>
      </c>
      <c r="F12" s="162"/>
      <c r="G12" s="162"/>
      <c r="H12" s="10"/>
      <c r="I12" s="10"/>
      <c r="J12" s="161"/>
      <c r="K12" s="161"/>
      <c r="L12" s="10"/>
      <c r="M12" s="10"/>
      <c r="O12" s="67"/>
      <c r="P12" s="142">
        <v>0.5</v>
      </c>
      <c r="Q12" s="16">
        <f t="shared" si="1"/>
        <v>0</v>
      </c>
      <c r="R12" s="155" t="e">
        <f t="shared" si="2"/>
        <v>#DIV/0!</v>
      </c>
      <c r="S12" s="171" t="e">
        <f t="shared" si="3"/>
        <v>#DIV/0!</v>
      </c>
      <c r="T12" s="172" t="e">
        <f>R12*PRODUCT(S5:S11)*PRODUCT(S13:S19)</f>
        <v>#DIV/0!</v>
      </c>
      <c r="U12" s="17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2" t="s">
        <v>58</v>
      </c>
      <c r="X12" s="15" t="s">
        <v>59</v>
      </c>
      <c r="Y12" s="69"/>
      <c r="Z12" s="144">
        <v>0.5</v>
      </c>
      <c r="AA12" s="19">
        <f t="shared" si="4"/>
        <v>0</v>
      </c>
      <c r="AB12" s="155" t="e">
        <f t="shared" si="5"/>
        <v>#DIV/0!</v>
      </c>
      <c r="AC12" s="171" t="e">
        <f t="shared" si="6"/>
        <v>#DIV/0!</v>
      </c>
      <c r="AD12" s="172" t="e">
        <f>AB12*PRODUCT(AC5:AC11)*PRODUCT(AC13:AC19)</f>
        <v>#DIV/0!</v>
      </c>
      <c r="AE12" s="17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60</v>
      </c>
      <c r="B13" s="163">
        <v>11.75</v>
      </c>
      <c r="C13" s="164">
        <v>12.5</v>
      </c>
      <c r="E13" s="187" t="s">
        <v>54</v>
      </c>
      <c r="F13" s="162"/>
      <c r="G13" s="162"/>
      <c r="H13" s="10"/>
      <c r="I13" s="10"/>
      <c r="J13" s="161"/>
      <c r="K13" s="161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5" t="e">
        <f t="shared" si="2"/>
        <v>#DIV/0!</v>
      </c>
      <c r="S13" s="171" t="e">
        <f t="shared" si="3"/>
        <v>#DIV/0!</v>
      </c>
      <c r="T13" s="172" t="e">
        <f>R13*PRODUCT(S5:S12)*PRODUCT(S14:S19)</f>
        <v>#DIV/0!</v>
      </c>
      <c r="U13" s="17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1" t="s">
        <v>61</v>
      </c>
      <c r="X13" s="15" t="s">
        <v>62</v>
      </c>
      <c r="Y13" s="69">
        <v>0.125</v>
      </c>
      <c r="Z13" s="19" t="str">
        <f>Z2</f>
        <v>0,4</v>
      </c>
      <c r="AA13" s="19">
        <f t="shared" si="4"/>
        <v>0.05</v>
      </c>
      <c r="AB13" s="155" t="e">
        <f t="shared" si="5"/>
        <v>#DIV/0!</v>
      </c>
      <c r="AC13" s="171" t="e">
        <f t="shared" si="6"/>
        <v>#DIV/0!</v>
      </c>
      <c r="AD13" s="172" t="e">
        <f>AB13*PRODUCT(AC5:AC12)*PRODUCT(AC14:AC19)</f>
        <v>#DIV/0!</v>
      </c>
      <c r="AE13" s="17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63</v>
      </c>
      <c r="B14" s="163">
        <v>9.25</v>
      </c>
      <c r="C14" s="164">
        <v>10.75</v>
      </c>
      <c r="E14" s="187" t="s">
        <v>64</v>
      </c>
      <c r="F14" s="162"/>
      <c r="G14" s="162"/>
      <c r="H14" s="10"/>
      <c r="I14" s="10"/>
      <c r="J14" s="161" t="s">
        <v>161</v>
      </c>
      <c r="K14" s="161"/>
      <c r="L14" s="10"/>
      <c r="M14" s="10"/>
      <c r="O14" s="67">
        <f>COUNTIF(F6:F18,"CAB")*0.095</f>
        <v>0</v>
      </c>
      <c r="P14" s="142">
        <v>0.95</v>
      </c>
      <c r="Q14" s="16">
        <f t="shared" si="1"/>
        <v>0</v>
      </c>
      <c r="R14" s="155" t="e">
        <f t="shared" si="2"/>
        <v>#DIV/0!</v>
      </c>
      <c r="S14" s="171" t="e">
        <f t="shared" si="3"/>
        <v>#DIV/0!</v>
      </c>
      <c r="T14" s="172" t="e">
        <f>R14*PRODUCT(S5:S13)*PRODUCT(S15:S19)</f>
        <v>#DIV/0!</v>
      </c>
      <c r="U14" s="17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1" t="s">
        <v>65</v>
      </c>
      <c r="X14" s="15" t="s">
        <v>66</v>
      </c>
      <c r="Y14" s="69">
        <f>COUNTIF(J6:J18,"CAB")*0.095</f>
        <v>0</v>
      </c>
      <c r="Z14" s="145">
        <v>0.95</v>
      </c>
      <c r="AA14" s="19">
        <f t="shared" si="4"/>
        <v>0</v>
      </c>
      <c r="AB14" s="155" t="e">
        <f t="shared" si="5"/>
        <v>#DIV/0!</v>
      </c>
      <c r="AC14" s="171" t="e">
        <f t="shared" si="6"/>
        <v>#DIV/0!</v>
      </c>
      <c r="AD14" s="172" t="e">
        <f>AB14*PRODUCT(AC5:AC13)*PRODUCT(AC15:AC19)</f>
        <v>#DIV/0!</v>
      </c>
      <c r="AE14" s="17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4" t="s">
        <v>67</v>
      </c>
      <c r="B15" s="165">
        <v>7.75</v>
      </c>
      <c r="C15" s="166">
        <v>8.25</v>
      </c>
      <c r="E15" s="187" t="s">
        <v>64</v>
      </c>
      <c r="F15" s="162"/>
      <c r="G15" s="162"/>
      <c r="H15" s="10"/>
      <c r="I15" s="10"/>
      <c r="J15" s="161"/>
      <c r="K15" s="161"/>
      <c r="L15" s="10"/>
      <c r="M15" s="10"/>
      <c r="O15" s="67"/>
      <c r="P15" s="142">
        <v>0.5</v>
      </c>
      <c r="Q15" s="16">
        <f t="shared" si="1"/>
        <v>0</v>
      </c>
      <c r="R15" s="155" t="e">
        <f t="shared" si="2"/>
        <v>#DIV/0!</v>
      </c>
      <c r="S15" s="171" t="e">
        <f t="shared" si="3"/>
        <v>#DIV/0!</v>
      </c>
      <c r="T15" s="172" t="e">
        <f>R15*PRODUCT(S5:S14)*PRODUCT(S16:S19)</f>
        <v>#DIV/0!</v>
      </c>
      <c r="U15" s="172" t="e">
        <f>R15*R16*PRODUCT(S5:S14)*PRODUCT(S17:S19)+R15*R17*PRODUCT(S5:S14)*S16*PRODUCT(S18:S19)+R15*R18*PRODUCT(S5:S14)*S16*S17*S19+R15*R19*PRODUCT(S5:S14)*S16*S17*S18</f>
        <v>#DIV/0!</v>
      </c>
      <c r="W15" s="181" t="s">
        <v>68</v>
      </c>
      <c r="X15" s="15" t="s">
        <v>69</v>
      </c>
      <c r="Y15" s="69"/>
      <c r="Z15" s="144">
        <v>0.5</v>
      </c>
      <c r="AA15" s="19">
        <f t="shared" si="4"/>
        <v>0</v>
      </c>
      <c r="AB15" s="155" t="e">
        <f t="shared" si="5"/>
        <v>#DIV/0!</v>
      </c>
      <c r="AC15" s="171" t="e">
        <f t="shared" si="6"/>
        <v>#DIV/0!</v>
      </c>
      <c r="AD15" s="172" t="e">
        <f>AB15*PRODUCT(AC5:AC14)*PRODUCT(AC16:AC19)</f>
        <v>#DIV/0!</v>
      </c>
      <c r="AE15" s="17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4" t="s">
        <v>70</v>
      </c>
      <c r="B16" s="52">
        <f>AVERAGE(G5:G18)</f>
        <v>12</v>
      </c>
      <c r="C16" s="54">
        <f>AVERAGE(K5:K18)</f>
        <v>12</v>
      </c>
      <c r="E16" s="187" t="s">
        <v>71</v>
      </c>
      <c r="F16" s="162"/>
      <c r="G16" s="162"/>
      <c r="H16" s="10"/>
      <c r="I16" s="10"/>
      <c r="J16" s="161"/>
      <c r="K16" s="161"/>
      <c r="L16" s="10"/>
      <c r="M16" s="10"/>
      <c r="O16" s="67">
        <f>COUNTA(L6:L13)*0.03</f>
        <v>0</v>
      </c>
      <c r="P16" s="142">
        <v>0.25</v>
      </c>
      <c r="Q16" s="16">
        <f t="shared" si="1"/>
        <v>0</v>
      </c>
      <c r="R16" s="155" t="e">
        <f t="shared" si="2"/>
        <v>#DIV/0!</v>
      </c>
      <c r="S16" s="171" t="e">
        <f t="shared" si="3"/>
        <v>#DIV/0!</v>
      </c>
      <c r="T16" s="172" t="e">
        <f>R16*PRODUCT(S5:S15)*PRODUCT(S17:S19)</f>
        <v>#DIV/0!</v>
      </c>
      <c r="U16" s="172" t="e">
        <f>R16*R17*PRODUCT(S5:S15)*PRODUCT(S18:S19)+R16*R18*PRODUCT(S5:S15)*S17*S19+R16*R19*PRODUCT(S5:S15)*S17*S18</f>
        <v>#DIV/0!</v>
      </c>
      <c r="W16" s="182" t="s">
        <v>72</v>
      </c>
      <c r="X16" s="15" t="s">
        <v>73</v>
      </c>
      <c r="Y16" s="69">
        <f>COUNTA(H6:H13)*0.03</f>
        <v>0</v>
      </c>
      <c r="Z16" s="144">
        <v>0.25</v>
      </c>
      <c r="AA16" s="19">
        <f t="shared" si="4"/>
        <v>0</v>
      </c>
      <c r="AB16" s="155" t="e">
        <f t="shared" si="5"/>
        <v>#DIV/0!</v>
      </c>
      <c r="AC16" s="171" t="e">
        <f t="shared" si="6"/>
        <v>#DIV/0!</v>
      </c>
      <c r="AD16" s="172" t="e">
        <f>AB16*PRODUCT(AC5:AC15)*PRODUCT(AC17:AC19)</f>
        <v>#DIV/0!</v>
      </c>
      <c r="AE16" s="17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3" t="s">
        <v>74</v>
      </c>
      <c r="B17" s="167" t="s">
        <v>75</v>
      </c>
      <c r="C17" s="168" t="s">
        <v>75</v>
      </c>
      <c r="E17" s="187" t="s">
        <v>71</v>
      </c>
      <c r="F17" s="162"/>
      <c r="G17" s="162"/>
      <c r="H17" s="10"/>
      <c r="I17" s="10"/>
      <c r="J17" s="161"/>
      <c r="K17" s="161"/>
      <c r="L17" s="10"/>
      <c r="M17" s="10"/>
      <c r="O17" s="67">
        <f>(0.02*2)*IF(COUNTBLANK(F14:F15)&lt;&gt;0,(2-COUNTBLANK(F14:F15))/2,1)</f>
        <v>0</v>
      </c>
      <c r="P17" s="16" t="str">
        <f>P3</f>
        <v>0,6</v>
      </c>
      <c r="Q17" s="16">
        <f t="shared" si="1"/>
        <v>0</v>
      </c>
      <c r="R17" s="155" t="e">
        <f t="shared" si="2"/>
        <v>#DIV/0!</v>
      </c>
      <c r="S17" s="171" t="e">
        <f t="shared" si="3"/>
        <v>#DIV/0!</v>
      </c>
      <c r="T17" s="172" t="e">
        <f>R17*PRODUCT(S5:S16)*PRODUCT(S18:S19)</f>
        <v>#DIV/0!</v>
      </c>
      <c r="U17" s="172" t="e">
        <f>R17*R18*PRODUCT(S5:S16)*S19+R17*R19*PRODUCT(S5:S16)*S18</f>
        <v>#DIV/0!</v>
      </c>
      <c r="W17" s="181" t="s">
        <v>76</v>
      </c>
      <c r="X17" s="15" t="s">
        <v>77</v>
      </c>
      <c r="Y17" s="69">
        <f>(0.02*2)*IF(COUNTBLANK(J14:J15)&lt;&gt;0,(2-COUNTBLANK(J14:J15))/2,1)</f>
        <v>0.02</v>
      </c>
      <c r="Z17" s="144" t="str">
        <f>Z3</f>
        <v>0,6</v>
      </c>
      <c r="AA17" s="19">
        <f t="shared" si="4"/>
        <v>1.2E-2</v>
      </c>
      <c r="AB17" s="155" t="e">
        <f t="shared" si="5"/>
        <v>#DIV/0!</v>
      </c>
      <c r="AC17" s="171" t="e">
        <f t="shared" si="6"/>
        <v>#DIV/0!</v>
      </c>
      <c r="AD17" s="172" t="e">
        <f>AB17*PRODUCT(AC5:AC16)*PRODUCT(AC18:AC19)</f>
        <v>#DIV/0!</v>
      </c>
      <c r="AE17" s="17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3" t="s">
        <v>78</v>
      </c>
      <c r="B18" s="167">
        <v>20</v>
      </c>
      <c r="C18" s="168">
        <v>20</v>
      </c>
      <c r="E18" s="187" t="s">
        <v>71</v>
      </c>
      <c r="F18" s="162"/>
      <c r="G18" s="162"/>
      <c r="H18" s="10"/>
      <c r="I18" s="10"/>
      <c r="J18" s="161"/>
      <c r="K18" s="161"/>
      <c r="L18" s="10"/>
      <c r="M18" s="10"/>
      <c r="O18" s="67">
        <v>0</v>
      </c>
      <c r="P18" s="142">
        <v>0.5</v>
      </c>
      <c r="Q18" s="16">
        <f t="shared" si="1"/>
        <v>0</v>
      </c>
      <c r="R18" s="155" t="e">
        <f t="shared" si="2"/>
        <v>#DIV/0!</v>
      </c>
      <c r="S18" s="171" t="e">
        <f t="shared" si="3"/>
        <v>#DIV/0!</v>
      </c>
      <c r="T18" s="172" t="e">
        <f>R18*PRODUCT(S5:S17)*PRODUCT(S19)</f>
        <v>#DIV/0!</v>
      </c>
      <c r="U18" s="172" t="e">
        <f>R18*R19*PRODUCT(S5:S17)</f>
        <v>#DIV/0!</v>
      </c>
      <c r="W18" s="181" t="s">
        <v>79</v>
      </c>
      <c r="X18" s="15" t="s">
        <v>80</v>
      </c>
      <c r="Y18" s="69">
        <v>0</v>
      </c>
      <c r="Z18" s="144">
        <v>0.5</v>
      </c>
      <c r="AA18" s="19">
        <f t="shared" si="4"/>
        <v>0</v>
      </c>
      <c r="AB18" s="155" t="e">
        <f t="shared" si="5"/>
        <v>#DIV/0!</v>
      </c>
      <c r="AC18" s="171" t="e">
        <f t="shared" si="6"/>
        <v>#DIV/0!</v>
      </c>
      <c r="AD18" s="172" t="e">
        <f>AB18*PRODUCT(AC5:AC17)*PRODUCT(AC19)</f>
        <v>#DIV/0!</v>
      </c>
      <c r="AE18" s="17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156</v>
      </c>
      <c r="L19" s="13" t="s">
        <v>156</v>
      </c>
      <c r="O19" s="67">
        <f>COUNTIF(F14:F18,"TEC")*0.06*IF(COUNTIF(J6:J13,"CAB")&lt;&gt;0,1,0)</f>
        <v>0</v>
      </c>
      <c r="P19" s="16" t="str">
        <f>P3</f>
        <v>0,6</v>
      </c>
      <c r="Q19" s="16">
        <f t="shared" si="1"/>
        <v>0</v>
      </c>
      <c r="R19" s="155" t="e">
        <f t="shared" si="2"/>
        <v>#DIV/0!</v>
      </c>
      <c r="S19" s="173" t="e">
        <f t="shared" si="3"/>
        <v>#DIV/0!</v>
      </c>
      <c r="T19" s="174" t="e">
        <f>R19*PRODUCT(S5:S18)</f>
        <v>#DIV/0!</v>
      </c>
      <c r="U19" s="174">
        <v>0</v>
      </c>
      <c r="V19" s="1" t="s">
        <v>82</v>
      </c>
      <c r="W19" s="181" t="s">
        <v>83</v>
      </c>
      <c r="X19" s="15" t="s">
        <v>84</v>
      </c>
      <c r="Y19" s="69">
        <f>COUNTIF(J14:J18,"TEC")*0.06*IF(COUNTIF(F6:F13,"CAB")&lt;&gt;0,1,0)</f>
        <v>0</v>
      </c>
      <c r="Z19" s="144" t="str">
        <f>Z3</f>
        <v>0,6</v>
      </c>
      <c r="AA19" s="19">
        <f t="shared" si="4"/>
        <v>0</v>
      </c>
      <c r="AB19" s="155" t="e">
        <f t="shared" si="5"/>
        <v>#DIV/0!</v>
      </c>
      <c r="AC19" s="173" t="e">
        <f t="shared" si="6"/>
        <v>#DIV/0!</v>
      </c>
      <c r="AD19" s="174" t="e">
        <f>AB19*PRODUCT(AC5:AC18)</f>
        <v>#DIV/0!</v>
      </c>
      <c r="AE19" s="174">
        <v>0</v>
      </c>
      <c r="AF19" s="1" t="s">
        <v>82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85" t="s">
        <v>85</v>
      </c>
      <c r="B20">
        <f>IF(B17="Pres",IF(C17="Pres",2,1),IF(C17="Pres",1,0))</f>
        <v>0</v>
      </c>
      <c r="D20" s="36"/>
      <c r="O20" s="22"/>
      <c r="P20" s="22"/>
      <c r="Q20" s="22"/>
      <c r="S20" s="175" t="e">
        <f>PRODUCT(S5:S19)</f>
        <v>#DIV/0!</v>
      </c>
      <c r="T20" s="176" t="e">
        <f>SUM(T5:T19)</f>
        <v>#DIV/0!</v>
      </c>
      <c r="U20" s="176" t="e">
        <f>SUM(U5:U19)</f>
        <v>#DIV/0!</v>
      </c>
      <c r="V20" s="176" t="e">
        <f>1-S20-T20-U20</f>
        <v>#DIV/0!</v>
      </c>
      <c r="W20" s="21"/>
      <c r="X20" s="22"/>
      <c r="Y20" s="22"/>
      <c r="Z20" s="22"/>
      <c r="AA20" s="22"/>
      <c r="AB20" s="23"/>
      <c r="AC20" s="179" t="e">
        <f>PRODUCT(AC5:AC19)</f>
        <v>#DIV/0!</v>
      </c>
      <c r="AD20" s="176" t="e">
        <f>SUM(AD5:AD19)</f>
        <v>#DIV/0!</v>
      </c>
      <c r="AE20" s="176" t="e">
        <f>SUM(AE5:AE19)</f>
        <v>#DIV/0!</v>
      </c>
      <c r="AF20" s="17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85" t="s">
        <v>86</v>
      </c>
      <c r="B21" s="186">
        <f>5-B20</f>
        <v>5</v>
      </c>
      <c r="C21" s="35"/>
      <c r="D21" s="24"/>
      <c r="E21" s="24"/>
      <c r="O21" s="22"/>
      <c r="P21" s="22"/>
      <c r="Q21" s="22"/>
      <c r="S21" s="177" t="e">
        <f>1-T21-U21-V21</f>
        <v>#DIV/0!</v>
      </c>
      <c r="T21" s="178" t="e">
        <f>T20*V1</f>
        <v>#DIV/0!</v>
      </c>
      <c r="U21" s="178" t="e">
        <f>U20*V1</f>
        <v>#DIV/0!</v>
      </c>
      <c r="V21" s="178" t="e">
        <f>V20*V1</f>
        <v>#DIV/0!</v>
      </c>
      <c r="W21" s="21"/>
      <c r="X21" s="22"/>
      <c r="Y21" s="22"/>
      <c r="Z21" s="22"/>
      <c r="AA21" s="22"/>
      <c r="AB21" s="23"/>
      <c r="AC21" s="180" t="e">
        <f>1-AD21-AE21-AF21</f>
        <v>#DIV/0!</v>
      </c>
      <c r="AD21" s="178" t="e">
        <f>AD20*V1</f>
        <v>#DIV/0!</v>
      </c>
      <c r="AE21" s="178" t="e">
        <f>AE20*V1</f>
        <v>#DIV/0!</v>
      </c>
      <c r="AF21" s="178" t="e">
        <f>AF20*V1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87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x14ac:dyDescent="0.25">
      <c r="A23" s="40" t="s">
        <v>88</v>
      </c>
      <c r="B23" s="56" t="e">
        <f>((B22^2.8)/((B22^2.8)+(C22^2.8)))*B21</f>
        <v>#DIV/0!</v>
      </c>
      <c r="C23" s="57" t="e">
        <f>B21-B23</f>
        <v>#DIV/0!</v>
      </c>
      <c r="D23" s="149">
        <f>SUM(D25:D30)</f>
        <v>1</v>
      </c>
      <c r="E23" s="149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8">BH15+1</f>
        <v>2</v>
      </c>
      <c r="BI23">
        <v>3</v>
      </c>
      <c r="BJ23" s="107" t="e">
        <f t="shared" ref="BJ23:BJ30" si="9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x14ac:dyDescent="0.25">
      <c r="A24" s="26" t="s">
        <v>89</v>
      </c>
      <c r="B24" s="64" t="e">
        <f>B23/B21</f>
        <v>#DIV/0!</v>
      </c>
      <c r="C24" s="65" t="e">
        <f>C23/B21</f>
        <v>#DIV/0!</v>
      </c>
      <c r="D24" s="13" t="s">
        <v>90</v>
      </c>
      <c r="E24" s="13" t="s">
        <v>91</v>
      </c>
      <c r="G24" s="99" t="s">
        <v>92</v>
      </c>
      <c r="H24" s="100" t="s">
        <v>18</v>
      </c>
      <c r="I24" s="99" t="s">
        <v>93</v>
      </c>
      <c r="J24" s="101" t="s">
        <v>94</v>
      </c>
      <c r="K24" s="99" t="s">
        <v>95</v>
      </c>
      <c r="L24" s="101" t="s">
        <v>18</v>
      </c>
      <c r="M24" s="83" t="s">
        <v>96</v>
      </c>
      <c r="N24" s="27" t="s">
        <v>97</v>
      </c>
      <c r="O24" s="27" t="s">
        <v>98</v>
      </c>
      <c r="P24" s="27" t="s">
        <v>18</v>
      </c>
      <c r="Q24" s="27" t="s">
        <v>99</v>
      </c>
      <c r="R24" s="27" t="s">
        <v>18</v>
      </c>
      <c r="S24" s="27" t="s">
        <v>100</v>
      </c>
      <c r="T24" s="132" t="s">
        <v>18</v>
      </c>
      <c r="U24" s="136" t="s">
        <v>101</v>
      </c>
      <c r="V24" s="137" t="s">
        <v>97</v>
      </c>
      <c r="W24" s="83" t="s">
        <v>102</v>
      </c>
      <c r="X24" s="27" t="s">
        <v>103</v>
      </c>
      <c r="Y24" s="27" t="s">
        <v>18</v>
      </c>
      <c r="Z24" s="27" t="s">
        <v>104</v>
      </c>
      <c r="AA24" s="27" t="s">
        <v>18</v>
      </c>
      <c r="AB24" s="27" t="s">
        <v>105</v>
      </c>
      <c r="AC24" s="27" t="s">
        <v>18</v>
      </c>
      <c r="AD24" s="27" t="s">
        <v>106</v>
      </c>
      <c r="AE24" s="27" t="s">
        <v>18</v>
      </c>
      <c r="AF24" s="27" t="s">
        <v>107</v>
      </c>
      <c r="AG24" s="27" t="s">
        <v>18</v>
      </c>
      <c r="AH24" s="27" t="s">
        <v>108</v>
      </c>
      <c r="AI24" s="27" t="s">
        <v>18</v>
      </c>
      <c r="AJ24" s="27" t="s">
        <v>109</v>
      </c>
      <c r="AK24" s="27" t="s">
        <v>18</v>
      </c>
      <c r="AL24" s="27" t="s">
        <v>110</v>
      </c>
      <c r="AM24" s="27" t="s">
        <v>18</v>
      </c>
      <c r="AN24" s="27" t="s">
        <v>111</v>
      </c>
      <c r="AO24" s="27" t="s">
        <v>18</v>
      </c>
      <c r="AP24" s="27" t="s">
        <v>112</v>
      </c>
      <c r="AQ24" s="27" t="s">
        <v>18</v>
      </c>
      <c r="AR24" s="27" t="s">
        <v>113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0">$H$32*H39</f>
        <v>#DIV/0!</v>
      </c>
    </row>
    <row r="25" spans="1:70" x14ac:dyDescent="0.25">
      <c r="A25" s="26" t="s">
        <v>114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1">
        <f>IF(B17="AOW",0.36-0.08,IF(B17="AIM",0.36+0.08,IF(B17="TL",(0.361)-(0.36*B32),0.36)))</f>
        <v>0.36</v>
      </c>
      <c r="E25" s="151">
        <f>IF(C17="AOW",0.36-0.08,IF(C17="AIM",0.36+0.08,IF(C17="TL",(0.361)-(0.36*C32),0.36)))</f>
        <v>0.36</v>
      </c>
      <c r="G25" s="124">
        <v>0</v>
      </c>
      <c r="H25" s="125" t="e">
        <f>L25*J25</f>
        <v>#DIV/0!</v>
      </c>
      <c r="I25" s="97">
        <v>0</v>
      </c>
      <c r="J25" s="98" t="e">
        <f t="shared" ref="J25:J35" si="11">Y25+AA25+AC25+AE25+AG25+AI25+AK25+AM25+AO25+AQ25+AS25</f>
        <v>#DIV/0!</v>
      </c>
      <c r="K25" s="97">
        <v>0</v>
      </c>
      <c r="L25" s="98" t="e">
        <f>S21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 t="shared" ref="P25:P30" si="12">N25</f>
        <v>#DIV/0!</v>
      </c>
      <c r="Q25" s="12">
        <v>0</v>
      </c>
      <c r="R25" s="73" t="e">
        <f>P25*N25</f>
        <v>#DIV/0!</v>
      </c>
      <c r="S25" s="70">
        <v>0</v>
      </c>
      <c r="T25" s="133" t="e">
        <f>(1-$B$33)^(INT(C23*2*(1-C31)))</f>
        <v>#DIV/0!</v>
      </c>
      <c r="U25" s="138">
        <v>0</v>
      </c>
      <c r="V25" s="86" t="e">
        <f>R25*T25</f>
        <v>#DIV/0!</v>
      </c>
      <c r="W25" s="134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0"/>
        <v>#DIV/0!</v>
      </c>
    </row>
    <row r="26" spans="1:70" x14ac:dyDescent="0.25">
      <c r="A26" s="40" t="s">
        <v>115</v>
      </c>
      <c r="B26" s="119" t="e">
        <f>1/(1+EXP(-3.1416*4*((B10/(B10+C9))-(3.1416/6))))</f>
        <v>#DIV/0!</v>
      </c>
      <c r="C26" s="118" t="e">
        <f>1/(1+EXP(-3.1416*4*((C10/(C10+B9))-(3.1416/6))))</f>
        <v>#DIV/0!</v>
      </c>
      <c r="D26" s="151">
        <f>IF(B17="AOW",0.257+0.04,IF(B17="AIM",0.257-0.04,IF(B17="TL",(0.257)-(0.257*B32),0.257)))</f>
        <v>0.25700000000000001</v>
      </c>
      <c r="E26" s="151">
        <f>IF(C17="AOW",0.257+0.04,IF(C17="AIM",0.257-0.04,IF(C17="TL",(0.257)-(0.257*C32),0.257)))</f>
        <v>0.25700000000000001</v>
      </c>
      <c r="G26" s="87">
        <v>1</v>
      </c>
      <c r="H26" s="126" t="e">
        <f>L25*J26+L26*J25</f>
        <v>#DIV/0!</v>
      </c>
      <c r="I26" s="93">
        <v>1</v>
      </c>
      <c r="J26" s="86" t="e">
        <f t="shared" si="11"/>
        <v>#DIV/0!</v>
      </c>
      <c r="K26" s="93">
        <v>1</v>
      </c>
      <c r="L26" s="86" t="e">
        <f>T21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si="12"/>
        <v>#DIV/0!</v>
      </c>
      <c r="Q26" s="28">
        <v>1</v>
      </c>
      <c r="R26" s="37" t="e">
        <f>N26*P25+P26*N25</f>
        <v>#DIV/0!</v>
      </c>
      <c r="S26" s="72">
        <v>1</v>
      </c>
      <c r="T26" s="133" t="e">
        <f t="shared" ref="T26:T35" si="13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5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0"/>
        <v>#DIV/0!</v>
      </c>
    </row>
    <row r="27" spans="1:70" x14ac:dyDescent="0.25">
      <c r="A27" s="26" t="s">
        <v>116</v>
      </c>
      <c r="B27" s="119" t="e">
        <f>1/(1+EXP(-3.1416*4*((B12/(B12+C7))-(3.1416/6))))</f>
        <v>#DIV/0!</v>
      </c>
      <c r="C27" s="118" t="e">
        <f>1/(1+EXP(-3.1416*4*((C12/(C12+B7))-(3.1416/6))))</f>
        <v>#DIV/0!</v>
      </c>
      <c r="D27" s="151">
        <f>D26</f>
        <v>0.25700000000000001</v>
      </c>
      <c r="E27" s="151">
        <f>E26</f>
        <v>0.25700000000000001</v>
      </c>
      <c r="G27" s="87">
        <v>2</v>
      </c>
      <c r="H27" s="126" t="e">
        <f>L25*J27+J26*L26+J25*L27</f>
        <v>#DIV/0!</v>
      </c>
      <c r="I27" s="93">
        <v>2</v>
      </c>
      <c r="J27" s="86" t="e">
        <f t="shared" si="11"/>
        <v>#DIV/0!</v>
      </c>
      <c r="K27" s="93">
        <v>2</v>
      </c>
      <c r="L27" s="86" t="e">
        <f>U21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2"/>
        <v>#DIV/0!</v>
      </c>
      <c r="Q27" s="28">
        <v>2</v>
      </c>
      <c r="R27" s="37" t="e">
        <f>P25*N27+P26*N26+P27*N25</f>
        <v>#DIV/0!</v>
      </c>
      <c r="S27" s="72">
        <v>2</v>
      </c>
      <c r="T27" s="133" t="e">
        <f t="shared" si="13"/>
        <v>#DIV/0!</v>
      </c>
      <c r="U27" s="93">
        <v>2</v>
      </c>
      <c r="V27" s="86" t="e">
        <f>R27*T25+T26*R26+R25*T27</f>
        <v>#DIV/0!</v>
      </c>
      <c r="W27" s="135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0"/>
        <v>#DIV/0!</v>
      </c>
    </row>
    <row r="28" spans="1:70" x14ac:dyDescent="0.25">
      <c r="A28" s="26" t="s">
        <v>117</v>
      </c>
      <c r="B28" s="169">
        <v>0.9</v>
      </c>
      <c r="C28" s="170">
        <v>0.9</v>
      </c>
      <c r="D28" s="151">
        <v>8.5000000000000006E-2</v>
      </c>
      <c r="E28" s="151">
        <v>8.5000000000000006E-2</v>
      </c>
      <c r="G28" s="87">
        <v>3</v>
      </c>
      <c r="H28" s="126" t="e">
        <f>J28*L25+J27*L26+L28*J25+L27*J26</f>
        <v>#DIV/0!</v>
      </c>
      <c r="I28" s="93">
        <v>3</v>
      </c>
      <c r="J28" s="86" t="e">
        <f t="shared" si="11"/>
        <v>#DIV/0!</v>
      </c>
      <c r="K28" s="93">
        <v>3</v>
      </c>
      <c r="L28" s="86" t="e">
        <f>V21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2"/>
        <v>#DIV/0!</v>
      </c>
      <c r="Q28" s="28">
        <v>3</v>
      </c>
      <c r="R28" s="37" t="e">
        <f>P25*N28+P26*N27+P27*N26+P28*N25</f>
        <v>#DIV/0!</v>
      </c>
      <c r="S28" s="72">
        <v>3</v>
      </c>
      <c r="T28" s="133" t="e">
        <f t="shared" si="13"/>
        <v>#DIV/0!</v>
      </c>
      <c r="U28" s="93">
        <v>3</v>
      </c>
      <c r="V28" s="86" t="e">
        <f>R28*T25+R27*T26+R26*T27+R25*T28</f>
        <v>#DIV/0!</v>
      </c>
      <c r="W28" s="135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 t="shared" ref="BF28:BF34" si="14"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0"/>
        <v>#DIV/0!</v>
      </c>
    </row>
    <row r="29" spans="1:70" x14ac:dyDescent="0.25">
      <c r="A29" s="26" t="s">
        <v>118</v>
      </c>
      <c r="B29" s="119">
        <f>1/(1+EXP(-3.1416*4*((B14/(B14+C13))-(3.1416/6))))</f>
        <v>0.22523141403777475</v>
      </c>
      <c r="C29" s="118">
        <f>1/(1+EXP(-3.1416*4*((C14/(C14+B13))-(3.1416/6))))</f>
        <v>0.35989489168508015</v>
      </c>
      <c r="D29" s="151">
        <v>0.04</v>
      </c>
      <c r="E29" s="151">
        <v>0.04</v>
      </c>
      <c r="G29" s="87">
        <v>4</v>
      </c>
      <c r="H29" s="126" t="e">
        <f>J29*L25+J28*L26+J27*L27+J26*L28</f>
        <v>#DIV/0!</v>
      </c>
      <c r="I29" s="93">
        <v>4</v>
      </c>
      <c r="J29" s="86" t="e">
        <f t="shared" si="11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2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3" t="e">
        <f t="shared" si="13"/>
        <v>#DIV/0!</v>
      </c>
      <c r="U29" s="93">
        <v>4</v>
      </c>
      <c r="V29" s="86" t="e">
        <f>T29*R25+T28*R26+T27*R27+T26*R28+T25*R29</f>
        <v>#DIV/0!</v>
      </c>
      <c r="W29" s="135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si="14"/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0"/>
        <v>#DIV/0!</v>
      </c>
    </row>
    <row r="30" spans="1:70" x14ac:dyDescent="0.25">
      <c r="A30" s="26" t="s">
        <v>119</v>
      </c>
      <c r="B30" s="169">
        <v>0.15</v>
      </c>
      <c r="C30" s="170">
        <v>0.15</v>
      </c>
      <c r="D30" s="151">
        <f>IF(B17="TL",0.875*B32,0.001)</f>
        <v>1E-3</v>
      </c>
      <c r="E30" s="151">
        <f>IF(C17="TL",0.875*C32,0.001)</f>
        <v>1E-3</v>
      </c>
      <c r="G30" s="87">
        <v>5</v>
      </c>
      <c r="H30" s="126" t="e">
        <f>J30*L25+J29*L26+J28*L27+J27*L28</f>
        <v>#DIV/0!</v>
      </c>
      <c r="I30" s="93">
        <v>5</v>
      </c>
      <c r="J30" s="86" t="e">
        <f t="shared" si="11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2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3" t="e">
        <f t="shared" si="13"/>
        <v>#DIV/0!</v>
      </c>
      <c r="U30" s="93">
        <v>5</v>
      </c>
      <c r="V30" s="86" t="e">
        <f>T30*R25+T29*R26+T28*R27+T27*R28+T26*R29+T25*R30</f>
        <v>#DIV/0!</v>
      </c>
      <c r="W30" s="135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0"/>
        <v>#DIV/0!</v>
      </c>
    </row>
    <row r="31" spans="1:70" x14ac:dyDescent="0.25">
      <c r="A31" s="184" t="s">
        <v>120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6" t="e">
        <f>J31*L25+J30*L26+J29*L27+J28*L28</f>
        <v>#DIV/0!</v>
      </c>
      <c r="I31" s="93">
        <v>6</v>
      </c>
      <c r="J31" s="86" t="e">
        <f t="shared" si="11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3" t="e">
        <f t="shared" si="13"/>
        <v>#DIV/0!</v>
      </c>
      <c r="U31" s="93">
        <v>6</v>
      </c>
      <c r="V31" s="86" t="e">
        <f>T31*R25+T30*R26+T29*R27+T28*R28+T27*R29+T26*R30+T25*R31</f>
        <v>#DIV/0!</v>
      </c>
      <c r="W31" s="135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$H$28*H43</f>
        <v>#DIV/0!</v>
      </c>
      <c r="BP31">
        <f t="shared" ref="BP31:BP37" si="17">BP24+1</f>
        <v>8</v>
      </c>
      <c r="BQ31">
        <v>0</v>
      </c>
      <c r="BR31" s="107" t="e">
        <f t="shared" ref="BR31:BR38" si="18">$H$33*H39</f>
        <v>#DIV/0!</v>
      </c>
    </row>
    <row r="32" spans="1:70" x14ac:dyDescent="0.25">
      <c r="A32" s="26" t="s">
        <v>121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6" t="e">
        <f>J32*L25+J31*L26+J30*L27+J29*L28</f>
        <v>#DIV/0!</v>
      </c>
      <c r="I32" s="93">
        <v>7</v>
      </c>
      <c r="J32" s="86" t="e">
        <f t="shared" si="11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3" t="e">
        <f t="shared" si="13"/>
        <v>#DIV/0!</v>
      </c>
      <c r="U32" s="93">
        <v>7</v>
      </c>
      <c r="V32" s="86" t="e">
        <f>T32*R25+T31*R26+T30*R27+T29*R28+T28*R29+T27*R30+T26*R31+T25*R32</f>
        <v>#DIV/0!</v>
      </c>
      <c r="W32" s="135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122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6" t="e">
        <f>J33*L25+J32*L26+J31*L27+J30*L28</f>
        <v>#DIV/0!</v>
      </c>
      <c r="I33" s="93">
        <v>8</v>
      </c>
      <c r="J33" s="86" t="e">
        <f t="shared" si="11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3" t="e">
        <f t="shared" si="13"/>
        <v>#DIV/0!</v>
      </c>
      <c r="U33" s="93">
        <v>8</v>
      </c>
      <c r="V33" s="86" t="e">
        <f>T33*R25+T32*R26+T31*R27+T30*R28+T29*R29+T28*R30+T27*R31+T26*R32+T25*R33</f>
        <v>#DIV/0!</v>
      </c>
      <c r="W33" s="135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123</v>
      </c>
      <c r="B34" s="56" t="e">
        <f>B23*2</f>
        <v>#DIV/0!</v>
      </c>
      <c r="C34" s="57" t="e">
        <f>C23*2</f>
        <v>#DIV/0!</v>
      </c>
      <c r="G34" s="87">
        <v>9</v>
      </c>
      <c r="H34" s="126" t="e">
        <f>J34*L25+J33*L26+J32*L27+J31*L28</f>
        <v>#DIV/0!</v>
      </c>
      <c r="I34" s="93">
        <v>9</v>
      </c>
      <c r="J34" s="86" t="e">
        <f t="shared" si="11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3" t="e">
        <f t="shared" si="13"/>
        <v>#DIV/0!</v>
      </c>
      <c r="U34" s="93">
        <v>9</v>
      </c>
      <c r="V34" s="86" t="e">
        <f>T34*R25+T33*R26+T32*R27+T31*R28+T30*R29+T29*R30+T28*R31+T27*R32+T26*R33+T25*R34</f>
        <v>#DIV/0!</v>
      </c>
      <c r="W34" s="135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88">
        <v>10</v>
      </c>
      <c r="H35" s="127" t="e">
        <f>J35*L25+J34*L26+J33*L27+J32*L28</f>
        <v>#DIV/0!</v>
      </c>
      <c r="I35" s="94">
        <v>10</v>
      </c>
      <c r="J35" s="89" t="e">
        <f t="shared" si="11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3" t="e">
        <f t="shared" si="13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5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x14ac:dyDescent="0.25">
      <c r="A37" s="109" t="s">
        <v>124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125</v>
      </c>
      <c r="B38" s="107" t="e">
        <f>SUM(BJ4:BJ59)</f>
        <v>#DIV/0!</v>
      </c>
      <c r="G38" s="103" t="str">
        <f t="shared" ref="G38:AS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39" t="str">
        <f t="shared" si="19"/>
        <v>p</v>
      </c>
      <c r="U38" s="140" t="str">
        <f t="shared" si="19"/>
        <v>Total</v>
      </c>
      <c r="V38" s="141" t="str">
        <f t="shared" si="19"/>
        <v>P</v>
      </c>
      <c r="W38" s="90" t="str">
        <f t="shared" si="19"/>
        <v>E(x)</v>
      </c>
      <c r="X38" s="30" t="str">
        <f t="shared" si="19"/>
        <v>G0</v>
      </c>
      <c r="Y38" s="30" t="str">
        <f t="shared" si="19"/>
        <v>p</v>
      </c>
      <c r="Z38" s="30" t="str">
        <f t="shared" si="19"/>
        <v>G1</v>
      </c>
      <c r="AA38" s="30" t="str">
        <f t="shared" si="19"/>
        <v>p</v>
      </c>
      <c r="AB38" s="30" t="str">
        <f t="shared" si="19"/>
        <v>G2</v>
      </c>
      <c r="AC38" s="30" t="str">
        <f t="shared" si="19"/>
        <v>p</v>
      </c>
      <c r="AD38" s="30" t="str">
        <f t="shared" si="19"/>
        <v>G3</v>
      </c>
      <c r="AE38" s="30" t="str">
        <f t="shared" si="19"/>
        <v>p</v>
      </c>
      <c r="AF38" s="30" t="str">
        <f t="shared" si="19"/>
        <v>G4</v>
      </c>
      <c r="AG38" s="30" t="str">
        <f t="shared" si="19"/>
        <v>p</v>
      </c>
      <c r="AH38" s="30" t="str">
        <f t="shared" si="19"/>
        <v>G5</v>
      </c>
      <c r="AI38" s="30" t="str">
        <f t="shared" si="19"/>
        <v>p</v>
      </c>
      <c r="AJ38" s="30" t="str">
        <f t="shared" si="19"/>
        <v>G6</v>
      </c>
      <c r="AK38" s="30" t="str">
        <f t="shared" si="19"/>
        <v>p</v>
      </c>
      <c r="AL38" s="30" t="str">
        <f t="shared" si="19"/>
        <v>G7</v>
      </c>
      <c r="AM38" s="30" t="str">
        <f t="shared" si="19"/>
        <v>p</v>
      </c>
      <c r="AN38" s="30" t="str">
        <f t="shared" si="19"/>
        <v>G8</v>
      </c>
      <c r="AO38" s="30" t="str">
        <f t="shared" si="19"/>
        <v>p</v>
      </c>
      <c r="AP38" s="30" t="str">
        <f t="shared" si="19"/>
        <v>G9</v>
      </c>
      <c r="AQ38" s="30" t="str">
        <f t="shared" si="19"/>
        <v>p</v>
      </c>
      <c r="AR38" s="30" t="str">
        <f t="shared" si="19"/>
        <v>G10</v>
      </c>
      <c r="AS38" s="30" t="str">
        <f t="shared" si="19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20">BH32+1</f>
        <v>4</v>
      </c>
      <c r="BI38">
        <v>5</v>
      </c>
      <c r="BJ38" s="107" t="e">
        <f t="shared" ref="BJ38:BJ43" si="21">$H$29*H44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126</v>
      </c>
      <c r="B39" s="107" t="e">
        <f>SUM(BR4:BR47)</f>
        <v>#DIV/0!</v>
      </c>
      <c r="G39" s="128">
        <v>0</v>
      </c>
      <c r="H39" s="129" t="e">
        <f>L39*J39</f>
        <v>#DIV/0!</v>
      </c>
      <c r="I39" s="97">
        <v>0</v>
      </c>
      <c r="J39" s="98" t="e">
        <f t="shared" ref="J39:J49" si="22">Y39+AA39+AC39+AE39+AG39+AI39+AK39+AM39+AO39+AQ39+AS39</f>
        <v>#DIV/0!</v>
      </c>
      <c r="K39" s="102">
        <v>0</v>
      </c>
      <c r="L39" s="98" t="e">
        <f>AC21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 t="shared" ref="P39:P44" si="23">N39</f>
        <v>#DIV/0!</v>
      </c>
      <c r="Q39" s="12">
        <v>0</v>
      </c>
      <c r="R39" s="73" t="e">
        <f>P39*N39</f>
        <v>#DIV/0!</v>
      </c>
      <c r="S39" s="70">
        <v>0</v>
      </c>
      <c r="T39" s="133" t="e">
        <f>(1-$C$33)^(INT(B23*2*(1-B31)))</f>
        <v>#DIV/0!</v>
      </c>
      <c r="U39" s="138">
        <v>0</v>
      </c>
      <c r="V39" s="86" t="e">
        <f>R39*T39</f>
        <v>#DIV/0!</v>
      </c>
      <c r="W39" s="134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20"/>
        <v>4</v>
      </c>
      <c r="BI39">
        <v>6</v>
      </c>
      <c r="BJ39" s="107" t="e">
        <f t="shared" si="21"/>
        <v>#DIV/0!</v>
      </c>
      <c r="BP39">
        <f t="shared" ref="BP39:BP46" si="24">BP31+1</f>
        <v>9</v>
      </c>
      <c r="BQ39">
        <v>0</v>
      </c>
      <c r="BR39" s="107" t="e">
        <f t="shared" ref="BR39:BR47" si="25">$H$34*H39</f>
        <v>#DIV/0!</v>
      </c>
    </row>
    <row r="40" spans="1:70" x14ac:dyDescent="0.25">
      <c r="G40" s="91">
        <v>1</v>
      </c>
      <c r="H40" s="130" t="e">
        <f>L39*J40+L40*J39</f>
        <v>#DIV/0!</v>
      </c>
      <c r="I40" s="93">
        <v>1</v>
      </c>
      <c r="J40" s="86" t="e">
        <f t="shared" si="22"/>
        <v>#DIV/0!</v>
      </c>
      <c r="K40" s="95">
        <v>1</v>
      </c>
      <c r="L40" s="86" t="e">
        <f>AD21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si="23"/>
        <v>#DIV/0!</v>
      </c>
      <c r="Q40" s="28">
        <v>1</v>
      </c>
      <c r="R40" s="37" t="e">
        <f>P40*N39+P39*N40</f>
        <v>#DIV/0!</v>
      </c>
      <c r="S40" s="72">
        <v>1</v>
      </c>
      <c r="T40" s="133" t="e">
        <f t="shared" ref="T40:T49" si="26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5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20"/>
        <v>4</v>
      </c>
      <c r="BI40">
        <v>7</v>
      </c>
      <c r="BJ40" s="107" t="e">
        <f t="shared" si="21"/>
        <v>#DIV/0!</v>
      </c>
      <c r="BP40">
        <f t="shared" si="24"/>
        <v>9</v>
      </c>
      <c r="BQ40">
        <v>1</v>
      </c>
      <c r="BR40" s="107" t="e">
        <f t="shared" si="25"/>
        <v>#DIV/0!</v>
      </c>
    </row>
    <row r="41" spans="1:70" x14ac:dyDescent="0.25">
      <c r="G41" s="91">
        <v>2</v>
      </c>
      <c r="H41" s="130" t="e">
        <f>L39*J41+J40*L40+J39*L41</f>
        <v>#DIV/0!</v>
      </c>
      <c r="I41" s="93">
        <v>2</v>
      </c>
      <c r="J41" s="86" t="e">
        <f t="shared" si="22"/>
        <v>#DIV/0!</v>
      </c>
      <c r="K41" s="95">
        <v>2</v>
      </c>
      <c r="L41" s="86" t="e">
        <f>AE21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23"/>
        <v>#DIV/0!</v>
      </c>
      <c r="Q41" s="28">
        <v>2</v>
      </c>
      <c r="R41" s="37" t="e">
        <f>P41*N39+P40*N40+P39*N41</f>
        <v>#DIV/0!</v>
      </c>
      <c r="S41" s="72">
        <v>2</v>
      </c>
      <c r="T41" s="133" t="e">
        <f t="shared" si="26"/>
        <v>#DIV/0!</v>
      </c>
      <c r="U41" s="93">
        <v>2</v>
      </c>
      <c r="V41" s="86" t="e">
        <f>R41*T39+T40*R40+R39*T41</f>
        <v>#DIV/0!</v>
      </c>
      <c r="W41" s="135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20"/>
        <v>4</v>
      </c>
      <c r="BI41">
        <v>8</v>
      </c>
      <c r="BJ41" s="107" t="e">
        <f t="shared" si="21"/>
        <v>#DIV/0!</v>
      </c>
      <c r="BP41">
        <f t="shared" si="24"/>
        <v>9</v>
      </c>
      <c r="BQ41">
        <v>2</v>
      </c>
      <c r="BR41" s="107" t="e">
        <f t="shared" si="25"/>
        <v>#DIV/0!</v>
      </c>
    </row>
    <row r="42" spans="1:70" ht="15" customHeight="1" x14ac:dyDescent="0.25">
      <c r="G42" s="91">
        <v>3</v>
      </c>
      <c r="H42" s="130" t="e">
        <f>J42*L39+J41*L40+L42*J39+L41*J40</f>
        <v>#DIV/0!</v>
      </c>
      <c r="I42" s="93">
        <v>3</v>
      </c>
      <c r="J42" s="86" t="e">
        <f t="shared" si="22"/>
        <v>#DIV/0!</v>
      </c>
      <c r="K42" s="95">
        <v>3</v>
      </c>
      <c r="L42" s="86" t="e">
        <f>AF21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23"/>
        <v>#DIV/0!</v>
      </c>
      <c r="Q42" s="28">
        <v>3</v>
      </c>
      <c r="R42" s="37" t="e">
        <f>P42*N39+P41*N40+P40*N41+P39*N42</f>
        <v>#DIV/0!</v>
      </c>
      <c r="S42" s="72">
        <v>3</v>
      </c>
      <c r="T42" s="133" t="e">
        <f t="shared" si="26"/>
        <v>#DIV/0!</v>
      </c>
      <c r="U42" s="93">
        <v>3</v>
      </c>
      <c r="V42" s="86" t="e">
        <f>R42*T39+R41*T40+R40*T41+R39*T42</f>
        <v>#DIV/0!</v>
      </c>
      <c r="W42" s="135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 t="shared" ref="BF42:BF48" si="27">BE41+BE42</f>
        <v>210</v>
      </c>
      <c r="BH42">
        <f t="shared" si="20"/>
        <v>4</v>
      </c>
      <c r="BI42">
        <v>9</v>
      </c>
      <c r="BJ42" s="107" t="e">
        <f t="shared" si="21"/>
        <v>#DIV/0!</v>
      </c>
      <c r="BP42">
        <f t="shared" si="24"/>
        <v>9</v>
      </c>
      <c r="BQ42">
        <v>3</v>
      </c>
      <c r="BR42" s="107" t="e">
        <f t="shared" si="25"/>
        <v>#DIV/0!</v>
      </c>
    </row>
    <row r="43" spans="1:70" ht="15" customHeight="1" x14ac:dyDescent="0.25">
      <c r="G43" s="91">
        <v>4</v>
      </c>
      <c r="H43" s="130" t="e">
        <f>J43*L39+J42*L40+J41*L41+J40*L42</f>
        <v>#DIV/0!</v>
      </c>
      <c r="I43" s="93">
        <v>4</v>
      </c>
      <c r="J43" s="86" t="e">
        <f t="shared" si="22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23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3" t="e">
        <f t="shared" si="26"/>
        <v>#DIV/0!</v>
      </c>
      <c r="U43" s="93">
        <v>4</v>
      </c>
      <c r="V43" s="86" t="e">
        <f>T43*R39+T42*R40+T41*R41+T40*R42+T39*R43</f>
        <v>#DIV/0!</v>
      </c>
      <c r="W43" s="135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si="27"/>
        <v>252</v>
      </c>
      <c r="BH43">
        <f t="shared" si="20"/>
        <v>4</v>
      </c>
      <c r="BI43">
        <v>10</v>
      </c>
      <c r="BJ43" s="107" t="e">
        <f t="shared" si="21"/>
        <v>#DIV/0!</v>
      </c>
      <c r="BP43">
        <f t="shared" si="24"/>
        <v>9</v>
      </c>
      <c r="BQ43">
        <v>4</v>
      </c>
      <c r="BR43" s="107" t="e">
        <f t="shared" si="25"/>
        <v>#DIV/0!</v>
      </c>
    </row>
    <row r="44" spans="1:70" ht="15" customHeight="1" x14ac:dyDescent="0.25">
      <c r="G44" s="91">
        <v>5</v>
      </c>
      <c r="H44" s="130" t="e">
        <f>J44*L39+J43*L40+J42*L41+J41*L42</f>
        <v>#DIV/0!</v>
      </c>
      <c r="I44" s="93">
        <v>5</v>
      </c>
      <c r="J44" s="86" t="e">
        <f t="shared" si="22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23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3" t="e">
        <f t="shared" si="26"/>
        <v>#DIV/0!</v>
      </c>
      <c r="U44" s="93">
        <v>5</v>
      </c>
      <c r="V44" s="86" t="e">
        <f>T44*R39+T43*R40+T42*R41+T41*R42+T40*R43+T39*R44</f>
        <v>#DIV/0!</v>
      </c>
      <c r="W44" s="135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27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24"/>
        <v>9</v>
      </c>
      <c r="BQ44">
        <v>5</v>
      </c>
      <c r="BR44" s="107" t="e">
        <f t="shared" si="25"/>
        <v>#DIV/0!</v>
      </c>
    </row>
    <row r="45" spans="1:70" ht="15" customHeight="1" x14ac:dyDescent="0.25">
      <c r="A45" s="112" t="s">
        <v>4</v>
      </c>
      <c r="B45" s="112" t="s">
        <v>127</v>
      </c>
      <c r="C45" s="112" t="s">
        <v>128</v>
      </c>
      <c r="D45" s="112" t="s">
        <v>129</v>
      </c>
      <c r="E45" s="112" t="s">
        <v>130</v>
      </c>
      <c r="G45" s="91">
        <v>6</v>
      </c>
      <c r="H45" s="130" t="e">
        <f>J45*L39+J44*L40+J43*L41+J42*L42</f>
        <v>#DIV/0!</v>
      </c>
      <c r="I45" s="93">
        <v>6</v>
      </c>
      <c r="J45" s="86" t="e">
        <f t="shared" si="22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3" t="e">
        <f t="shared" si="26"/>
        <v>#DIV/0!</v>
      </c>
      <c r="U45" s="93">
        <v>6</v>
      </c>
      <c r="V45" s="86" t="e">
        <f>T45*R39+T44*R40+T43*R41+T42*R42+T41*R43+T40*R44+T39*R45</f>
        <v>#DIV/0!</v>
      </c>
      <c r="W45" s="135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27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24"/>
        <v>9</v>
      </c>
      <c r="BQ45">
        <v>6</v>
      </c>
      <c r="BR45" s="107" t="e">
        <f t="shared" si="25"/>
        <v>#DIV/0!</v>
      </c>
    </row>
    <row r="46" spans="1:70" ht="15" customHeight="1" x14ac:dyDescent="0.25">
      <c r="A46" s="113" t="s">
        <v>131</v>
      </c>
      <c r="B46" s="113" t="s">
        <v>2</v>
      </c>
      <c r="C46" s="113" t="s">
        <v>132</v>
      </c>
      <c r="D46" s="113" t="s">
        <v>133</v>
      </c>
      <c r="E46" s="113" t="s">
        <v>134</v>
      </c>
      <c r="G46" s="91">
        <v>7</v>
      </c>
      <c r="H46" s="130" t="e">
        <f>J46*L39+J45*L40+J44*L41+J43*L42</f>
        <v>#DIV/0!</v>
      </c>
      <c r="I46" s="93">
        <v>7</v>
      </c>
      <c r="J46" s="86" t="e">
        <f t="shared" si="22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3" t="e">
        <f t="shared" si="26"/>
        <v>#DIV/0!</v>
      </c>
      <c r="U46" s="93">
        <v>7</v>
      </c>
      <c r="V46" s="86" t="e">
        <f>T46*R39+T45*R40+T44*R41+T43*R42+T42*R43+T41*R44+T40*R45+T39*R46</f>
        <v>#DIV/0!</v>
      </c>
      <c r="W46" s="135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27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24"/>
        <v>9</v>
      </c>
      <c r="BQ46">
        <v>7</v>
      </c>
      <c r="BR46" s="107" t="e">
        <f t="shared" si="25"/>
        <v>#DIV/0!</v>
      </c>
    </row>
    <row r="47" spans="1:70" ht="15" customHeight="1" x14ac:dyDescent="0.25">
      <c r="A47" s="113" t="s">
        <v>5</v>
      </c>
      <c r="B47" s="113" t="s">
        <v>2</v>
      </c>
      <c r="C47" s="113" t="s">
        <v>135</v>
      </c>
      <c r="D47" s="113" t="s">
        <v>136</v>
      </c>
      <c r="E47" s="113" t="s">
        <v>134</v>
      </c>
      <c r="G47" s="91">
        <v>8</v>
      </c>
      <c r="H47" s="130" t="e">
        <f>J47*L39+J46*L40+J45*L41+J44*L42</f>
        <v>#DIV/0!</v>
      </c>
      <c r="I47" s="93">
        <v>8</v>
      </c>
      <c r="J47" s="86" t="e">
        <f t="shared" si="22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3" t="e">
        <f t="shared" si="26"/>
        <v>#DIV/0!</v>
      </c>
      <c r="U47" s="93">
        <v>8</v>
      </c>
      <c r="V47" s="86" t="e">
        <f>T47*R39+T46*R40+T45*R41+T44*R42+T43*R43+T42*R44+T41*R45+T40*R46+T39*R47</f>
        <v>#DIV/0!</v>
      </c>
      <c r="W47" s="135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27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25"/>
        <v>#DIV/0!</v>
      </c>
    </row>
    <row r="48" spans="1:70" ht="15" customHeight="1" x14ac:dyDescent="0.25">
      <c r="A48" s="114" t="s">
        <v>131</v>
      </c>
      <c r="B48" s="114" t="s">
        <v>137</v>
      </c>
      <c r="C48" s="114" t="s">
        <v>135</v>
      </c>
      <c r="D48" s="115" t="s">
        <v>138</v>
      </c>
      <c r="E48" s="114" t="s">
        <v>134</v>
      </c>
      <c r="G48" s="91">
        <v>9</v>
      </c>
      <c r="H48" s="130" t="e">
        <f>J48*L39+J47*L40+J46*L41+J45*L42</f>
        <v>#DIV/0!</v>
      </c>
      <c r="I48" s="93">
        <v>9</v>
      </c>
      <c r="J48" s="86" t="e">
        <f t="shared" si="22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3" t="e">
        <f t="shared" si="26"/>
        <v>#DIV/0!</v>
      </c>
      <c r="U48" s="93">
        <v>9</v>
      </c>
      <c r="V48" s="86" t="e">
        <f>T48*R39+T47*R40+T46*R41+T45*R42+T44*R43+T43*R44+T42*R45+T41*R46+T40*R47+T39*R48</f>
        <v>#DIV/0!</v>
      </c>
      <c r="W48" s="135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27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x14ac:dyDescent="0.25">
      <c r="A49" s="114" t="s">
        <v>5</v>
      </c>
      <c r="B49" s="114" t="s">
        <v>137</v>
      </c>
      <c r="C49" s="114" t="s">
        <v>132</v>
      </c>
      <c r="D49" s="114" t="s">
        <v>139</v>
      </c>
      <c r="E49" s="114" t="s">
        <v>140</v>
      </c>
      <c r="G49" s="92">
        <v>10</v>
      </c>
      <c r="H49" s="131" t="e">
        <f>J49*L39+J48*L40+J47*L41+J46*L42</f>
        <v>#DIV/0!</v>
      </c>
      <c r="I49" s="94">
        <v>10</v>
      </c>
      <c r="J49" s="89" t="e">
        <f t="shared" si="22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3" t="e">
        <f t="shared" si="26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5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x14ac:dyDescent="0.25">
      <c r="A50" s="116" t="s">
        <v>131</v>
      </c>
      <c r="B50" s="116" t="s">
        <v>1</v>
      </c>
      <c r="C50" s="116" t="s">
        <v>132</v>
      </c>
      <c r="D50" s="116" t="s">
        <v>141</v>
      </c>
      <c r="E50" s="116" t="s">
        <v>134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x14ac:dyDescent="0.25">
      <c r="A51" s="116" t="s">
        <v>5</v>
      </c>
      <c r="B51" s="116" t="s">
        <v>1</v>
      </c>
      <c r="C51" s="116" t="s">
        <v>132</v>
      </c>
      <c r="D51" s="116" t="s">
        <v>142</v>
      </c>
      <c r="E51" s="116" t="s">
        <v>140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H49">
    <cfRule type="cellIs" dxfId="27" priority="1" operator="greaterThan">
      <formula>0.15</formula>
    </cfRule>
  </conditionalFormatting>
  <conditionalFormatting sqref="H39:H49">
    <cfRule type="cellIs" dxfId="26" priority="2" operator="greaterThan">
      <formula>0.15</formula>
    </cfRule>
  </conditionalFormatting>
  <conditionalFormatting sqref="H49">
    <cfRule type="cellIs" dxfId="25" priority="3" operator="greaterThan">
      <formula>0.15</formula>
    </cfRule>
  </conditionalFormatting>
  <conditionalFormatting sqref="H39:H49">
    <cfRule type="cellIs" dxfId="24" priority="4" operator="greaterThan">
      <formula>0.15</formula>
    </cfRule>
  </conditionalFormatting>
  <conditionalFormatting sqref="H35">
    <cfRule type="cellIs" dxfId="23" priority="5" operator="greaterThan">
      <formula>0.15</formula>
    </cfRule>
  </conditionalFormatting>
  <conditionalFormatting sqref="H25:H35">
    <cfRule type="cellIs" dxfId="22" priority="6" operator="greaterThan">
      <formula>0.15</formula>
    </cfRule>
  </conditionalFormatting>
  <conditionalFormatting sqref="H35">
    <cfRule type="cellIs" dxfId="21" priority="7" operator="greaterThan">
      <formula>0.15</formula>
    </cfRule>
  </conditionalFormatting>
  <conditionalFormatting sqref="H25:H35">
    <cfRule type="cellIs" dxfId="20" priority="8" operator="greaterThan">
      <formula>0.15</formula>
    </cfRule>
  </conditionalFormatting>
  <conditionalFormatting sqref="V49">
    <cfRule type="cellIs" dxfId="19" priority="9" operator="greaterThan">
      <formula>0.15</formula>
    </cfRule>
  </conditionalFormatting>
  <conditionalFormatting sqref="V35">
    <cfRule type="cellIs" dxfId="18" priority="10" operator="greaterThan">
      <formula>0.15</formula>
    </cfRule>
  </conditionalFormatting>
  <conditionalFormatting sqref="V25:V35 V39:V49">
    <cfRule type="cellIs" dxfId="17" priority="11" operator="greaterThan">
      <formula>0.15</formula>
    </cfRule>
  </conditionalFormatting>
  <conditionalFormatting sqref="V49">
    <cfRule type="cellIs" dxfId="16" priority="12" operator="greaterThan">
      <formula>0.15</formula>
    </cfRule>
  </conditionalFormatting>
  <conditionalFormatting sqref="V35">
    <cfRule type="cellIs" dxfId="15" priority="13" operator="greaterThan">
      <formula>0.15</formula>
    </cfRule>
  </conditionalFormatting>
  <conditionalFormatting sqref="V25:V35 V39:V49">
    <cfRule type="cellIs" dxfId="14" priority="14" operator="greaterThan">
      <formula>0.15</formula>
    </cfRule>
  </conditionalFormatting>
  <pageMargins left="0.7" right="0.7" top="0.75" bottom="0.75" header="0.3" footer="0.3"/>
  <pageSetup paperSize="9" fitToWidth="0"/>
  <drawing r:id="rId1"/>
  <legacyDrawing r:id="rId2"/>
  <extLst>
    <ext uri="smNativeData">
      <pm:sheetPrefs xmlns:pm="smNativeData" day="15952533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VADER-Vigilante</vt:lpstr>
      <vt:lpstr>los_ofensivos-VADER</vt:lpstr>
      <vt:lpstr>los ofensivos</vt:lpstr>
      <vt:lpstr>RioPa_Prime-VADER</vt:lpstr>
      <vt:lpstr>SIMULADOR_v4</vt:lpstr>
      <vt:lpstr>SIMULADOR_v3</vt:lpstr>
      <vt:lpstr>SIMULADOR&gt;22-12-17_v2</vt:lpstr>
      <vt:lpstr>SIMULADOR&gt;22-12-17</vt:lpstr>
      <vt:lpstr>SIMULADOR</vt:lpstr>
      <vt:lpstr>SIMULADOR_sinJC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2006-09-16T00:00:00Z</dcterms:created>
  <dcterms:modified xsi:type="dcterms:W3CDTF">2020-09-10T15:29:38Z</dcterms:modified>
</cp:coreProperties>
</file>