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4"/>
  </bookViews>
  <sheets>
    <sheet name="Resistencia" sheetId="6" r:id="rId1"/>
    <sheet name="Amortización" sheetId="5" r:id="rId2"/>
    <sheet name="TL_v1" sheetId="7"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Calculador de Sueldo" sheetId="2" r:id="rId10"/>
    <sheet name="Empleados" sheetId="4" r:id="rId11"/>
  </sheets>
  <calcPr calcId="152511"/>
</workbook>
</file>

<file path=xl/calcChain.xml><?xml version="1.0" encoding="utf-8"?>
<calcChain xmlns="http://schemas.openxmlformats.org/spreadsheetml/2006/main">
  <c r="AD15" i="1" l="1"/>
  <c r="AD16" i="1"/>
  <c r="AD17" i="1"/>
  <c r="AD18" i="1"/>
  <c r="AD11" i="1"/>
  <c r="AD10" i="1"/>
  <c r="AD13" i="1"/>
  <c r="AD14" i="1"/>
  <c r="AD9" i="1" l="1"/>
  <c r="AD8" i="1"/>
  <c r="AD7" i="1"/>
  <c r="AD6" i="1"/>
  <c r="AD5" i="1"/>
  <c r="AD4" i="1"/>
  <c r="Q3" i="12" l="1"/>
  <c r="R3" i="12"/>
  <c r="S3" i="12"/>
  <c r="Q4" i="12"/>
  <c r="R4" i="12"/>
  <c r="S4" i="12"/>
  <c r="Q5" i="12"/>
  <c r="R5" i="12"/>
  <c r="S5" i="12"/>
  <c r="Q6" i="12"/>
  <c r="R6" i="12"/>
  <c r="S6" i="12"/>
  <c r="Q7" i="12"/>
  <c r="R7" i="12"/>
  <c r="S7" i="12"/>
  <c r="Q8" i="12"/>
  <c r="R8" i="12"/>
  <c r="S8" i="12"/>
  <c r="Q9" i="12"/>
  <c r="R9" i="12"/>
  <c r="S9" i="12"/>
  <c r="Q10" i="12"/>
  <c r="R10" i="12"/>
  <c r="S10" i="12"/>
  <c r="Q11" i="12"/>
  <c r="R11" i="12"/>
  <c r="S11" i="12"/>
  <c r="Q12" i="12"/>
  <c r="R12" i="12"/>
  <c r="S12" i="12"/>
  <c r="Q13" i="12"/>
  <c r="R13" i="12"/>
  <c r="S13" i="12"/>
  <c r="P13" i="12"/>
  <c r="P12" i="12"/>
  <c r="P11" i="12"/>
  <c r="P10" i="12"/>
  <c r="P9" i="12"/>
  <c r="P8" i="12"/>
  <c r="P7" i="12"/>
  <c r="P6" i="12"/>
  <c r="P5" i="12"/>
  <c r="P4" i="12"/>
  <c r="P3" i="12"/>
  <c r="O13" i="12"/>
  <c r="O12" i="12"/>
  <c r="O11" i="12"/>
  <c r="O8" i="12"/>
  <c r="O7" i="12"/>
  <c r="O3" i="12"/>
  <c r="O6" i="12"/>
  <c r="O5" i="12"/>
  <c r="O4" i="12"/>
  <c r="A4" i="12"/>
  <c r="B4" i="12"/>
  <c r="C4" i="12"/>
  <c r="D4" i="12"/>
  <c r="E4" i="12" s="1"/>
  <c r="G4" i="12"/>
  <c r="H4" i="12"/>
  <c r="A5" i="12"/>
  <c r="B5" i="12"/>
  <c r="C5" i="12"/>
  <c r="D5" i="12"/>
  <c r="E5" i="12"/>
  <c r="F5" i="12"/>
  <c r="G5" i="12"/>
  <c r="H5" i="12" s="1"/>
  <c r="J5" i="12" s="1"/>
  <c r="A6" i="12"/>
  <c r="B6" i="12"/>
  <c r="C6" i="12"/>
  <c r="D6" i="12"/>
  <c r="E6" i="12" s="1"/>
  <c r="G6" i="12"/>
  <c r="H6" i="12"/>
  <c r="A7" i="12"/>
  <c r="B7" i="12"/>
  <c r="C7" i="12"/>
  <c r="D7" i="12"/>
  <c r="E7" i="12"/>
  <c r="F7" i="12"/>
  <c r="G7" i="12"/>
  <c r="H7" i="12" s="1"/>
  <c r="J7" i="12" s="1"/>
  <c r="A8" i="12"/>
  <c r="B8" i="12"/>
  <c r="C8" i="12"/>
  <c r="D8" i="12"/>
  <c r="E8" i="12" s="1"/>
  <c r="G8" i="12"/>
  <c r="H8" i="12"/>
  <c r="A9" i="12"/>
  <c r="B9" i="12"/>
  <c r="C9" i="12"/>
  <c r="D9" i="12"/>
  <c r="E9" i="12"/>
  <c r="F9" i="12"/>
  <c r="G9" i="12"/>
  <c r="H9" i="12" s="1"/>
  <c r="J9" i="12" s="1"/>
  <c r="A10" i="12"/>
  <c r="B10" i="12"/>
  <c r="C10" i="12"/>
  <c r="D10" i="12"/>
  <c r="E10" i="12" s="1"/>
  <c r="G10" i="12"/>
  <c r="H10" i="12"/>
  <c r="A11" i="12"/>
  <c r="B11" i="12"/>
  <c r="C11" i="12"/>
  <c r="D11" i="12"/>
  <c r="E11" i="12"/>
  <c r="F11" i="12"/>
  <c r="G11" i="12"/>
  <c r="H11" i="12" s="1"/>
  <c r="J11" i="12" s="1"/>
  <c r="A12" i="12"/>
  <c r="B12" i="12"/>
  <c r="C12" i="12"/>
  <c r="D12" i="12"/>
  <c r="E12" i="12" s="1"/>
  <c r="G12" i="12"/>
  <c r="H12" i="12"/>
  <c r="A13" i="12"/>
  <c r="B13" i="12"/>
  <c r="C13" i="12"/>
  <c r="D13" i="12"/>
  <c r="E13" i="12"/>
  <c r="F13" i="12"/>
  <c r="G13" i="12"/>
  <c r="H13" i="12" s="1"/>
  <c r="J13" i="12" s="1"/>
  <c r="A14" i="12"/>
  <c r="B14" i="12"/>
  <c r="C14" i="12"/>
  <c r="D14" i="12"/>
  <c r="E14" i="12" s="1"/>
  <c r="G14" i="12"/>
  <c r="H14" i="12"/>
  <c r="A15" i="12"/>
  <c r="B15" i="12"/>
  <c r="C15" i="12"/>
  <c r="D15" i="12"/>
  <c r="E15" i="12"/>
  <c r="F15" i="12"/>
  <c r="G15" i="12"/>
  <c r="H15" i="12" s="1"/>
  <c r="J15" i="12" s="1"/>
  <c r="A16" i="12"/>
  <c r="B16" i="12"/>
  <c r="C16" i="12"/>
  <c r="D16" i="12"/>
  <c r="E16" i="12" s="1"/>
  <c r="G16" i="12"/>
  <c r="H16" i="12"/>
  <c r="A17" i="12"/>
  <c r="B17" i="12"/>
  <c r="C17" i="12"/>
  <c r="D17" i="12"/>
  <c r="E17" i="12"/>
  <c r="F17" i="12"/>
  <c r="G17" i="12"/>
  <c r="H17" i="12" s="1"/>
  <c r="J17" i="12" s="1"/>
  <c r="A18" i="12"/>
  <c r="B18" i="12"/>
  <c r="C18" i="12"/>
  <c r="D18" i="12"/>
  <c r="E18" i="12" s="1"/>
  <c r="G18" i="12"/>
  <c r="H18" i="12"/>
  <c r="A19" i="12"/>
  <c r="B19" i="12"/>
  <c r="C19" i="12"/>
  <c r="D19" i="12"/>
  <c r="E19" i="12"/>
  <c r="F19" i="12"/>
  <c r="G19" i="12"/>
  <c r="H19" i="12" s="1"/>
  <c r="J19" i="12" s="1"/>
  <c r="A20" i="12"/>
  <c r="B20" i="12"/>
  <c r="C20" i="12"/>
  <c r="D20" i="12"/>
  <c r="E20" i="12" s="1"/>
  <c r="G20" i="12"/>
  <c r="H20" i="12"/>
  <c r="A21" i="12"/>
  <c r="B21" i="12"/>
  <c r="C21" i="12"/>
  <c r="D21" i="12"/>
  <c r="E21" i="12"/>
  <c r="F21" i="12"/>
  <c r="G21" i="12"/>
  <c r="H21" i="12" s="1"/>
  <c r="J21" i="12" s="1"/>
  <c r="A22" i="12"/>
  <c r="B22" i="12"/>
  <c r="C22" i="12"/>
  <c r="D22" i="12"/>
  <c r="E22" i="12" s="1"/>
  <c r="G22" i="12"/>
  <c r="H22" i="12"/>
  <c r="A23" i="12"/>
  <c r="B23" i="12"/>
  <c r="C23" i="12"/>
  <c r="D23" i="12"/>
  <c r="E23" i="12"/>
  <c r="F23" i="12"/>
  <c r="G23" i="12"/>
  <c r="H23" i="12" s="1"/>
  <c r="J23" i="12" s="1"/>
  <c r="A24" i="12"/>
  <c r="B24" i="12"/>
  <c r="C24" i="12"/>
  <c r="D24" i="12"/>
  <c r="E24" i="12" s="1"/>
  <c r="G24" i="12"/>
  <c r="H24" i="12"/>
  <c r="A25" i="12"/>
  <c r="B25" i="12"/>
  <c r="C25" i="12"/>
  <c r="D25" i="12"/>
  <c r="E25" i="12"/>
  <c r="F25" i="12"/>
  <c r="G25" i="12"/>
  <c r="H25" i="12" s="1"/>
  <c r="J25" i="12" s="1"/>
  <c r="A26" i="12"/>
  <c r="B26" i="12"/>
  <c r="C26" i="12"/>
  <c r="D26" i="12"/>
  <c r="E26" i="12" s="1"/>
  <c r="G26" i="12"/>
  <c r="H26" i="12"/>
  <c r="A27" i="12"/>
  <c r="B27" i="12"/>
  <c r="C27" i="12"/>
  <c r="D27" i="12"/>
  <c r="E27" i="12"/>
  <c r="F27" i="12"/>
  <c r="G27" i="12"/>
  <c r="H27" i="12" s="1"/>
  <c r="J27" i="12" s="1"/>
  <c r="A28" i="12"/>
  <c r="B28" i="12"/>
  <c r="C28" i="12"/>
  <c r="D28" i="12"/>
  <c r="E28" i="12" s="1"/>
  <c r="G28" i="12"/>
  <c r="H28" i="12"/>
  <c r="A29" i="12"/>
  <c r="B29" i="12"/>
  <c r="C29" i="12"/>
  <c r="D29" i="12"/>
  <c r="E29" i="12"/>
  <c r="F29" i="12"/>
  <c r="G29" i="12"/>
  <c r="H29" i="12" s="1"/>
  <c r="J29" i="12" s="1"/>
  <c r="A30" i="12"/>
  <c r="B30" i="12"/>
  <c r="C30" i="12"/>
  <c r="D30" i="12"/>
  <c r="E30" i="12" s="1"/>
  <c r="G30" i="12"/>
  <c r="H30" i="12"/>
  <c r="A31" i="12"/>
  <c r="B31" i="12"/>
  <c r="C31" i="12"/>
  <c r="D31" i="12"/>
  <c r="E31" i="12"/>
  <c r="F31" i="12"/>
  <c r="G31" i="12"/>
  <c r="H31" i="12" s="1"/>
  <c r="J31" i="12" s="1"/>
  <c r="D3" i="12"/>
  <c r="C3" i="12"/>
  <c r="B3" i="12"/>
  <c r="A3" i="12"/>
  <c r="W7" i="12"/>
  <c r="V7" i="12"/>
  <c r="W12" i="12"/>
  <c r="V12" i="12"/>
  <c r="Y13" i="12"/>
  <c r="V13" i="12"/>
  <c r="V11" i="12"/>
  <c r="V10" i="12"/>
  <c r="O10" i="12"/>
  <c r="V9" i="12"/>
  <c r="O9" i="12"/>
  <c r="V8" i="12"/>
  <c r="V6" i="12"/>
  <c r="V5" i="12"/>
  <c r="V4" i="12"/>
  <c r="V3" i="12"/>
  <c r="E3" i="12"/>
  <c r="G3" i="12"/>
  <c r="I20" i="12" l="1"/>
  <c r="F20" i="12"/>
  <c r="I4" i="12"/>
  <c r="F4" i="12"/>
  <c r="X4" i="12" s="1"/>
  <c r="I26" i="12"/>
  <c r="F26" i="12"/>
  <c r="J26" i="12" s="1"/>
  <c r="I18" i="12"/>
  <c r="F18" i="12"/>
  <c r="J18" i="12" s="1"/>
  <c r="I10" i="12"/>
  <c r="F10" i="12"/>
  <c r="J16" i="12"/>
  <c r="I12" i="12"/>
  <c r="F12" i="12"/>
  <c r="J28" i="12"/>
  <c r="I24" i="12"/>
  <c r="F24" i="12"/>
  <c r="J20" i="12"/>
  <c r="I16" i="12"/>
  <c r="F16" i="12"/>
  <c r="J12" i="12"/>
  <c r="I8" i="12"/>
  <c r="F8" i="12"/>
  <c r="J8" i="12" s="1"/>
  <c r="J4" i="12"/>
  <c r="I28" i="12"/>
  <c r="F28" i="12"/>
  <c r="J24" i="12"/>
  <c r="I30" i="12"/>
  <c r="F30" i="12"/>
  <c r="J30" i="12" s="1"/>
  <c r="I22" i="12"/>
  <c r="F22" i="12"/>
  <c r="J22" i="12" s="1"/>
  <c r="I14" i="12"/>
  <c r="F14" i="12"/>
  <c r="J14" i="12" s="1"/>
  <c r="J10" i="12"/>
  <c r="I6" i="12"/>
  <c r="F6" i="12"/>
  <c r="J6" i="12" s="1"/>
  <c r="I31" i="12"/>
  <c r="I29" i="12"/>
  <c r="I27" i="12"/>
  <c r="I25" i="12"/>
  <c r="I23" i="12"/>
  <c r="I21" i="12"/>
  <c r="I19" i="12"/>
  <c r="I17" i="12"/>
  <c r="I15" i="12"/>
  <c r="I13" i="12"/>
  <c r="I11" i="12"/>
  <c r="I9" i="12"/>
  <c r="I7" i="12"/>
  <c r="I5" i="12"/>
  <c r="Y6" i="12"/>
  <c r="W9" i="12"/>
  <c r="Y7" i="12"/>
  <c r="X6" i="12"/>
  <c r="W6" i="12"/>
  <c r="P18" i="12"/>
  <c r="I3" i="12"/>
  <c r="H3" i="12"/>
  <c r="X13" i="12"/>
  <c r="W13" i="12"/>
  <c r="Y4" i="12"/>
  <c r="W3" i="12"/>
  <c r="W10" i="12"/>
  <c r="Y11" i="12"/>
  <c r="W11" i="12"/>
  <c r="Y8" i="12"/>
  <c r="Y5" i="12"/>
  <c r="F3" i="12"/>
  <c r="W8" i="12"/>
  <c r="Y3" i="12"/>
  <c r="W18" i="12" s="1"/>
  <c r="X5" i="12"/>
  <c r="W5" i="12"/>
  <c r="Y10" i="12"/>
  <c r="Y9" i="12"/>
  <c r="Y12" i="12"/>
  <c r="X7" i="12"/>
  <c r="W4" i="12"/>
  <c r="C4" i="2"/>
  <c r="C7" i="2"/>
  <c r="X3" i="12" l="1"/>
  <c r="W19" i="12"/>
  <c r="W20" i="12" s="1"/>
  <c r="X12" i="12"/>
  <c r="Z9" i="12"/>
  <c r="Z10" i="12"/>
  <c r="X8" i="12"/>
  <c r="Z5" i="12"/>
  <c r="Z12" i="12"/>
  <c r="P14" i="12"/>
  <c r="X11" i="12"/>
  <c r="W16" i="12"/>
  <c r="W17" i="12" s="1"/>
  <c r="W21" i="12" s="1"/>
  <c r="Z4" i="12"/>
  <c r="P19" i="12"/>
  <c r="P20" i="12" s="1"/>
  <c r="Z7" i="12"/>
  <c r="Z6" i="12"/>
  <c r="J3" i="12"/>
  <c r="Q18" i="12"/>
  <c r="Q19" i="12" s="1"/>
  <c r="Q20" i="12" s="1"/>
  <c r="W14" i="12"/>
  <c r="X10" i="12"/>
  <c r="X9" i="12"/>
  <c r="Z13" i="12"/>
  <c r="Z3" i="12"/>
  <c r="X18" i="12" s="1"/>
  <c r="X19" i="12" s="1"/>
  <c r="X20" i="12" s="1"/>
  <c r="P16" i="12"/>
  <c r="P17" i="12" s="1"/>
  <c r="P21" i="12" s="1"/>
  <c r="Z8" i="12"/>
  <c r="Z11" i="12"/>
  <c r="A28" i="3"/>
  <c r="B28" i="3"/>
  <c r="D28" i="3"/>
  <c r="BZ28" i="3" s="1"/>
  <c r="F28" i="3"/>
  <c r="G28" i="3" s="1"/>
  <c r="I28" i="3"/>
  <c r="J28" i="3"/>
  <c r="K28" i="3"/>
  <c r="L28" i="3"/>
  <c r="M28" i="3"/>
  <c r="BF28" i="3" s="1"/>
  <c r="N28" i="3"/>
  <c r="O28" i="3"/>
  <c r="P28" i="3"/>
  <c r="Q28" i="3"/>
  <c r="V28" i="3" s="1"/>
  <c r="R28" i="3"/>
  <c r="U28" i="3"/>
  <c r="W28" i="3"/>
  <c r="Y28" i="3" s="1"/>
  <c r="X28" i="3"/>
  <c r="Z28" i="3"/>
  <c r="AB28" i="3" s="1"/>
  <c r="AA28" i="3"/>
  <c r="AD28" i="3"/>
  <c r="AF28" i="3" s="1"/>
  <c r="AE28" i="3"/>
  <c r="AH28" i="3"/>
  <c r="AI28" i="3"/>
  <c r="AK28" i="3"/>
  <c r="AL28" i="3"/>
  <c r="AM28" i="3"/>
  <c r="AO28" i="3"/>
  <c r="AP28" i="3"/>
  <c r="AR28" i="3" s="1"/>
  <c r="AQ28" i="3"/>
  <c r="AT28" i="3"/>
  <c r="AV28" i="3" s="1"/>
  <c r="AU28" i="3"/>
  <c r="AW28" i="3"/>
  <c r="AY28" i="3" s="1"/>
  <c r="AX28" i="3"/>
  <c r="BA28" i="3"/>
  <c r="BC28" i="3" s="1"/>
  <c r="BB28" i="3"/>
  <c r="BD28" i="3"/>
  <c r="BE28" i="3"/>
  <c r="BG28" i="3"/>
  <c r="BH28" i="3"/>
  <c r="BI28" i="3"/>
  <c r="BJ28" i="3"/>
  <c r="BL28" i="3"/>
  <c r="BM28" i="3"/>
  <c r="BN28" i="3"/>
  <c r="BO28" i="3"/>
  <c r="BQ28" i="3"/>
  <c r="BR28" i="3"/>
  <c r="BS28" i="3"/>
  <c r="BT28" i="3"/>
  <c r="BU28" i="3"/>
  <c r="BV28" i="3"/>
  <c r="BW28" i="3"/>
  <c r="BY28" i="3"/>
  <c r="CA28" i="3" s="1"/>
  <c r="CB28" i="3"/>
  <c r="CD28" i="3" s="1"/>
  <c r="CC28" i="3"/>
  <c r="A29" i="3"/>
  <c r="B29" i="3"/>
  <c r="D29" i="3"/>
  <c r="F29" i="3"/>
  <c r="G29" i="3"/>
  <c r="H29" i="3"/>
  <c r="I29" i="3"/>
  <c r="J29" i="3"/>
  <c r="K29" i="3"/>
  <c r="X29" i="3" s="1"/>
  <c r="L29" i="3"/>
  <c r="Z29" i="3" s="1"/>
  <c r="AB29" i="3" s="1"/>
  <c r="M29" i="3"/>
  <c r="N29" i="3"/>
  <c r="O29" i="3"/>
  <c r="BH29" i="3" s="1"/>
  <c r="P29" i="3"/>
  <c r="Q29" i="3"/>
  <c r="V29" i="3" s="1"/>
  <c r="S29" i="3"/>
  <c r="U29" i="3"/>
  <c r="W29" i="3"/>
  <c r="Y29" i="3" s="1"/>
  <c r="AA29" i="3"/>
  <c r="AC29" i="3"/>
  <c r="AE29" i="3"/>
  <c r="AG29" i="3"/>
  <c r="AI29" i="3"/>
  <c r="AJ29" i="3"/>
  <c r="AK29" i="3"/>
  <c r="AL29" i="3"/>
  <c r="AM29" i="3"/>
  <c r="AN29" i="3"/>
  <c r="AP29" i="3"/>
  <c r="AR29" i="3" s="1"/>
  <c r="AQ29" i="3"/>
  <c r="AS29" i="3"/>
  <c r="AU29" i="3"/>
  <c r="AW29" i="3"/>
  <c r="AY29" i="3" s="1"/>
  <c r="AX29" i="3"/>
  <c r="AZ29" i="3"/>
  <c r="BD29" i="3"/>
  <c r="BE29" i="3"/>
  <c r="BF29" i="3"/>
  <c r="BG29" i="3"/>
  <c r="BI29" i="3"/>
  <c r="BJ29" i="3"/>
  <c r="BK29" i="3"/>
  <c r="BN29" i="3"/>
  <c r="BO29" i="3"/>
  <c r="BP29" i="3"/>
  <c r="BS29" i="3"/>
  <c r="BT29" i="3"/>
  <c r="BU29" i="3"/>
  <c r="BW29" i="3"/>
  <c r="BX29" i="3"/>
  <c r="CE29" i="3"/>
  <c r="A17" i="3"/>
  <c r="B17" i="3"/>
  <c r="D17" i="3"/>
  <c r="BZ17" i="3" s="1"/>
  <c r="F17" i="3"/>
  <c r="G17" i="3" s="1"/>
  <c r="I17" i="3"/>
  <c r="J17" i="3"/>
  <c r="K17" i="3"/>
  <c r="L17" i="3"/>
  <c r="M17" i="3"/>
  <c r="N17" i="3"/>
  <c r="O17" i="3"/>
  <c r="P17" i="3"/>
  <c r="Q17" i="3"/>
  <c r="R17" i="3"/>
  <c r="U17" i="3"/>
  <c r="W17" i="3"/>
  <c r="Y17" i="3" s="1"/>
  <c r="X17" i="3"/>
  <c r="Z17" i="3"/>
  <c r="AB17" i="3" s="1"/>
  <c r="AA17" i="3"/>
  <c r="AC17" i="3"/>
  <c r="AD17" i="3"/>
  <c r="AF17" i="3" s="1"/>
  <c r="AE17" i="3"/>
  <c r="AG17" i="3"/>
  <c r="AH17" i="3"/>
  <c r="AI17" i="3"/>
  <c r="AK17" i="3"/>
  <c r="AL17" i="3"/>
  <c r="AM17" i="3"/>
  <c r="AO17" i="3"/>
  <c r="AP17" i="3"/>
  <c r="AR17" i="3" s="1"/>
  <c r="AQ17" i="3"/>
  <c r="AS17" i="3"/>
  <c r="AT17" i="3"/>
  <c r="AV17" i="3" s="1"/>
  <c r="AU17" i="3"/>
  <c r="AW17" i="3"/>
  <c r="AY17" i="3" s="1"/>
  <c r="AX17" i="3"/>
  <c r="BA17" i="3"/>
  <c r="BC17" i="3" s="1"/>
  <c r="BB17" i="3"/>
  <c r="BD17" i="3"/>
  <c r="BE17" i="3"/>
  <c r="BG17" i="3"/>
  <c r="BH17" i="3"/>
  <c r="BI17" i="3"/>
  <c r="BJ17" i="3"/>
  <c r="BL17" i="3"/>
  <c r="BM17" i="3"/>
  <c r="BN17" i="3"/>
  <c r="BO17" i="3"/>
  <c r="BQ17" i="3"/>
  <c r="BR17" i="3"/>
  <c r="BS17" i="3"/>
  <c r="BT17" i="3"/>
  <c r="BU17" i="3"/>
  <c r="BV17" i="3"/>
  <c r="BW17" i="3"/>
  <c r="BY17" i="3"/>
  <c r="CA17" i="3" s="1"/>
  <c r="CB17" i="3"/>
  <c r="CD17" i="3" s="1"/>
  <c r="CC17" i="3"/>
  <c r="A18" i="3"/>
  <c r="B18" i="3"/>
  <c r="D18" i="3"/>
  <c r="F18" i="3"/>
  <c r="G18" i="3"/>
  <c r="H18" i="3"/>
  <c r="I18" i="3"/>
  <c r="J18" i="3"/>
  <c r="K18" i="3"/>
  <c r="X18" i="3" s="1"/>
  <c r="L18" i="3"/>
  <c r="M18" i="3"/>
  <c r="AJ18" i="3" s="1"/>
  <c r="N18" i="3"/>
  <c r="O18" i="3"/>
  <c r="P18" i="3"/>
  <c r="Q18" i="3"/>
  <c r="T18" i="3" s="1"/>
  <c r="Z18" i="3"/>
  <c r="AB18" i="3" s="1"/>
  <c r="AA18" i="3"/>
  <c r="AC18" i="3"/>
  <c r="AD18" i="3"/>
  <c r="AF18" i="3" s="1"/>
  <c r="AE18" i="3"/>
  <c r="AG18" i="3"/>
  <c r="AH18" i="3"/>
  <c r="AI18" i="3"/>
  <c r="AK18" i="3"/>
  <c r="AL18" i="3"/>
  <c r="AM18" i="3"/>
  <c r="AN18" i="3"/>
  <c r="AP18" i="3"/>
  <c r="AR18" i="3" s="1"/>
  <c r="AQ18" i="3"/>
  <c r="AS18" i="3"/>
  <c r="AU18" i="3"/>
  <c r="AW18" i="3"/>
  <c r="AY18" i="3" s="1"/>
  <c r="AX18" i="3"/>
  <c r="AZ18" i="3"/>
  <c r="BD18" i="3"/>
  <c r="BE18" i="3"/>
  <c r="BF18" i="3"/>
  <c r="BG18" i="3"/>
  <c r="BI18" i="3"/>
  <c r="BJ18" i="3"/>
  <c r="BK18" i="3"/>
  <c r="BN18" i="3"/>
  <c r="BO18" i="3"/>
  <c r="BP18" i="3"/>
  <c r="BS18" i="3"/>
  <c r="BT18" i="3"/>
  <c r="BU18" i="3"/>
  <c r="BW18" i="3"/>
  <c r="BX18" i="3"/>
  <c r="CE18" i="3"/>
  <c r="A19" i="3"/>
  <c r="B19" i="3"/>
  <c r="D19" i="3"/>
  <c r="F19" i="3"/>
  <c r="G19" i="3" s="1"/>
  <c r="I19" i="3"/>
  <c r="J19" i="3"/>
  <c r="K19" i="3"/>
  <c r="X19" i="3" s="1"/>
  <c r="L19" i="3"/>
  <c r="Z19" i="3" s="1"/>
  <c r="AB19" i="3" s="1"/>
  <c r="M19" i="3"/>
  <c r="N19" i="3"/>
  <c r="O19" i="3"/>
  <c r="R19" i="3" s="1"/>
  <c r="P19" i="3"/>
  <c r="Q19" i="3"/>
  <c r="W19" i="3"/>
  <c r="Y19" i="3" s="1"/>
  <c r="AA19" i="3"/>
  <c r="AE19" i="3"/>
  <c r="AI19" i="3"/>
  <c r="AK19" i="3"/>
  <c r="AM19" i="3"/>
  <c r="AO19" i="3"/>
  <c r="AQ19" i="3"/>
  <c r="AU19" i="3"/>
  <c r="AW19" i="3"/>
  <c r="AY19" i="3" s="1"/>
  <c r="AX19" i="3"/>
  <c r="BA19" i="3"/>
  <c r="BC19" i="3" s="1"/>
  <c r="BD19" i="3"/>
  <c r="BE19" i="3"/>
  <c r="BG19" i="3"/>
  <c r="BH19" i="3"/>
  <c r="BI19" i="3"/>
  <c r="BJ19" i="3"/>
  <c r="BL19" i="3"/>
  <c r="BM19" i="3"/>
  <c r="BN19" i="3"/>
  <c r="BO19" i="3"/>
  <c r="BQ19" i="3"/>
  <c r="BR19" i="3"/>
  <c r="BS19" i="3"/>
  <c r="BT19" i="3"/>
  <c r="BU19" i="3"/>
  <c r="BV19" i="3"/>
  <c r="BW19" i="3"/>
  <c r="CB19" i="3"/>
  <c r="CD19" i="3" s="1"/>
  <c r="CC19" i="3"/>
  <c r="A20" i="3"/>
  <c r="B20" i="3"/>
  <c r="D20" i="3"/>
  <c r="F20" i="3"/>
  <c r="H20" i="3" s="1"/>
  <c r="I20" i="3"/>
  <c r="J20" i="3"/>
  <c r="BD20" i="3" s="1"/>
  <c r="K20" i="3"/>
  <c r="X20" i="3" s="1"/>
  <c r="L20" i="3"/>
  <c r="M20" i="3"/>
  <c r="AJ20" i="3" s="1"/>
  <c r="N20" i="3"/>
  <c r="O20" i="3"/>
  <c r="P20" i="3"/>
  <c r="Q20" i="3"/>
  <c r="T20" i="3" s="1"/>
  <c r="Z20" i="3"/>
  <c r="AB20" i="3" s="1"/>
  <c r="AA20" i="3"/>
  <c r="AC20" i="3"/>
  <c r="AD20" i="3"/>
  <c r="AF20" i="3" s="1"/>
  <c r="AE20" i="3"/>
  <c r="AG20" i="3"/>
  <c r="AH20" i="3"/>
  <c r="AI20" i="3"/>
  <c r="AK20" i="3"/>
  <c r="AL20" i="3"/>
  <c r="AM20" i="3"/>
  <c r="AP20" i="3"/>
  <c r="AR20" i="3" s="1"/>
  <c r="AQ20" i="3"/>
  <c r="AS20" i="3"/>
  <c r="AU20" i="3"/>
  <c r="AW20" i="3"/>
  <c r="AY20" i="3" s="1"/>
  <c r="AX20" i="3"/>
  <c r="BE20" i="3"/>
  <c r="BF20" i="3"/>
  <c r="BG20" i="3"/>
  <c r="BI20" i="3"/>
  <c r="BJ20" i="3"/>
  <c r="BK20" i="3"/>
  <c r="BN20" i="3"/>
  <c r="BO20" i="3"/>
  <c r="BS20" i="3"/>
  <c r="BT20" i="3"/>
  <c r="BU20" i="3"/>
  <c r="BW20" i="3"/>
  <c r="CE20" i="3"/>
  <c r="A21" i="3"/>
  <c r="B21" i="3"/>
  <c r="D21" i="3"/>
  <c r="BZ21" i="3" s="1"/>
  <c r="F21" i="3"/>
  <c r="G21" i="3"/>
  <c r="H21" i="3"/>
  <c r="I21" i="3"/>
  <c r="J21" i="3"/>
  <c r="K21" i="3"/>
  <c r="L21" i="3"/>
  <c r="Z21" i="3" s="1"/>
  <c r="AB21" i="3" s="1"/>
  <c r="M21" i="3"/>
  <c r="N21" i="3"/>
  <c r="O21" i="3"/>
  <c r="R21" i="3" s="1"/>
  <c r="AO21" i="3" s="1"/>
  <c r="P21" i="3"/>
  <c r="BB21" i="3" s="1"/>
  <c r="Q21" i="3"/>
  <c r="U21" i="3" s="1"/>
  <c r="X21" i="3"/>
  <c r="AA21" i="3"/>
  <c r="AC21" i="3"/>
  <c r="AE21" i="3"/>
  <c r="AG21" i="3"/>
  <c r="AI21" i="3"/>
  <c r="AK21" i="3"/>
  <c r="AM21" i="3"/>
  <c r="AQ21" i="3"/>
  <c r="AS21" i="3"/>
  <c r="AU21" i="3"/>
  <c r="AW21" i="3"/>
  <c r="AY21" i="3" s="1"/>
  <c r="BA21" i="3"/>
  <c r="BC21" i="3" s="1"/>
  <c r="BD21" i="3"/>
  <c r="BE21" i="3"/>
  <c r="BG21" i="3"/>
  <c r="BH21" i="3"/>
  <c r="BI21" i="3"/>
  <c r="BK21" i="3"/>
  <c r="BL21" i="3"/>
  <c r="BM21" i="3"/>
  <c r="BO21" i="3"/>
  <c r="BP21" i="3"/>
  <c r="BQ21" i="3"/>
  <c r="BS21" i="3"/>
  <c r="BT21" i="3"/>
  <c r="BU21" i="3"/>
  <c r="BW21" i="3"/>
  <c r="BX21" i="3"/>
  <c r="BY21" i="3"/>
  <c r="CA21" i="3" s="1"/>
  <c r="CB21" i="3"/>
  <c r="CD21" i="3" s="1"/>
  <c r="CC21" i="3"/>
  <c r="CE21" i="3"/>
  <c r="A22" i="3"/>
  <c r="B22" i="3"/>
  <c r="D22" i="3"/>
  <c r="F22" i="3"/>
  <c r="H22" i="3" s="1"/>
  <c r="I22" i="3"/>
  <c r="J22" i="3"/>
  <c r="K22" i="3"/>
  <c r="L22" i="3"/>
  <c r="M22" i="3"/>
  <c r="N22" i="3"/>
  <c r="O22" i="3"/>
  <c r="BA22" i="3" s="1"/>
  <c r="BC22" i="3" s="1"/>
  <c r="P22" i="3"/>
  <c r="Q22" i="3"/>
  <c r="R22" i="3"/>
  <c r="AO22" i="3" s="1"/>
  <c r="W22" i="3"/>
  <c r="Y22" i="3" s="1"/>
  <c r="AC22" i="3"/>
  <c r="AM22" i="3"/>
  <c r="AS22" i="3"/>
  <c r="AX22" i="3"/>
  <c r="BI22" i="3"/>
  <c r="BN22" i="3"/>
  <c r="BO22" i="3"/>
  <c r="BU22" i="3"/>
  <c r="BY22" i="3"/>
  <c r="CA22" i="3" s="1"/>
  <c r="BZ22" i="3"/>
  <c r="CE22" i="3"/>
  <c r="A23" i="3"/>
  <c r="B23" i="3"/>
  <c r="D23" i="3"/>
  <c r="BZ23" i="3" s="1"/>
  <c r="F23" i="3"/>
  <c r="G23" i="3"/>
  <c r="H23" i="3"/>
  <c r="I23" i="3"/>
  <c r="J23" i="3"/>
  <c r="K23" i="3"/>
  <c r="X23" i="3" s="1"/>
  <c r="L23" i="3"/>
  <c r="M23" i="3"/>
  <c r="N23" i="3"/>
  <c r="O23" i="3"/>
  <c r="P23" i="3"/>
  <c r="Q23" i="3"/>
  <c r="U23" i="3" s="1"/>
  <c r="W23" i="3"/>
  <c r="Y23" i="3" s="1"/>
  <c r="AA23" i="3"/>
  <c r="AG23" i="3"/>
  <c r="AK23" i="3"/>
  <c r="AM23" i="3"/>
  <c r="AQ23" i="3"/>
  <c r="AW23" i="3"/>
  <c r="AY23" i="3" s="1"/>
  <c r="AZ23" i="3"/>
  <c r="BA23" i="3"/>
  <c r="BC23" i="3" s="1"/>
  <c r="BD23" i="3"/>
  <c r="BE23" i="3"/>
  <c r="BG23" i="3"/>
  <c r="BH23" i="3"/>
  <c r="BI23" i="3"/>
  <c r="BL23" i="3"/>
  <c r="BM23" i="3"/>
  <c r="BP23" i="3"/>
  <c r="BQ23" i="3"/>
  <c r="BT23" i="3"/>
  <c r="BU23" i="3"/>
  <c r="BW23" i="3"/>
  <c r="BY23" i="3"/>
  <c r="CA23" i="3" s="1"/>
  <c r="CB23" i="3"/>
  <c r="CD23" i="3" s="1"/>
  <c r="CC23" i="3"/>
  <c r="A24" i="3"/>
  <c r="B24" i="3"/>
  <c r="D24" i="3"/>
  <c r="F24" i="3"/>
  <c r="H24" i="3" s="1"/>
  <c r="I24" i="3"/>
  <c r="J24" i="3"/>
  <c r="K24" i="3"/>
  <c r="X24" i="3" s="1"/>
  <c r="L24" i="3"/>
  <c r="M24" i="3"/>
  <c r="N24" i="3"/>
  <c r="O24" i="3"/>
  <c r="AU24" i="3" s="1"/>
  <c r="P24" i="3"/>
  <c r="Q24" i="3"/>
  <c r="T24" i="3" s="1"/>
  <c r="S24" i="3"/>
  <c r="Z24" i="3"/>
  <c r="AB24" i="3" s="1"/>
  <c r="AA24" i="3"/>
  <c r="AH24" i="3"/>
  <c r="AI24" i="3"/>
  <c r="AM24" i="3"/>
  <c r="AP24" i="3"/>
  <c r="AR24" i="3" s="1"/>
  <c r="AQ24" i="3"/>
  <c r="AX24" i="3"/>
  <c r="BF24" i="3"/>
  <c r="BG24" i="3"/>
  <c r="BK24" i="3"/>
  <c r="BN24" i="3"/>
  <c r="BO24" i="3"/>
  <c r="BS24" i="3"/>
  <c r="BW24" i="3"/>
  <c r="CE24" i="3"/>
  <c r="A25" i="3"/>
  <c r="B25" i="3"/>
  <c r="D25" i="3"/>
  <c r="BZ25" i="3" s="1"/>
  <c r="F25" i="3"/>
  <c r="G25" i="3"/>
  <c r="H25" i="3"/>
  <c r="I25" i="3"/>
  <c r="J25" i="3"/>
  <c r="K25" i="3"/>
  <c r="L25" i="3"/>
  <c r="M25" i="3"/>
  <c r="AC25" i="3" s="1"/>
  <c r="N25" i="3"/>
  <c r="O25" i="3"/>
  <c r="P25" i="3"/>
  <c r="Q25" i="3"/>
  <c r="V25" i="3" s="1"/>
  <c r="X25" i="3"/>
  <c r="AG25" i="3"/>
  <c r="AK25" i="3"/>
  <c r="AW25" i="3"/>
  <c r="AY25" i="3" s="1"/>
  <c r="BA25" i="3"/>
  <c r="BC25" i="3" s="1"/>
  <c r="BD25" i="3"/>
  <c r="BE25" i="3"/>
  <c r="BG25" i="3"/>
  <c r="BH25" i="3"/>
  <c r="BI25" i="3"/>
  <c r="BL25" i="3"/>
  <c r="BM25" i="3"/>
  <c r="BO25" i="3"/>
  <c r="BQ25" i="3"/>
  <c r="BT25" i="3"/>
  <c r="BW25" i="3"/>
  <c r="CB25" i="3"/>
  <c r="CD25" i="3" s="1"/>
  <c r="A26" i="3"/>
  <c r="B26" i="3"/>
  <c r="D26" i="3"/>
  <c r="F26" i="3"/>
  <c r="H26" i="3" s="1"/>
  <c r="G26" i="3"/>
  <c r="I26" i="3"/>
  <c r="J26" i="3"/>
  <c r="K26" i="3"/>
  <c r="X26" i="3" s="1"/>
  <c r="L26" i="3"/>
  <c r="M26" i="3"/>
  <c r="BF26" i="3" s="1"/>
  <c r="N26" i="3"/>
  <c r="O26" i="3"/>
  <c r="BH26" i="3" s="1"/>
  <c r="P26" i="3"/>
  <c r="Q26" i="3"/>
  <c r="U26" i="3" s="1"/>
  <c r="Z26" i="3"/>
  <c r="AB26" i="3" s="1"/>
  <c r="AA26" i="3"/>
  <c r="AD26" i="3"/>
  <c r="AF26" i="3" s="1"/>
  <c r="AE26" i="3"/>
  <c r="AG26" i="3"/>
  <c r="AH26" i="3"/>
  <c r="AI26" i="3"/>
  <c r="AK26" i="3"/>
  <c r="AL26" i="3"/>
  <c r="AM26" i="3"/>
  <c r="AP26" i="3"/>
  <c r="AR26" i="3" s="1"/>
  <c r="AQ26" i="3"/>
  <c r="AT26" i="3"/>
  <c r="AV26" i="3" s="1"/>
  <c r="AU26" i="3"/>
  <c r="AW26" i="3"/>
  <c r="AY26" i="3" s="1"/>
  <c r="AX26" i="3"/>
  <c r="BA26" i="3"/>
  <c r="BC26" i="3" s="1"/>
  <c r="BB26" i="3"/>
  <c r="BE26" i="3"/>
  <c r="BG26" i="3"/>
  <c r="BI26" i="3"/>
  <c r="BJ26" i="3"/>
  <c r="BM26" i="3"/>
  <c r="BN26" i="3"/>
  <c r="BO26" i="3"/>
  <c r="BQ26" i="3"/>
  <c r="BR26" i="3"/>
  <c r="BS26" i="3"/>
  <c r="BV26" i="3"/>
  <c r="BW26" i="3"/>
  <c r="BY26" i="3"/>
  <c r="CA26" i="3" s="1"/>
  <c r="BZ26" i="3"/>
  <c r="CC26" i="3"/>
  <c r="CE26" i="3"/>
  <c r="A27" i="3"/>
  <c r="B27" i="3"/>
  <c r="D27" i="3"/>
  <c r="BZ27" i="3" s="1"/>
  <c r="F27" i="3"/>
  <c r="G27" i="3"/>
  <c r="H27" i="3"/>
  <c r="I27" i="3"/>
  <c r="J27" i="3"/>
  <c r="K27" i="3"/>
  <c r="L27" i="3"/>
  <c r="Z27" i="3" s="1"/>
  <c r="AB27" i="3" s="1"/>
  <c r="M27" i="3"/>
  <c r="BF27" i="3" s="1"/>
  <c r="N27" i="3"/>
  <c r="O27" i="3"/>
  <c r="R27" i="3" s="1"/>
  <c r="AO27" i="3" s="1"/>
  <c r="P27" i="3"/>
  <c r="BB27" i="3" s="1"/>
  <c r="Q27" i="3"/>
  <c r="V27" i="3" s="1"/>
  <c r="U27" i="3"/>
  <c r="W27" i="3"/>
  <c r="Y27" i="3" s="1"/>
  <c r="X27" i="3"/>
  <c r="AA27" i="3"/>
  <c r="AC27" i="3"/>
  <c r="AE27" i="3"/>
  <c r="AG27" i="3"/>
  <c r="AI27" i="3"/>
  <c r="AK27" i="3"/>
  <c r="AM27" i="3"/>
  <c r="AQ27" i="3"/>
  <c r="AS27" i="3"/>
  <c r="AU27" i="3"/>
  <c r="AW27" i="3"/>
  <c r="AY27" i="3" s="1"/>
  <c r="BA27" i="3"/>
  <c r="BC27" i="3" s="1"/>
  <c r="BD27" i="3"/>
  <c r="BE27" i="3"/>
  <c r="BG27" i="3"/>
  <c r="BH27" i="3"/>
  <c r="BI27" i="3"/>
  <c r="BL27" i="3"/>
  <c r="BM27" i="3"/>
  <c r="BO27" i="3"/>
  <c r="BQ27" i="3"/>
  <c r="BS27" i="3"/>
  <c r="BT27" i="3"/>
  <c r="BU27" i="3"/>
  <c r="BW27" i="3"/>
  <c r="BY27" i="3"/>
  <c r="CA27" i="3" s="1"/>
  <c r="CB27" i="3"/>
  <c r="CD27" i="3" s="1"/>
  <c r="CC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T29" i="3" l="1"/>
  <c r="V26" i="3"/>
  <c r="S20" i="3"/>
  <c r="U20" i="3"/>
  <c r="G20" i="3"/>
  <c r="H19" i="3"/>
  <c r="U18" i="3"/>
  <c r="S18" i="3"/>
  <c r="Q16" i="12"/>
  <c r="Q17" i="12" s="1"/>
  <c r="X14" i="12"/>
  <c r="Q21" i="12"/>
  <c r="X16" i="12"/>
  <c r="X17" i="12" s="1"/>
  <c r="X21" i="12" s="1"/>
  <c r="Q14" i="12"/>
  <c r="AG28" i="3"/>
  <c r="BZ29" i="3"/>
  <c r="BV29" i="3"/>
  <c r="BR29" i="3"/>
  <c r="BB29" i="3"/>
  <c r="AT29" i="3"/>
  <c r="AV29" i="3" s="1"/>
  <c r="AH29" i="3"/>
  <c r="AD29" i="3"/>
  <c r="AF29" i="3" s="1"/>
  <c r="R29" i="3"/>
  <c r="AO29" i="3" s="1"/>
  <c r="BX28" i="3"/>
  <c r="BP28" i="3"/>
  <c r="AZ28" i="3"/>
  <c r="AN28" i="3"/>
  <c r="AJ28" i="3"/>
  <c r="T28" i="3"/>
  <c r="H28" i="3"/>
  <c r="AS28" i="3"/>
  <c r="AC28" i="3"/>
  <c r="CC29" i="3"/>
  <c r="BY29" i="3"/>
  <c r="CA29" i="3" s="1"/>
  <c r="BQ29" i="3"/>
  <c r="BM29" i="3"/>
  <c r="BA29" i="3"/>
  <c r="BC29" i="3" s="1"/>
  <c r="CE28" i="3"/>
  <c r="BK28" i="3"/>
  <c r="S28" i="3"/>
  <c r="CB29" i="3"/>
  <c r="CD29" i="3" s="1"/>
  <c r="BL29" i="3"/>
  <c r="BX27" i="3"/>
  <c r="BP27" i="3"/>
  <c r="AZ27" i="3"/>
  <c r="AN27" i="3"/>
  <c r="AJ27" i="3"/>
  <c r="T27" i="3"/>
  <c r="BK26" i="3"/>
  <c r="BU25" i="3"/>
  <c r="BP25" i="3"/>
  <c r="AN25" i="3"/>
  <c r="BB25" i="3"/>
  <c r="S25" i="3"/>
  <c r="AU25" i="3"/>
  <c r="Z25" i="3"/>
  <c r="AB25" i="3" s="1"/>
  <c r="AD25" i="3"/>
  <c r="AF25" i="3" s="1"/>
  <c r="AH25" i="3"/>
  <c r="AL25" i="3"/>
  <c r="AP25" i="3"/>
  <c r="AR25" i="3" s="1"/>
  <c r="AX25" i="3"/>
  <c r="BJ25" i="3"/>
  <c r="BN25" i="3"/>
  <c r="W25" i="3"/>
  <c r="Y25" i="3" s="1"/>
  <c r="AA25" i="3"/>
  <c r="AE25" i="3"/>
  <c r="AI25" i="3"/>
  <c r="AM25" i="3"/>
  <c r="AQ25" i="3"/>
  <c r="BV24" i="3"/>
  <c r="R24" i="3"/>
  <c r="AO24" i="3" s="1"/>
  <c r="BL24" i="3"/>
  <c r="AK24" i="3"/>
  <c r="BQ24" i="3"/>
  <c r="BY24" i="3"/>
  <c r="CA24" i="3" s="1"/>
  <c r="BD24" i="3"/>
  <c r="BT24" i="3"/>
  <c r="CB24" i="3"/>
  <c r="CD24" i="3" s="1"/>
  <c r="U24" i="3"/>
  <c r="AC24" i="3"/>
  <c r="AG24" i="3"/>
  <c r="AS24" i="3"/>
  <c r="AW24" i="3"/>
  <c r="AY24" i="3" s="1"/>
  <c r="BE24" i="3"/>
  <c r="BI24" i="3"/>
  <c r="BU24" i="3"/>
  <c r="CC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BY25" i="3"/>
  <c r="CA25" i="3" s="1"/>
  <c r="AS25" i="3"/>
  <c r="U25" i="3"/>
  <c r="R25" i="3"/>
  <c r="AO25" i="3" s="1"/>
  <c r="AE24" i="3"/>
  <c r="W24" i="3"/>
  <c r="Y24" i="3" s="1"/>
  <c r="AJ24" i="3"/>
  <c r="V23" i="3"/>
  <c r="AN23" i="3"/>
  <c r="AC23" i="3"/>
  <c r="AS23" i="3"/>
  <c r="BF23" i="3"/>
  <c r="AJ23" i="3"/>
  <c r="BK23" i="3"/>
  <c r="CE23" i="3"/>
  <c r="BL22" i="3"/>
  <c r="AK22" i="3"/>
  <c r="BQ22" i="3"/>
  <c r="BV22" i="3"/>
  <c r="BG22" i="3"/>
  <c r="BD22" i="3"/>
  <c r="BT22" i="3"/>
  <c r="CB22" i="3"/>
  <c r="CD22" i="3" s="1"/>
  <c r="AD22" i="3"/>
  <c r="AF22" i="3" s="1"/>
  <c r="AI22" i="3"/>
  <c r="AT22" i="3"/>
  <c r="AV22" i="3" s="1"/>
  <c r="BE22" i="3"/>
  <c r="BJ22" i="3"/>
  <c r="Z22" i="3"/>
  <c r="AB22" i="3" s="1"/>
  <c r="AE22" i="3"/>
  <c r="AP22" i="3"/>
  <c r="AR22" i="3" s="1"/>
  <c r="AU22" i="3"/>
  <c r="V22" i="3"/>
  <c r="AA22" i="3"/>
  <c r="AG22" i="3"/>
  <c r="AL22" i="3"/>
  <c r="AQ22" i="3"/>
  <c r="AW22" i="3"/>
  <c r="AY22" i="3" s="1"/>
  <c r="BB22" i="3"/>
  <c r="BM22" i="3"/>
  <c r="BR22" i="3"/>
  <c r="BW22" i="3"/>
  <c r="CC22" i="3"/>
  <c r="BF25" i="3"/>
  <c r="BK25" i="3"/>
  <c r="BH24" i="3"/>
  <c r="BA24" i="3"/>
  <c r="BC24" i="3" s="1"/>
  <c r="BM24" i="3"/>
  <c r="BK27" i="3"/>
  <c r="BV27" i="3"/>
  <c r="BR27" i="3"/>
  <c r="BN27" i="3"/>
  <c r="BJ27" i="3"/>
  <c r="AX27" i="3"/>
  <c r="AT27" i="3"/>
  <c r="AV27" i="3" s="1"/>
  <c r="AP27" i="3"/>
  <c r="AR27" i="3" s="1"/>
  <c r="AL27" i="3"/>
  <c r="AH27" i="3"/>
  <c r="AD27" i="3"/>
  <c r="AF27" i="3" s="1"/>
  <c r="CB26" i="3"/>
  <c r="CD26" i="3" s="1"/>
  <c r="BX26" i="3"/>
  <c r="AS26" i="3"/>
  <c r="AC26" i="3"/>
  <c r="W26" i="3"/>
  <c r="Y26" i="3" s="1"/>
  <c r="R26" i="3"/>
  <c r="AO26" i="3" s="1"/>
  <c r="BL26" i="3"/>
  <c r="BD26" i="3"/>
  <c r="BT26" i="3"/>
  <c r="CC25" i="3"/>
  <c r="BX25" i="3"/>
  <c r="BS25" i="3"/>
  <c r="AZ25" i="3"/>
  <c r="AJ25" i="3"/>
  <c r="T25" i="3"/>
  <c r="BZ24" i="3"/>
  <c r="BR24" i="3"/>
  <c r="BJ24" i="3"/>
  <c r="BB24" i="3"/>
  <c r="AT24" i="3"/>
  <c r="AV24" i="3" s="1"/>
  <c r="AL24" i="3"/>
  <c r="AD24" i="3"/>
  <c r="AF24" i="3" s="1"/>
  <c r="V24" i="3"/>
  <c r="G24" i="3"/>
  <c r="BX23" i="3"/>
  <c r="S23" i="3"/>
  <c r="BB23" i="3"/>
  <c r="AU23" i="3"/>
  <c r="Z23" i="3"/>
  <c r="AB23" i="3" s="1"/>
  <c r="AD23" i="3"/>
  <c r="AF23" i="3" s="1"/>
  <c r="AH23" i="3"/>
  <c r="AL23" i="3"/>
  <c r="AP23" i="3"/>
  <c r="AR23" i="3" s="1"/>
  <c r="AI23" i="3"/>
  <c r="AX23" i="3"/>
  <c r="BJ23" i="3"/>
  <c r="BN23" i="3"/>
  <c r="T23" i="3"/>
  <c r="AE23" i="3"/>
  <c r="BO23" i="3"/>
  <c r="BS23" i="3"/>
  <c r="BS22" i="3"/>
  <c r="AH22" i="3"/>
  <c r="R23" i="3"/>
  <c r="AO23" i="3" s="1"/>
  <c r="AT23" i="3"/>
  <c r="AV23" i="3" s="1"/>
  <c r="T22" i="3"/>
  <c r="AN22" i="3"/>
  <c r="AJ22" i="3"/>
  <c r="AZ22" i="3"/>
  <c r="BP22" i="3"/>
  <c r="BX22" i="3"/>
  <c r="BV25" i="3"/>
  <c r="BR25" i="3"/>
  <c r="AT25" i="3"/>
  <c r="AV25" i="3" s="1"/>
  <c r="BX24" i="3"/>
  <c r="BP24" i="3"/>
  <c r="AZ24" i="3"/>
  <c r="AN24" i="3"/>
  <c r="BV23" i="3"/>
  <c r="BR23" i="3"/>
  <c r="BK22" i="3"/>
  <c r="BF22" i="3"/>
  <c r="U22" i="3"/>
  <c r="G22" i="3"/>
  <c r="V21" i="3"/>
  <c r="T21" i="3"/>
  <c r="AN21" i="3"/>
  <c r="BF21" i="3"/>
  <c r="AJ21" i="3"/>
  <c r="AZ21" i="3"/>
  <c r="W20" i="3"/>
  <c r="Y20" i="3" s="1"/>
  <c r="W18" i="3"/>
  <c r="Y18" i="3" s="1"/>
  <c r="S22" i="3"/>
  <c r="BH22" i="3"/>
  <c r="X22" i="3"/>
  <c r="BH20" i="3"/>
  <c r="BL20" i="3"/>
  <c r="CB20" i="3"/>
  <c r="CD20" i="3" s="1"/>
  <c r="BA20" i="3"/>
  <c r="BC20" i="3" s="1"/>
  <c r="BM20" i="3"/>
  <c r="BQ20" i="3"/>
  <c r="BY20" i="3"/>
  <c r="CA20" i="3" s="1"/>
  <c r="CC20" i="3"/>
  <c r="R20" i="3"/>
  <c r="AO20" i="3" s="1"/>
  <c r="AT20" i="3"/>
  <c r="AV20" i="3" s="1"/>
  <c r="BB20" i="3"/>
  <c r="BR20" i="3"/>
  <c r="BV20" i="3"/>
  <c r="BZ20" i="3"/>
  <c r="BH18" i="3"/>
  <c r="BL18" i="3"/>
  <c r="CB18" i="3"/>
  <c r="CD18" i="3" s="1"/>
  <c r="BA18" i="3"/>
  <c r="BC18" i="3" s="1"/>
  <c r="BM18" i="3"/>
  <c r="BQ18" i="3"/>
  <c r="BY18" i="3"/>
  <c r="CA18" i="3" s="1"/>
  <c r="CC18" i="3"/>
  <c r="R18" i="3"/>
  <c r="AO18" i="3" s="1"/>
  <c r="AT18" i="3"/>
  <c r="AV18" i="3" s="1"/>
  <c r="BB18" i="3"/>
  <c r="BR18" i="3"/>
  <c r="BV18" i="3"/>
  <c r="BZ18" i="3"/>
  <c r="V17" i="3"/>
  <c r="S17" i="3"/>
  <c r="T17" i="3"/>
  <c r="AN17" i="3"/>
  <c r="BF17" i="3"/>
  <c r="BK17" i="3"/>
  <c r="CE17" i="3"/>
  <c r="AJ17" i="3"/>
  <c r="AZ17" i="3"/>
  <c r="BP17" i="3"/>
  <c r="BX17" i="3"/>
  <c r="V20" i="3"/>
  <c r="V18" i="3"/>
  <c r="H17" i="3"/>
  <c r="W21" i="3"/>
  <c r="Y21" i="3" s="1"/>
  <c r="S21" i="3"/>
  <c r="BV21" i="3"/>
  <c r="BR21" i="3"/>
  <c r="BN21" i="3"/>
  <c r="BJ21" i="3"/>
  <c r="AX21" i="3"/>
  <c r="AT21" i="3"/>
  <c r="AV21" i="3" s="1"/>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31" i="1" l="1"/>
  <c r="AB30" i="1"/>
  <c r="AB29" i="1"/>
  <c r="AB28" i="1"/>
  <c r="AB27" i="1"/>
  <c r="AB26" i="1"/>
  <c r="AB25" i="1"/>
  <c r="AB24" i="1"/>
  <c r="AB23" i="1"/>
  <c r="AB22" i="1"/>
  <c r="AB19" i="1"/>
  <c r="AB20" i="1"/>
  <c r="AB18" i="1"/>
  <c r="AB17" i="1"/>
  <c r="AB16" i="1"/>
  <c r="AB15" i="1"/>
  <c r="AB11" i="1"/>
  <c r="AB13" i="1"/>
  <c r="AB14" i="1"/>
  <c r="AB12" i="1"/>
  <c r="AB9" i="1"/>
  <c r="AB7" i="1"/>
  <c r="AB6" i="1"/>
  <c r="AB5" i="1"/>
  <c r="AB4" i="1"/>
  <c r="U21" i="1" l="1"/>
  <c r="AR21" i="1"/>
  <c r="W21" i="1"/>
  <c r="R21" i="1"/>
  <c r="S21" i="1"/>
  <c r="P21" i="1"/>
  <c r="N21" i="1"/>
  <c r="AG21" i="1" s="1"/>
  <c r="J21" i="1"/>
  <c r="K21" i="1"/>
  <c r="L21" i="1"/>
  <c r="AK21" i="1" l="1"/>
  <c r="AJ21" i="1"/>
  <c r="AI21" i="1"/>
  <c r="AM21" i="1"/>
  <c r="AL21" i="1"/>
  <c r="AH21" i="1"/>
  <c r="AN21" i="1"/>
  <c r="U20" i="1"/>
  <c r="AR20" i="1"/>
  <c r="W20" i="1"/>
  <c r="R20" i="1"/>
  <c r="S20" i="1"/>
  <c r="P20" i="1"/>
  <c r="N20" i="1"/>
  <c r="AN20" i="1" s="1"/>
  <c r="J20" i="1"/>
  <c r="K20" i="1"/>
  <c r="L20" i="1"/>
  <c r="AG20" i="1" l="1"/>
  <c r="AK20" i="1"/>
  <c r="AH20" i="1"/>
  <c r="AL20" i="1"/>
  <c r="AI20" i="1"/>
  <c r="AM20" i="1"/>
  <c r="AJ20" i="1"/>
  <c r="AB10" i="1"/>
  <c r="AR30" i="1" l="1"/>
  <c r="W30" i="1"/>
  <c r="U30" i="1"/>
  <c r="S30" i="1"/>
  <c r="R30" i="1"/>
  <c r="P30" i="1"/>
  <c r="N30" i="1"/>
  <c r="AN30" i="1" s="1"/>
  <c r="L30" i="1"/>
  <c r="K30" i="1"/>
  <c r="J30" i="1"/>
  <c r="AR26" i="1"/>
  <c r="W26" i="1"/>
  <c r="U26" i="1"/>
  <c r="S26" i="1"/>
  <c r="R26" i="1"/>
  <c r="P26" i="1"/>
  <c r="N26" i="1"/>
  <c r="AM26" i="1" s="1"/>
  <c r="L26" i="1"/>
  <c r="K26" i="1"/>
  <c r="J26" i="1"/>
  <c r="AR29" i="1"/>
  <c r="W29" i="1"/>
  <c r="U29" i="1"/>
  <c r="S29" i="1"/>
  <c r="R29" i="1"/>
  <c r="P29" i="1"/>
  <c r="N29" i="1"/>
  <c r="AN29" i="1" s="1"/>
  <c r="L29" i="1"/>
  <c r="K29" i="1"/>
  <c r="J29" i="1"/>
  <c r="AR25" i="1"/>
  <c r="W25" i="1"/>
  <c r="U25" i="1"/>
  <c r="S25" i="1"/>
  <c r="R25" i="1"/>
  <c r="P25" i="1"/>
  <c r="N25" i="1"/>
  <c r="AK25" i="1" s="1"/>
  <c r="L25" i="1"/>
  <c r="K25" i="1"/>
  <c r="J25" i="1"/>
  <c r="AG30" i="1" l="1"/>
  <c r="AK30" i="1"/>
  <c r="AH30" i="1"/>
  <c r="AL30" i="1"/>
  <c r="AI30" i="1"/>
  <c r="AM30" i="1"/>
  <c r="AJ30" i="1"/>
  <c r="AG26" i="1"/>
  <c r="AL26" i="1"/>
  <c r="AK26" i="1"/>
  <c r="AH26" i="1"/>
  <c r="AN26" i="1"/>
  <c r="AJ26" i="1"/>
  <c r="AI26" i="1"/>
  <c r="AG29" i="1"/>
  <c r="AK29" i="1"/>
  <c r="AH29" i="1"/>
  <c r="AL29" i="1"/>
  <c r="AI29" i="1"/>
  <c r="AM29" i="1"/>
  <c r="AJ29" i="1"/>
  <c r="AI25" i="1"/>
  <c r="AM25" i="1"/>
  <c r="AL25" i="1"/>
  <c r="AJ25" i="1"/>
  <c r="AN25" i="1"/>
  <c r="AH25" i="1"/>
  <c r="AG25" i="1"/>
  <c r="AR31" i="1"/>
  <c r="W31" i="1"/>
  <c r="U31" i="1"/>
  <c r="S31" i="1"/>
  <c r="R31" i="1"/>
  <c r="P31" i="1"/>
  <c r="N31" i="1"/>
  <c r="AK31" i="1" s="1"/>
  <c r="L31" i="1"/>
  <c r="K31" i="1"/>
  <c r="J31" i="1"/>
  <c r="AR27" i="1"/>
  <c r="W27" i="1"/>
  <c r="U27" i="1"/>
  <c r="S27" i="1"/>
  <c r="R27" i="1"/>
  <c r="P27" i="1"/>
  <c r="N27" i="1"/>
  <c r="AK27" i="1" s="1"/>
  <c r="L27" i="1"/>
  <c r="K27" i="1"/>
  <c r="J27" i="1"/>
  <c r="AR28" i="1"/>
  <c r="W28" i="1"/>
  <c r="U28" i="1"/>
  <c r="S28" i="1"/>
  <c r="R28" i="1"/>
  <c r="P28" i="1"/>
  <c r="N28" i="1"/>
  <c r="AL28" i="1" s="1"/>
  <c r="L28" i="1"/>
  <c r="K28" i="1"/>
  <c r="J28" i="1"/>
  <c r="AR24" i="1"/>
  <c r="W24" i="1"/>
  <c r="U24" i="1"/>
  <c r="S24" i="1"/>
  <c r="R24" i="1"/>
  <c r="P24" i="1"/>
  <c r="N24" i="1"/>
  <c r="L24" i="1"/>
  <c r="K24" i="1"/>
  <c r="J24" i="1"/>
  <c r="AR23" i="1"/>
  <c r="W23" i="1"/>
  <c r="U23" i="1"/>
  <c r="S23" i="1"/>
  <c r="R23" i="1"/>
  <c r="P23" i="1"/>
  <c r="N23" i="1"/>
  <c r="AN23" i="1" s="1"/>
  <c r="L23" i="1"/>
  <c r="K23" i="1"/>
  <c r="J23" i="1"/>
  <c r="AR22" i="1"/>
  <c r="W22" i="1"/>
  <c r="U22" i="1"/>
  <c r="S22" i="1"/>
  <c r="R22" i="1"/>
  <c r="P22" i="1"/>
  <c r="N22" i="1"/>
  <c r="AK22" i="1" s="1"/>
  <c r="L22" i="1"/>
  <c r="K22" i="1"/>
  <c r="J22" i="1"/>
  <c r="AR19" i="1"/>
  <c r="W19" i="1"/>
  <c r="U19" i="1"/>
  <c r="S19" i="1"/>
  <c r="R19" i="1"/>
  <c r="P19" i="1"/>
  <c r="AI19" i="1"/>
  <c r="L19" i="1"/>
  <c r="K19" i="1"/>
  <c r="J19" i="1"/>
  <c r="AH31" i="1" l="1"/>
  <c r="AL31" i="1"/>
  <c r="AI31" i="1"/>
  <c r="AM31" i="1"/>
  <c r="AJ31" i="1"/>
  <c r="AN31" i="1"/>
  <c r="AG31" i="1"/>
  <c r="AK28" i="1"/>
  <c r="AJ28" i="1"/>
  <c r="AI28" i="1"/>
  <c r="AJ23" i="1"/>
  <c r="AG23" i="1"/>
  <c r="AH23" i="1"/>
  <c r="AM19" i="1"/>
  <c r="AK23" i="1"/>
  <c r="AM28" i="1"/>
  <c r="AN27" i="1"/>
  <c r="AM27" i="1"/>
  <c r="AJ19" i="1"/>
  <c r="AG19" i="1"/>
  <c r="AN22" i="1"/>
  <c r="AL23" i="1"/>
  <c r="AK24" i="1"/>
  <c r="AM24" i="1"/>
  <c r="AJ27" i="1"/>
  <c r="AL27" i="1"/>
  <c r="AJ22" i="1"/>
  <c r="AJ24" i="1"/>
  <c r="AN24" i="1"/>
  <c r="AH22" i="1"/>
  <c r="AL22" i="1"/>
  <c r="AG24" i="1"/>
  <c r="AN28" i="1"/>
  <c r="AH27" i="1"/>
  <c r="AN19" i="1"/>
  <c r="AI22" i="1"/>
  <c r="AM22" i="1"/>
  <c r="AI23" i="1"/>
  <c r="AM23" i="1"/>
  <c r="AK19" i="1"/>
  <c r="AH24" i="1"/>
  <c r="AL24" i="1"/>
  <c r="AG28" i="1"/>
  <c r="AI27" i="1"/>
  <c r="AH19" i="1"/>
  <c r="AL19" i="1"/>
  <c r="AG22" i="1"/>
  <c r="AI24" i="1"/>
  <c r="AH28" i="1"/>
  <c r="AG27" i="1"/>
  <c r="AA18" i="1"/>
  <c r="AA17" i="1"/>
  <c r="AA16" i="1"/>
  <c r="AA15" i="1"/>
  <c r="AA11" i="1"/>
  <c r="AA10" i="1"/>
  <c r="AA13" i="1"/>
  <c r="AA14" i="1"/>
  <c r="AA12" i="1"/>
  <c r="AA9" i="1"/>
  <c r="AA8" i="1"/>
  <c r="AA7" i="1"/>
  <c r="AA6" i="1"/>
  <c r="AA5" i="1"/>
  <c r="AA4" i="1"/>
  <c r="AC18" i="1" l="1"/>
  <c r="AC17" i="1"/>
  <c r="AC16" i="1"/>
  <c r="AC15" i="1"/>
  <c r="AC11" i="1"/>
  <c r="AC10" i="1"/>
  <c r="AC13" i="1"/>
  <c r="AC12" i="1"/>
  <c r="AC7" i="1"/>
  <c r="AC6" i="1"/>
  <c r="AC5" i="1"/>
  <c r="AC4" i="1"/>
  <c r="Z18" i="1" l="1"/>
  <c r="Z17" i="1"/>
  <c r="Z16" i="1"/>
  <c r="Z15" i="1"/>
  <c r="Z11" i="1"/>
  <c r="Z10" i="1"/>
  <c r="Z13" i="1"/>
  <c r="Z14" i="1"/>
  <c r="Z12" i="1"/>
  <c r="Z8" i="1"/>
  <c r="Z7" i="1"/>
  <c r="Z6" i="1"/>
  <c r="Z5" i="1"/>
  <c r="Z4" i="1"/>
  <c r="AB8" i="1" l="1"/>
  <c r="O31" i="9" l="1"/>
  <c r="Q31" i="9" s="1"/>
  <c r="S31" i="9"/>
  <c r="U31" i="9" s="1"/>
  <c r="T31" i="9"/>
  <c r="O94" i="9" l="1"/>
  <c r="Q94" i="9" s="1"/>
  <c r="S94" i="9"/>
  <c r="T94" i="9"/>
  <c r="O95" i="9"/>
  <c r="Q95" i="9" s="1"/>
  <c r="S95" i="9"/>
  <c r="T95" i="9"/>
  <c r="O96" i="9"/>
  <c r="Q96" i="9" s="1"/>
  <c r="S96" i="9"/>
  <c r="U96" i="9" s="1"/>
  <c r="T96" i="9"/>
  <c r="O97" i="9"/>
  <c r="Q97" i="9" s="1"/>
  <c r="S97" i="9"/>
  <c r="T97" i="9"/>
  <c r="O98" i="9"/>
  <c r="Q98" i="9" s="1"/>
  <c r="S98" i="9"/>
  <c r="T98" i="9"/>
  <c r="O99" i="9"/>
  <c r="Q99" i="9" s="1"/>
  <c r="S99" i="9"/>
  <c r="T99" i="9"/>
  <c r="O100" i="9"/>
  <c r="Q100" i="9" s="1"/>
  <c r="S100" i="9"/>
  <c r="U100" i="9" s="1"/>
  <c r="T100" i="9"/>
  <c r="O101" i="9"/>
  <c r="Q101" i="9" s="1"/>
  <c r="S101" i="9"/>
  <c r="T101" i="9"/>
  <c r="O102" i="9"/>
  <c r="Q102" i="9" s="1"/>
  <c r="S102" i="9"/>
  <c r="T102" i="9"/>
  <c r="O103" i="9"/>
  <c r="Q103" i="9" s="1"/>
  <c r="S103" i="9"/>
  <c r="T103" i="9"/>
  <c r="O104" i="9"/>
  <c r="Q104" i="9" s="1"/>
  <c r="S104" i="9"/>
  <c r="T104" i="9"/>
  <c r="O105" i="9"/>
  <c r="Q105" i="9" s="1"/>
  <c r="S105" i="9"/>
  <c r="T105" i="9"/>
  <c r="O106" i="9"/>
  <c r="Q106" i="9" s="1"/>
  <c r="S106" i="9"/>
  <c r="T106" i="9"/>
  <c r="O107" i="9"/>
  <c r="Q107" i="9" s="1"/>
  <c r="S107" i="9"/>
  <c r="T107" i="9"/>
  <c r="O108" i="9"/>
  <c r="Q108" i="9" s="1"/>
  <c r="S108" i="9"/>
  <c r="U108" i="9" s="1"/>
  <c r="T108" i="9"/>
  <c r="O109" i="9"/>
  <c r="Q109" i="9" s="1"/>
  <c r="S109" i="9"/>
  <c r="T109" i="9"/>
  <c r="O110" i="9"/>
  <c r="Q110" i="9" s="1"/>
  <c r="S110" i="9"/>
  <c r="T110" i="9"/>
  <c r="O111" i="9"/>
  <c r="Q111" i="9" s="1"/>
  <c r="S111" i="9"/>
  <c r="T111" i="9"/>
  <c r="O112" i="9"/>
  <c r="Q112" i="9" s="1"/>
  <c r="S112" i="9"/>
  <c r="T112" i="9"/>
  <c r="O113" i="9"/>
  <c r="Q113" i="9" s="1"/>
  <c r="S113" i="9"/>
  <c r="T113" i="9"/>
  <c r="O114" i="9"/>
  <c r="Q114" i="9" s="1"/>
  <c r="S114" i="9"/>
  <c r="T114" i="9"/>
  <c r="O115" i="9"/>
  <c r="Q115" i="9" s="1"/>
  <c r="S115" i="9"/>
  <c r="T115" i="9"/>
  <c r="O116" i="9"/>
  <c r="Q116" i="9" s="1"/>
  <c r="S116" i="9"/>
  <c r="U116" i="9" s="1"/>
  <c r="T116" i="9"/>
  <c r="O117" i="9"/>
  <c r="Q117" i="9" s="1"/>
  <c r="S117" i="9"/>
  <c r="T117" i="9"/>
  <c r="O118" i="9"/>
  <c r="Q118" i="9" s="1"/>
  <c r="S118" i="9"/>
  <c r="T118" i="9"/>
  <c r="O119" i="9"/>
  <c r="Q119" i="9" s="1"/>
  <c r="S119" i="9"/>
  <c r="T119" i="9"/>
  <c r="O120" i="9"/>
  <c r="Q120" i="9" s="1"/>
  <c r="S120" i="9"/>
  <c r="T120" i="9"/>
  <c r="O121" i="9"/>
  <c r="Q121" i="9" s="1"/>
  <c r="S121" i="9"/>
  <c r="T121" i="9"/>
  <c r="O122" i="9"/>
  <c r="Q122" i="9" s="1"/>
  <c r="S122" i="9"/>
  <c r="T122" i="9"/>
  <c r="O123" i="9"/>
  <c r="Q123" i="9" s="1"/>
  <c r="S123" i="9"/>
  <c r="T123" i="9"/>
  <c r="O124" i="9"/>
  <c r="Q124" i="9" s="1"/>
  <c r="S124" i="9"/>
  <c r="U124" i="9" s="1"/>
  <c r="T124" i="9"/>
  <c r="O125" i="9"/>
  <c r="Q125" i="9" s="1"/>
  <c r="S125" i="9"/>
  <c r="T125" i="9"/>
  <c r="O126" i="9"/>
  <c r="Q126" i="9" s="1"/>
  <c r="S126" i="9"/>
  <c r="T126" i="9"/>
  <c r="O127" i="9"/>
  <c r="Q127" i="9" s="1"/>
  <c r="S127" i="9"/>
  <c r="T127" i="9"/>
  <c r="B33" i="9"/>
  <c r="B31" i="9"/>
  <c r="B32" i="9" s="1"/>
  <c r="U125" i="9" l="1"/>
  <c r="U109" i="9"/>
  <c r="U101" i="9"/>
  <c r="U112" i="9"/>
  <c r="U117" i="9"/>
  <c r="U113" i="9"/>
  <c r="U97" i="9"/>
  <c r="U120" i="9"/>
  <c r="U104" i="9"/>
  <c r="U121" i="9"/>
  <c r="U105" i="9"/>
  <c r="U127" i="9"/>
  <c r="U126" i="9"/>
  <c r="U123" i="9"/>
  <c r="U122" i="9"/>
  <c r="U119" i="9"/>
  <c r="U118" i="9"/>
  <c r="U115" i="9"/>
  <c r="U114" i="9"/>
  <c r="U111" i="9"/>
  <c r="U110" i="9"/>
  <c r="U107" i="9"/>
  <c r="U106" i="9"/>
  <c r="U103" i="9"/>
  <c r="U102" i="9"/>
  <c r="U99" i="9"/>
  <c r="U98" i="9"/>
  <c r="U95" i="9"/>
  <c r="U94" i="9"/>
  <c r="U5" i="1"/>
  <c r="U6" i="1"/>
  <c r="U7" i="1"/>
  <c r="U8" i="1"/>
  <c r="U9" i="1"/>
  <c r="U10" i="1"/>
  <c r="U11" i="1"/>
  <c r="U12" i="1"/>
  <c r="U13" i="1"/>
  <c r="U14" i="1"/>
  <c r="U15" i="1"/>
  <c r="U16" i="1"/>
  <c r="U17" i="1"/>
  <c r="U18" i="1"/>
  <c r="U4" i="1"/>
  <c r="U2" i="1" l="1"/>
  <c r="K3" i="11"/>
  <c r="J4" i="11"/>
  <c r="I5" i="11"/>
  <c r="O48" i="9" l="1"/>
  <c r="Q48" i="9" s="1"/>
  <c r="S48" i="9"/>
  <c r="T48" i="9"/>
  <c r="O33" i="9"/>
  <c r="Q33" i="9" s="1"/>
  <c r="S33" i="9"/>
  <c r="T33" i="9"/>
  <c r="O50" i="9"/>
  <c r="Q50" i="9" s="1"/>
  <c r="S50" i="9"/>
  <c r="U50" i="9" s="1"/>
  <c r="T50" i="9"/>
  <c r="O34" i="9"/>
  <c r="Q34" i="9" s="1"/>
  <c r="S34" i="9"/>
  <c r="T34" i="9"/>
  <c r="O32" i="9"/>
  <c r="Q32" i="9" s="1"/>
  <c r="S32" i="9"/>
  <c r="T32" i="9"/>
  <c r="O51" i="9"/>
  <c r="Q51" i="9" s="1"/>
  <c r="S51" i="9"/>
  <c r="T51" i="9"/>
  <c r="O22" i="9"/>
  <c r="Q22" i="9" s="1"/>
  <c r="S22" i="9"/>
  <c r="U22" i="9" s="1"/>
  <c r="T22" i="9"/>
  <c r="O10" i="9"/>
  <c r="Q10" i="9" s="1"/>
  <c r="S10" i="9"/>
  <c r="T10" i="9"/>
  <c r="O2" i="9"/>
  <c r="Q2" i="9" s="1"/>
  <c r="S2" i="9"/>
  <c r="T2" i="9"/>
  <c r="O18" i="9"/>
  <c r="Q18" i="9" s="1"/>
  <c r="S18" i="9"/>
  <c r="T18" i="9"/>
  <c r="O16" i="9"/>
  <c r="Q16" i="9" s="1"/>
  <c r="S16" i="9"/>
  <c r="T16" i="9"/>
  <c r="O15" i="9"/>
  <c r="Q15" i="9" s="1"/>
  <c r="S15" i="9"/>
  <c r="T15" i="9"/>
  <c r="O8" i="9"/>
  <c r="Q8" i="9" s="1"/>
  <c r="S8" i="9"/>
  <c r="T8" i="9"/>
  <c r="O5" i="9"/>
  <c r="Q5" i="9" s="1"/>
  <c r="S5" i="9"/>
  <c r="T5" i="9"/>
  <c r="O13" i="9"/>
  <c r="Q13" i="9" s="1"/>
  <c r="S13" i="9"/>
  <c r="U13" i="9" s="1"/>
  <c r="T13" i="9"/>
  <c r="O39" i="9"/>
  <c r="Q39" i="9" s="1"/>
  <c r="S39" i="9"/>
  <c r="T39" i="9"/>
  <c r="O40" i="9"/>
  <c r="Q40" i="9" s="1"/>
  <c r="S40" i="9"/>
  <c r="T40" i="9"/>
  <c r="O14" i="9"/>
  <c r="Q14" i="9" s="1"/>
  <c r="S14" i="9"/>
  <c r="T14" i="9"/>
  <c r="O25" i="9"/>
  <c r="Q25" i="9" s="1"/>
  <c r="S25" i="9"/>
  <c r="T25" i="9"/>
  <c r="O11" i="9"/>
  <c r="Q11" i="9" s="1"/>
  <c r="S11" i="9"/>
  <c r="T11" i="9"/>
  <c r="O7" i="9"/>
  <c r="Q7" i="9" s="1"/>
  <c r="S7" i="9"/>
  <c r="T7" i="9"/>
  <c r="O9" i="9"/>
  <c r="Q9" i="9" s="1"/>
  <c r="S9" i="9"/>
  <c r="T9" i="9"/>
  <c r="O3" i="9"/>
  <c r="Q3" i="9" s="1"/>
  <c r="S3" i="9"/>
  <c r="T3" i="9"/>
  <c r="O43" i="9"/>
  <c r="Q43" i="9" s="1"/>
  <c r="S43" i="9"/>
  <c r="T43" i="9"/>
  <c r="O37" i="9"/>
  <c r="Q37" i="9" s="1"/>
  <c r="S37" i="9"/>
  <c r="T37" i="9"/>
  <c r="O19" i="9"/>
  <c r="Q19" i="9" s="1"/>
  <c r="S19" i="9"/>
  <c r="T19" i="9"/>
  <c r="O42" i="9"/>
  <c r="Q42" i="9" s="1"/>
  <c r="S42" i="9"/>
  <c r="T42" i="9"/>
  <c r="O6" i="9"/>
  <c r="Q6" i="9" s="1"/>
  <c r="S6" i="9"/>
  <c r="T6" i="9"/>
  <c r="O27" i="9"/>
  <c r="Q27" i="9" s="1"/>
  <c r="S27" i="9"/>
  <c r="T27" i="9"/>
  <c r="O30" i="9"/>
  <c r="Q30" i="9" s="1"/>
  <c r="S30" i="9"/>
  <c r="T30" i="9"/>
  <c r="O28" i="9"/>
  <c r="Q28" i="9" s="1"/>
  <c r="S28" i="9"/>
  <c r="U28" i="9" s="1"/>
  <c r="T28" i="9"/>
  <c r="O36" i="9"/>
  <c r="Q36" i="9" s="1"/>
  <c r="S36" i="9"/>
  <c r="T36" i="9"/>
  <c r="O53" i="9"/>
  <c r="Q53" i="9" s="1"/>
  <c r="S53" i="9"/>
  <c r="T53" i="9"/>
  <c r="O54" i="9"/>
  <c r="Q54" i="9" s="1"/>
  <c r="S54" i="9"/>
  <c r="T54" i="9"/>
  <c r="O55" i="9"/>
  <c r="Q55" i="9" s="1"/>
  <c r="S55" i="9"/>
  <c r="U55" i="9" s="1"/>
  <c r="T55" i="9"/>
  <c r="O56" i="9"/>
  <c r="Q56" i="9" s="1"/>
  <c r="S56" i="9"/>
  <c r="T56" i="9"/>
  <c r="O57" i="9"/>
  <c r="Q57" i="9" s="1"/>
  <c r="S57" i="9"/>
  <c r="T57" i="9"/>
  <c r="O58" i="9"/>
  <c r="Q58" i="9" s="1"/>
  <c r="S58" i="9"/>
  <c r="T58" i="9"/>
  <c r="O59" i="9"/>
  <c r="Q59" i="9" s="1"/>
  <c r="S59" i="9"/>
  <c r="U59" i="9" s="1"/>
  <c r="T59" i="9"/>
  <c r="O60" i="9"/>
  <c r="Q60" i="9" s="1"/>
  <c r="S60" i="9"/>
  <c r="T60" i="9"/>
  <c r="O61" i="9"/>
  <c r="Q61" i="9" s="1"/>
  <c r="S61" i="9"/>
  <c r="T61" i="9"/>
  <c r="O62" i="9"/>
  <c r="Q62" i="9" s="1"/>
  <c r="S62" i="9"/>
  <c r="T62" i="9"/>
  <c r="O63" i="9"/>
  <c r="Q63" i="9" s="1"/>
  <c r="S63" i="9"/>
  <c r="T63" i="9"/>
  <c r="O64" i="9"/>
  <c r="Q64" i="9" s="1"/>
  <c r="S64" i="9"/>
  <c r="T64" i="9"/>
  <c r="O65" i="9"/>
  <c r="Q65" i="9" s="1"/>
  <c r="S65" i="9"/>
  <c r="T65" i="9"/>
  <c r="O66" i="9"/>
  <c r="Q66" i="9" s="1"/>
  <c r="S66" i="9"/>
  <c r="T66" i="9"/>
  <c r="O67" i="9"/>
  <c r="Q67" i="9" s="1"/>
  <c r="S67" i="9"/>
  <c r="U67" i="9" s="1"/>
  <c r="T67" i="9"/>
  <c r="O68" i="9"/>
  <c r="Q68" i="9" s="1"/>
  <c r="S68" i="9"/>
  <c r="T68" i="9"/>
  <c r="O69" i="9"/>
  <c r="Q69" i="9" s="1"/>
  <c r="S69" i="9"/>
  <c r="T69" i="9"/>
  <c r="O70" i="9"/>
  <c r="Q70" i="9" s="1"/>
  <c r="S70" i="9"/>
  <c r="T70" i="9"/>
  <c r="O71" i="9"/>
  <c r="Q71" i="9" s="1"/>
  <c r="S71" i="9"/>
  <c r="T71" i="9"/>
  <c r="O72" i="9"/>
  <c r="Q72" i="9" s="1"/>
  <c r="S72" i="9"/>
  <c r="T72" i="9"/>
  <c r="O73" i="9"/>
  <c r="Q73" i="9" s="1"/>
  <c r="S73" i="9"/>
  <c r="T73" i="9"/>
  <c r="O74" i="9"/>
  <c r="Q74" i="9" s="1"/>
  <c r="S74" i="9"/>
  <c r="T74" i="9"/>
  <c r="O75" i="9"/>
  <c r="Q75" i="9" s="1"/>
  <c r="S75" i="9"/>
  <c r="T75" i="9"/>
  <c r="O76" i="9"/>
  <c r="Q76" i="9" s="1"/>
  <c r="S76" i="9"/>
  <c r="T76" i="9"/>
  <c r="O77" i="9"/>
  <c r="Q77" i="9" s="1"/>
  <c r="S77" i="9"/>
  <c r="T77" i="9"/>
  <c r="O78" i="9"/>
  <c r="Q78" i="9" s="1"/>
  <c r="S78" i="9"/>
  <c r="T78" i="9"/>
  <c r="O79" i="9"/>
  <c r="Q79" i="9" s="1"/>
  <c r="S79" i="9"/>
  <c r="T79" i="9"/>
  <c r="O80" i="9"/>
  <c r="Q80" i="9" s="1"/>
  <c r="S80" i="9"/>
  <c r="T80" i="9"/>
  <c r="O81" i="9"/>
  <c r="Q81" i="9" s="1"/>
  <c r="S81" i="9"/>
  <c r="T81" i="9"/>
  <c r="O82" i="9"/>
  <c r="Q82" i="9" s="1"/>
  <c r="S82" i="9"/>
  <c r="T82" i="9"/>
  <c r="O83" i="9"/>
  <c r="Q83" i="9" s="1"/>
  <c r="S83" i="9"/>
  <c r="U83" i="9" s="1"/>
  <c r="T83" i="9"/>
  <c r="O84" i="9"/>
  <c r="Q84" i="9" s="1"/>
  <c r="S84" i="9"/>
  <c r="T84" i="9"/>
  <c r="O85" i="9"/>
  <c r="Q85" i="9" s="1"/>
  <c r="S85" i="9"/>
  <c r="T85" i="9"/>
  <c r="O86" i="9"/>
  <c r="Q86" i="9" s="1"/>
  <c r="S86" i="9"/>
  <c r="T86" i="9"/>
  <c r="O87" i="9"/>
  <c r="Q87" i="9" s="1"/>
  <c r="S87" i="9"/>
  <c r="T87" i="9"/>
  <c r="O88" i="9"/>
  <c r="Q88" i="9" s="1"/>
  <c r="S88" i="9"/>
  <c r="T88" i="9"/>
  <c r="O89" i="9"/>
  <c r="Q89" i="9" s="1"/>
  <c r="S89" i="9"/>
  <c r="T89" i="9"/>
  <c r="O90" i="9"/>
  <c r="Q90" i="9" s="1"/>
  <c r="S90" i="9"/>
  <c r="T90" i="9"/>
  <c r="O91" i="9"/>
  <c r="Q91" i="9" s="1"/>
  <c r="S91" i="9"/>
  <c r="T91" i="9"/>
  <c r="O92" i="9"/>
  <c r="Q92" i="9" s="1"/>
  <c r="S92" i="9"/>
  <c r="T92" i="9"/>
  <c r="O93" i="9"/>
  <c r="Q93" i="9" s="1"/>
  <c r="S93" i="9"/>
  <c r="T93" i="9"/>
  <c r="U91" i="9" l="1"/>
  <c r="U87" i="9"/>
  <c r="U84" i="9"/>
  <c r="U36" i="9"/>
  <c r="U39" i="9"/>
  <c r="U68" i="9"/>
  <c r="U92" i="9"/>
  <c r="U60" i="9"/>
  <c r="U10" i="9"/>
  <c r="U75" i="9"/>
  <c r="U71" i="9"/>
  <c r="U3" i="9"/>
  <c r="U25" i="9"/>
  <c r="U76" i="9"/>
  <c r="U43" i="9"/>
  <c r="U88" i="9"/>
  <c r="U72" i="9"/>
  <c r="U56" i="9"/>
  <c r="U11" i="9"/>
  <c r="U34" i="9"/>
  <c r="U79" i="9"/>
  <c r="U63" i="9"/>
  <c r="U42" i="9"/>
  <c r="U16" i="9"/>
  <c r="U80" i="9"/>
  <c r="U64" i="9"/>
  <c r="U6" i="9"/>
  <c r="U15" i="9"/>
  <c r="U93" i="9"/>
  <c r="U90" i="9"/>
  <c r="U89" i="9"/>
  <c r="U86" i="9"/>
  <c r="U85" i="9"/>
  <c r="U82" i="9"/>
  <c r="U81" i="9"/>
  <c r="U78" i="9"/>
  <c r="U77" i="9"/>
  <c r="U74" i="9"/>
  <c r="U73" i="9"/>
  <c r="U70" i="9"/>
  <c r="U69" i="9"/>
  <c r="U66" i="9"/>
  <c r="U65" i="9"/>
  <c r="U62" i="9"/>
  <c r="U61" i="9"/>
  <c r="U58" i="9"/>
  <c r="U57" i="9"/>
  <c r="U54" i="9"/>
  <c r="U53" i="9"/>
  <c r="U30" i="9"/>
  <c r="U27" i="9"/>
  <c r="U19" i="9"/>
  <c r="U37" i="9"/>
  <c r="U9" i="9"/>
  <c r="U7" i="9"/>
  <c r="U14" i="9"/>
  <c r="U40" i="9"/>
  <c r="U5" i="9"/>
  <c r="U8" i="9"/>
  <c r="U18" i="9"/>
  <c r="U2" i="9"/>
  <c r="U51" i="9"/>
  <c r="U32" i="9"/>
  <c r="U33" i="9"/>
  <c r="U48"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K46" i="9"/>
  <c r="K20" i="9"/>
  <c r="T38" i="9" l="1"/>
  <c r="T20" i="9"/>
  <c r="T4" i="9"/>
  <c r="T41" i="9"/>
  <c r="T35" i="9"/>
  <c r="T44" i="9"/>
  <c r="T17" i="9"/>
  <c r="T46" i="9"/>
  <c r="T52" i="9"/>
  <c r="T47" i="9"/>
  <c r="T45" i="9"/>
  <c r="T21" i="9"/>
  <c r="T49" i="9"/>
  <c r="T29" i="9"/>
  <c r="T23" i="9"/>
  <c r="T26" i="9"/>
  <c r="T24" i="9"/>
  <c r="A6" i="5" l="1"/>
  <c r="G6" i="5"/>
  <c r="L6" i="5"/>
  <c r="M6" i="5"/>
  <c r="O6" i="5"/>
  <c r="P6" i="5"/>
  <c r="Q6" i="5"/>
  <c r="R6" i="5"/>
  <c r="S6" i="5"/>
  <c r="T6" i="5"/>
  <c r="AM6" i="5" s="1"/>
  <c r="U6" i="5"/>
  <c r="V6" i="5"/>
  <c r="AA6" i="5" s="1"/>
  <c r="W6" i="5"/>
  <c r="X6" i="5"/>
  <c r="AD6" i="5" s="1"/>
  <c r="Y6" i="5"/>
  <c r="Z6" i="5"/>
  <c r="AE6" i="5"/>
  <c r="AF6" i="5"/>
  <c r="AG6" i="5"/>
  <c r="AH6" i="5"/>
  <c r="AI6" i="5"/>
  <c r="AJ6" i="5"/>
  <c r="AL6" i="5"/>
  <c r="AO6" i="5"/>
  <c r="AQ6" i="5" l="1"/>
  <c r="AC6" i="5"/>
  <c r="AN6" i="5"/>
  <c r="AS6" i="5"/>
  <c r="AP6" i="5"/>
  <c r="AB6" i="5"/>
  <c r="AR6" i="5"/>
  <c r="AK6" i="5"/>
  <c r="Y18" i="1" l="1"/>
  <c r="Y17" i="1"/>
  <c r="Y16" i="1"/>
  <c r="Y11" i="1"/>
  <c r="Y14" i="1"/>
  <c r="Y9" i="1"/>
  <c r="Y6" i="1"/>
  <c r="Y4" i="1"/>
  <c r="AR11" i="1" l="1"/>
  <c r="W11" i="1"/>
  <c r="S11" i="1"/>
  <c r="R11" i="1"/>
  <c r="P11" i="1"/>
  <c r="N11" i="1"/>
  <c r="AK11" i="1" s="1"/>
  <c r="L11" i="1"/>
  <c r="K11" i="1"/>
  <c r="J11" i="1"/>
  <c r="AN11" i="1" l="1"/>
  <c r="AM11" i="1"/>
  <c r="AL11" i="1"/>
  <c r="AJ11" i="1"/>
  <c r="AI11" i="1"/>
  <c r="AG11" i="1"/>
  <c r="AH11" i="1"/>
  <c r="I19" i="5"/>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AS12" i="5" s="1"/>
  <c r="R12" i="5"/>
  <c r="S12" i="5"/>
  <c r="AE12" i="5" s="1"/>
  <c r="T12" i="5"/>
  <c r="U12" i="5"/>
  <c r="AP12" i="5" s="1"/>
  <c r="V12" i="5"/>
  <c r="W12" i="5"/>
  <c r="X12" i="5"/>
  <c r="Y12" i="5"/>
  <c r="AF12" i="5" l="1"/>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16" i="10"/>
  <c r="AV2" i="10"/>
  <c r="AU2" i="10"/>
  <c r="AU16" i="10"/>
  <c r="S18" i="10" l="1"/>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R8" i="1"/>
  <c r="W8" i="1"/>
  <c r="R8" i="1"/>
  <c r="S8" i="1"/>
  <c r="P8" i="1"/>
  <c r="N8" i="1"/>
  <c r="AK8" i="1" s="1"/>
  <c r="K8" i="1"/>
  <c r="L8" i="1"/>
  <c r="J8" i="1"/>
  <c r="AN8" i="1" l="1"/>
  <c r="AM8" i="1"/>
  <c r="AL8" i="1"/>
  <c r="AJ8" i="1"/>
  <c r="AI8" i="1"/>
  <c r="AG8" i="1"/>
  <c r="AH8" i="1"/>
  <c r="BD2" i="10"/>
  <c r="BE37" i="10"/>
  <c r="BE20" i="10"/>
  <c r="BD37" i="10"/>
  <c r="BD30" i="10" s="1"/>
  <c r="BD20" i="10"/>
  <c r="BD16" i="10" s="1"/>
  <c r="BE33" i="10"/>
  <c r="BE30" i="10" s="1"/>
  <c r="BE5" i="10"/>
  <c r="BC2" i="10"/>
  <c r="BB37" i="10"/>
  <c r="BB20" i="10"/>
  <c r="BC20" i="10"/>
  <c r="BC16" i="10" s="1"/>
  <c r="BC37" i="10"/>
  <c r="BC30" i="10" s="1"/>
  <c r="BE19" i="10" l="1"/>
  <c r="BE16" i="10" s="1"/>
  <c r="BE2" i="10"/>
  <c r="N12" i="1"/>
  <c r="AK12" i="1" s="1"/>
  <c r="N13" i="1"/>
  <c r="AK13" i="1" s="1"/>
  <c r="N14" i="1"/>
  <c r="AK14" i="1" s="1"/>
  <c r="N15" i="1"/>
  <c r="AK15" i="1" s="1"/>
  <c r="N16" i="1"/>
  <c r="AK16" i="1" s="1"/>
  <c r="N17" i="1"/>
  <c r="AK17" i="1" s="1"/>
  <c r="N18" i="1"/>
  <c r="AK18" i="1" s="1"/>
  <c r="N9" i="1"/>
  <c r="AK9" i="1" s="1"/>
  <c r="N5" i="1"/>
  <c r="AK5" i="1" s="1"/>
  <c r="N6" i="1"/>
  <c r="AK6" i="1" s="1"/>
  <c r="N10" i="1"/>
  <c r="AK10" i="1" s="1"/>
  <c r="N7" i="1"/>
  <c r="AK7" i="1" s="1"/>
  <c r="N4" i="1"/>
  <c r="AK4" i="1" s="1"/>
  <c r="AN6" i="1" l="1"/>
  <c r="AM6" i="1"/>
  <c r="AL6" i="1"/>
  <c r="AN17" i="1"/>
  <c r="AM17" i="1"/>
  <c r="AL17" i="1"/>
  <c r="AN13" i="1"/>
  <c r="AM13" i="1"/>
  <c r="AL13" i="1"/>
  <c r="AN5" i="1"/>
  <c r="AM5" i="1"/>
  <c r="AL5" i="1"/>
  <c r="AN16" i="1"/>
  <c r="AM16" i="1"/>
  <c r="AL16" i="1"/>
  <c r="AN12" i="1"/>
  <c r="AM12" i="1"/>
  <c r="AL12" i="1"/>
  <c r="AN7" i="1"/>
  <c r="AM7" i="1"/>
  <c r="AL7" i="1"/>
  <c r="AN9" i="1"/>
  <c r="AM9" i="1"/>
  <c r="AL9" i="1"/>
  <c r="AN15" i="1"/>
  <c r="AM15" i="1"/>
  <c r="AL15" i="1"/>
  <c r="AN10" i="1"/>
  <c r="AM10" i="1"/>
  <c r="AL10" i="1"/>
  <c r="AN18" i="1"/>
  <c r="AM18" i="1"/>
  <c r="AL18" i="1"/>
  <c r="AN14" i="1"/>
  <c r="AM14" i="1"/>
  <c r="AL14" i="1"/>
  <c r="AM4" i="1"/>
  <c r="AN4" i="1"/>
  <c r="AL4" i="1"/>
  <c r="AJ17" i="1"/>
  <c r="AG17" i="1"/>
  <c r="AI17" i="1"/>
  <c r="AH17" i="1"/>
  <c r="AJ13" i="1"/>
  <c r="AI13" i="1"/>
  <c r="AG13" i="1"/>
  <c r="AH13" i="1"/>
  <c r="AJ5" i="1"/>
  <c r="AI5" i="1"/>
  <c r="AG5" i="1"/>
  <c r="AH5" i="1"/>
  <c r="AJ16" i="1"/>
  <c r="AI16" i="1"/>
  <c r="AG16" i="1"/>
  <c r="AH16" i="1"/>
  <c r="AJ12" i="1"/>
  <c r="AG12" i="1"/>
  <c r="AI12" i="1"/>
  <c r="AH12" i="1"/>
  <c r="AJ9" i="1"/>
  <c r="AG9" i="1"/>
  <c r="AI9" i="1"/>
  <c r="AH9" i="1"/>
  <c r="AJ15" i="1"/>
  <c r="AI15" i="1"/>
  <c r="AH15" i="1"/>
  <c r="AG15" i="1"/>
  <c r="AJ6" i="1"/>
  <c r="AG6" i="1"/>
  <c r="AI6" i="1"/>
  <c r="AH6" i="1"/>
  <c r="AJ7" i="1"/>
  <c r="AI7" i="1"/>
  <c r="AH7" i="1"/>
  <c r="AG7" i="1"/>
  <c r="AJ10" i="1"/>
  <c r="AI10" i="1"/>
  <c r="AH10" i="1"/>
  <c r="AG10" i="1"/>
  <c r="AJ18" i="1"/>
  <c r="AI18" i="1"/>
  <c r="AH18" i="1"/>
  <c r="AG18" i="1"/>
  <c r="AJ14" i="1"/>
  <c r="AG14" i="1"/>
  <c r="AI14" i="1"/>
  <c r="AH14" i="1"/>
  <c r="AI4" i="1"/>
  <c r="AJ4" i="1"/>
  <c r="AG4" i="1"/>
  <c r="AH4"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7" i="1"/>
  <c r="S7" i="1"/>
  <c r="R7" i="1"/>
  <c r="P7" i="1"/>
  <c r="J7" i="1"/>
  <c r="K7" i="1"/>
  <c r="L7" i="1"/>
  <c r="AR13" i="1"/>
  <c r="W13" i="1"/>
  <c r="S13" i="1"/>
  <c r="R13" i="1"/>
  <c r="P13" i="1"/>
  <c r="L13" i="1"/>
  <c r="K13" i="1"/>
  <c r="J13"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AR10" i="1" l="1"/>
  <c r="W10" i="1"/>
  <c r="S10" i="1"/>
  <c r="R10" i="1"/>
  <c r="P10" i="1"/>
  <c r="K10" i="1"/>
  <c r="L10" i="1"/>
  <c r="J10" i="1"/>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O41" i="9"/>
  <c r="Q41" i="9" s="1"/>
  <c r="S41" i="9"/>
  <c r="O4" i="9"/>
  <c r="Q4" i="9" s="1"/>
  <c r="S4" i="9"/>
  <c r="O46" i="9"/>
  <c r="Q46" i="9" s="1"/>
  <c r="S46" i="9"/>
  <c r="O17" i="9"/>
  <c r="Q17" i="9" s="1"/>
  <c r="S17" i="9"/>
  <c r="O35" i="9"/>
  <c r="Q35" i="9" s="1"/>
  <c r="S35" i="9"/>
  <c r="O38" i="9"/>
  <c r="Q38" i="9" s="1"/>
  <c r="S38" i="9"/>
  <c r="O20" i="9"/>
  <c r="Q20" i="9" s="1"/>
  <c r="S20" i="9"/>
  <c r="O52" i="9"/>
  <c r="Q52" i="9" s="1"/>
  <c r="S52" i="9"/>
  <c r="O12" i="9"/>
  <c r="Q12" i="9" s="1"/>
  <c r="S12" i="9"/>
  <c r="T12" i="9"/>
  <c r="O47" i="9"/>
  <c r="Q47" i="9" s="1"/>
  <c r="S47" i="9"/>
  <c r="O45" i="9"/>
  <c r="Q45" i="9" s="1"/>
  <c r="S45" i="9"/>
  <c r="O21" i="9"/>
  <c r="Q21" i="9" s="1"/>
  <c r="S21" i="9"/>
  <c r="O49" i="9"/>
  <c r="Q49" i="9" s="1"/>
  <c r="S49" i="9"/>
  <c r="O29" i="9"/>
  <c r="Q29" i="9" s="1"/>
  <c r="S29" i="9"/>
  <c r="O23" i="9"/>
  <c r="Q23" i="9" s="1"/>
  <c r="S23" i="9"/>
  <c r="O26" i="9"/>
  <c r="Q26" i="9" s="1"/>
  <c r="S26" i="9"/>
  <c r="O24" i="9"/>
  <c r="Q24" i="9" s="1"/>
  <c r="S24" i="9"/>
  <c r="S44" i="9"/>
  <c r="O44" i="9"/>
  <c r="Q44" i="9" s="1"/>
  <c r="U38" i="9" l="1"/>
  <c r="U44" i="9"/>
  <c r="U29" i="9"/>
  <c r="U23" i="9"/>
  <c r="U45" i="9"/>
  <c r="U46" i="9"/>
  <c r="U47" i="9"/>
  <c r="U17" i="9"/>
  <c r="U20" i="9"/>
  <c r="U24" i="9"/>
  <c r="U26" i="9"/>
  <c r="U49" i="9"/>
  <c r="U21" i="9"/>
  <c r="U12" i="9"/>
  <c r="U52" i="9"/>
  <c r="U35" i="9"/>
  <c r="U4" i="9"/>
  <c r="U41" i="9"/>
  <c r="AD2" i="1" l="1"/>
  <c r="AO2" i="1" l="1"/>
  <c r="AQ2" i="1"/>
  <c r="AR7" i="1"/>
  <c r="AR32"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N2" i="1"/>
  <c r="AR5" i="1" l="1"/>
  <c r="AR6" i="1"/>
  <c r="AR9" i="1"/>
  <c r="AR14" i="1"/>
  <c r="AR15" i="1"/>
  <c r="AR16" i="1"/>
  <c r="AR17" i="1"/>
  <c r="AR18" i="1"/>
  <c r="AR12" i="1"/>
  <c r="AR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W9" i="1" l="1"/>
  <c r="S9" i="1"/>
  <c r="R9" i="1"/>
  <c r="P9" i="1"/>
  <c r="L9" i="1"/>
  <c r="K9" i="1"/>
  <c r="J9" i="1"/>
  <c r="C14" i="2" l="1"/>
  <c r="C15" i="2"/>
  <c r="C16" i="2" s="1"/>
  <c r="I6" i="3" l="1"/>
  <c r="I7" i="3"/>
  <c r="I4" i="3"/>
  <c r="I5" i="3"/>
  <c r="I3" i="3"/>
  <c r="C1" i="2" l="1"/>
  <c r="J5" i="1" l="1"/>
  <c r="J6" i="1"/>
  <c r="J14" i="1"/>
  <c r="J15" i="1"/>
  <c r="J16" i="1"/>
  <c r="J17" i="1"/>
  <c r="J18" i="1"/>
  <c r="J12" i="1"/>
  <c r="R5" i="1"/>
  <c r="S5" i="1"/>
  <c r="R6" i="1"/>
  <c r="S6" i="1"/>
  <c r="R14" i="1"/>
  <c r="S14" i="1"/>
  <c r="R15" i="1"/>
  <c r="S15" i="1"/>
  <c r="R16" i="1"/>
  <c r="S16" i="1"/>
  <c r="R17" i="1"/>
  <c r="S17" i="1"/>
  <c r="R18" i="1"/>
  <c r="S18" i="1"/>
  <c r="R12" i="1"/>
  <c r="S12" i="1"/>
  <c r="S4" i="1"/>
  <c r="R4" i="1"/>
  <c r="J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W12" i="1" l="1"/>
  <c r="P12" i="1"/>
  <c r="L12" i="1"/>
  <c r="K12" i="1"/>
  <c r="S17" i="4" l="1"/>
  <c r="R17" i="4"/>
  <c r="Q17" i="4"/>
  <c r="U18" i="4"/>
  <c r="S18" i="4"/>
  <c r="R18" i="4"/>
  <c r="Q18" i="4"/>
  <c r="U17" i="4"/>
  <c r="W14" i="1" l="1"/>
  <c r="P14" i="1"/>
  <c r="K14" i="1"/>
  <c r="L14"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15" i="1"/>
  <c r="P15" i="1"/>
  <c r="L15" i="1"/>
  <c r="K15" i="1"/>
  <c r="W16" i="1" l="1"/>
  <c r="P16" i="1"/>
  <c r="L16" i="1"/>
  <c r="K16" i="1"/>
  <c r="W17" i="1" l="1"/>
  <c r="P17" i="1"/>
  <c r="L17" i="1"/>
  <c r="K17" i="1"/>
  <c r="V2" i="1" l="1"/>
  <c r="T2" i="1"/>
  <c r="W2" i="1" l="1"/>
  <c r="C9" i="2"/>
  <c r="C10" i="2" s="1"/>
  <c r="B9" i="2"/>
  <c r="B10" i="2" s="1"/>
  <c r="AE2" i="1" l="1"/>
  <c r="Q2" i="1"/>
  <c r="O2" i="1"/>
  <c r="I2" i="1"/>
  <c r="W18" i="1" l="1"/>
  <c r="L18" i="1"/>
  <c r="K18" i="1"/>
  <c r="P18" i="1"/>
  <c r="D2" i="1"/>
  <c r="F12" i="1" s="1"/>
  <c r="W6" i="1"/>
  <c r="L6" i="1"/>
  <c r="K6" i="1"/>
  <c r="P6" i="1"/>
  <c r="W5" i="1"/>
  <c r="L5" i="1"/>
  <c r="K5" i="1"/>
  <c r="P5" i="1"/>
  <c r="W4" i="1"/>
  <c r="L4" i="1"/>
  <c r="K4" i="1"/>
  <c r="P4" i="1"/>
  <c r="F21" i="1" l="1"/>
  <c r="F17" i="1"/>
  <c r="F15" i="1"/>
  <c r="F20" i="1"/>
  <c r="F30" i="1"/>
  <c r="F8" i="1"/>
  <c r="H6" i="5" s="1"/>
  <c r="F26" i="1"/>
  <c r="C24" i="3" s="1"/>
  <c r="F29" i="1"/>
  <c r="F25" i="1"/>
  <c r="F31" i="1"/>
  <c r="F11" i="1"/>
  <c r="C11" i="1" s="1"/>
  <c r="F28" i="1"/>
  <c r="F27" i="1"/>
  <c r="F23" i="1"/>
  <c r="F24" i="1"/>
  <c r="F19" i="1"/>
  <c r="F22" i="1"/>
  <c r="F4" i="1"/>
  <c r="F7" i="1"/>
  <c r="F9" i="1"/>
  <c r="F18" i="1"/>
  <c r="F5" i="1"/>
  <c r="F13" i="1"/>
  <c r="F16" i="1"/>
  <c r="F10" i="1"/>
  <c r="F14" i="1"/>
  <c r="F6" i="1"/>
  <c r="C31" i="1" l="1"/>
  <c r="C29" i="3"/>
  <c r="C30" i="1"/>
  <c r="C28" i="3"/>
  <c r="C29" i="1"/>
  <c r="C27" i="3"/>
  <c r="C24" i="1"/>
  <c r="C22" i="3"/>
  <c r="C28" i="1"/>
  <c r="C26" i="3"/>
  <c r="C23" i="1"/>
  <c r="C21" i="3"/>
  <c r="C19" i="1"/>
  <c r="C17" i="3"/>
  <c r="C20" i="1"/>
  <c r="C18" i="3"/>
  <c r="C22" i="1"/>
  <c r="C20" i="3"/>
  <c r="C27" i="1"/>
  <c r="C25" i="3"/>
  <c r="C25" i="1"/>
  <c r="C23" i="3"/>
  <c r="C21" i="1"/>
  <c r="C19" i="3"/>
  <c r="C26" i="1"/>
  <c r="H12" i="5"/>
  <c r="N12" i="5" s="1"/>
  <c r="I6" i="5"/>
  <c r="K6" i="5" s="1"/>
  <c r="N6" i="5"/>
  <c r="C9" i="1"/>
  <c r="F8" i="10"/>
  <c r="AB8" i="10" s="1"/>
  <c r="C8"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17" i="1"/>
  <c r="C17" i="10" s="1"/>
  <c r="H15" i="5"/>
  <c r="C18" i="1"/>
  <c r="C18" i="10" s="1"/>
  <c r="H16" i="5"/>
  <c r="C16" i="1"/>
  <c r="C16" i="10" s="1"/>
  <c r="H14" i="5"/>
  <c r="H7" i="5"/>
  <c r="H3" i="5"/>
  <c r="H5" i="5"/>
  <c r="C7" i="1"/>
  <c r="C7" i="10" s="1"/>
  <c r="C13" i="1"/>
  <c r="C13" i="10" s="1"/>
  <c r="C10" i="1"/>
  <c r="C10" i="10" s="1"/>
  <c r="C11" i="10"/>
  <c r="C12" i="1"/>
  <c r="C15" i="1"/>
  <c r="C15" i="10" s="1"/>
  <c r="C14" i="1"/>
  <c r="C14" i="10" s="1"/>
  <c r="C5" i="1"/>
  <c r="C5" i="10" s="1"/>
  <c r="C6" i="1"/>
  <c r="C6" i="10" s="1"/>
  <c r="C4" i="1"/>
  <c r="C4" i="10" s="1"/>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<sst xmlns="http://schemas.openxmlformats.org/spreadsheetml/2006/main" count="1059" uniqueCount="474">
  <si>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</si>
  <si>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</si>
  <si>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</si>
  <si>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</si>
  <si>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</si>
  <si>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</si>
  <si>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</si>
  <si>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</si>
  <si>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</si>
  <si>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</si>
  <si>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</si>
  <si>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</si>
  <si>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</si>
  <si>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</si>
  <si>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</si>
  <si>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</si>
  <si>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</si>
  <si>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</si>
  <si>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</si>
  <si>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</si>
  <si>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</si>
  <si>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</si>
  <si>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</si>
  <si>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</si>
  <si>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</si>
  <si>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</si>
  <si>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</si>
  <si>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</si>
  <si>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</si>
  <si>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</si>
  <si>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</si>
  <si>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</si>
  <si>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</si>
  <si>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</si>
  <si>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</si>
  <si>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</si>
  <si>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</si>
  <si>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</si>
  <si>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</si>
  <si>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</si>
  <si>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</si>
  <si>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</si>
  <si>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</si>
  <si>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</si>
  <si>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</si>
  <si>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</si>
  <si>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</si>
  <si>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Damián Sala</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</si>
  <si>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</si>
  <si>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</si>
  <si>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</si>
  <si>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</si>
  <si>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</si>
  <si>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</si>
  <si>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</si>
  <si>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</si>
  <si>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</si>
  <si>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</si>
  <si>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</si>
  <si>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</si>
  <si>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</si>
  <si>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</si>
  <si>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</si>
  <si>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</si>
  <si>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</si>
  <si>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</si>
  <si>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</si>
  <si>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</si>
  <si>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</si>
  <si>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</si>
  <si>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</si>
  <si>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</si>
  <si>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</si>
  <si>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Saul Piña</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</si>
  <si>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</si>
  <si>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</si>
  <si>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</si>
  <si>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</si>
  <si>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</si>
  <si>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</si>
  <si>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</si>
  <si>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</si>
  <si>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</si>
  <si>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</si>
  <si>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</si>
  <si>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</si>
  <si>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</si>
  <si>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</si>
  <si>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</si>
  <si>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</si>
  <si>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</si>
  <si>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</si>
  <si>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</si>
  <si>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</si>
  <si>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</si>
  <si>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</si>
  <si>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</si>
  <si>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</si>
  <si>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</si>
  <si>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</si>
  <si>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</si>
  <si>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</si>
  <si>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</si>
  <si>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</si>
  <si>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</si>
  <si>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</si>
  <si>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</si>
  <si>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</si>
  <si>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</si>
  <si>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</si>
  <si>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</si>
  <si>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</si>
  <si>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</si>
  <si>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</si>
  <si>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</si>
  <si>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</si>
  <si>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</si>
  <si>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</si>
  <si>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</si>
  <si>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</si>
  <si>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</si>
  <si>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</si>
  <si>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</si>
  <si>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</si>
  <si>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</si>
  <si>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</si>
  <si>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</si>
  <si>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</si>
  <si>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</si>
  <si>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</si>
  <si>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</si>
  <si>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</si>
  <si>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</si>
  <si>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</si>
  <si>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</si>
  <si>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</si>
  <si>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</si>
  <si>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</si>
  <si>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</si>
  <si>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</si>
  <si>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</si>
  <si>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</si>
  <si>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</si>
  <si>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</si>
  <si>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</si>
  <si>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</si>
  <si>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</si>
  <si>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</si>
  <si>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</si>
  <si>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</si>
  <si>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</si>
  <si>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</si>
  <si>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</si>
  <si>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</si>
  <si>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</si>
  <si>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</si>
  <si>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</si>
  <si>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</si>
  <si>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</si>
  <si>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</si>
  <si>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</si>
  <si>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</si>
  <si>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</si>
  <si>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</si>
  <si>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</si>
  <si>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</si>
  <si>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</si>
  <si>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</si>
  <si>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</si>
  <si>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</si>
  <si>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</si>
  <si>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</si>
  <si>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</si>
  <si>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</si>
  <si>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</si>
  <si>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</si>
  <si>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</si>
  <si>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</si>
  <si>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</si>
  <si>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</si>
  <si>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</si>
  <si>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</si>
  <si>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</si>
  <si>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</si>
  <si>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</si>
  <si>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</si>
  <si>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</si>
  <si>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</si>
  <si>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Gianfranco Rezza</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</si>
  <si>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</si>
  <si>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</si>
  <si>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</si>
  <si>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</si>
  <si>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</si>
  <si>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</si>
  <si>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</si>
  <si>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</si>
  <si>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</si>
  <si>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</si>
  <si>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</si>
  <si>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</si>
  <si>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</si>
  <si>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</si>
  <si>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</si>
  <si>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</si>
  <si>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</si>
  <si>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</si>
  <si>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</si>
  <si>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</si>
  <si>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</si>
  <si>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</si>
  <si>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</si>
  <si>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</si>
  <si>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</si>
  <si>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</si>
  <si>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</si>
  <si>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</si>
  <si>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</si>
  <si>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</si>
  <si>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</si>
  <si>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</si>
  <si>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</si>
  <si>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</si>
  <si>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</si>
  <si>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</si>
  <si>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</si>
  <si>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</si>
  <si>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</si>
  <si>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</si>
  <si>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</si>
  <si>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</si>
  <si>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</si>
  <si>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</si>
  <si>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</si>
  <si>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</si>
  <si>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</si>
  <si>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</si>
  <si>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</si>
  <si>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</si>
  <si>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</si>
  <si>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</si>
  <si>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</si>
  <si>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Emilio Mochelato</t>
  </si>
  <si>
    <t>Ibiur Altxakoa</t>
  </si>
  <si>
    <t>Csaba Mező</t>
  </si>
  <si>
    <t>Mario Omarini</t>
  </si>
  <si>
    <t>Andrea Califano</t>
  </si>
  <si>
    <t>Mateuz Brzostowski</t>
  </si>
  <si>
    <t>Cezary Pauch</t>
  </si>
  <si>
    <t>Iyad Chaabo</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</si>
  <si>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</si>
  <si>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</si>
  <si>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</si>
  <si>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</si>
  <si>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</si>
  <si>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</si>
  <si>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</si>
  <si>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</si>
  <si>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</si>
  <si>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</si>
  <si>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</si>
  <si>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</si>
  <si>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</si>
  <si>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</si>
  <si>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</si>
  <si>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</si>
  <si>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</si>
  <si>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</si>
  <si>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</si>
  <si>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</si>
  <si>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</si>
  <si>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</si>
  <si>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</si>
  <si>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</si>
  <si>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</si>
  <si>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</si>
  <si>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</si>
  <si>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</si>
  <si>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</si>
  <si>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</si>
  <si>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</si>
  <si>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</si>
  <si>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</si>
  <si>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</si>
  <si>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</si>
  <si>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</si>
  <si>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</si>
  <si>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</si>
  <si>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</si>
  <si>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</si>
  <si>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</si>
  <si>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</si>
  <si>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</si>
  <si>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</si>
  <si>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</si>
  <si>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</si>
  <si>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</si>
  <si>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</si>
  <si>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</si>
  <si>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</si>
  <si>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</si>
  <si>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</si>
  <si>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</si>
  <si>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</si>
  <si>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</si>
  <si>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</si>
  <si>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</si>
  <si>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</si>
  <si>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</si>
  <si>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</si>
  <si>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</si>
  <si>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</si>
  <si>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</si>
  <si>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</si>
  <si>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</si>
  <si>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</si>
  <si>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</si>
  <si>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</si>
  <si>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</si>
  <si>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</si>
  <si>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</si>
  <si>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</si>
  <si>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</si>
  <si>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Zlatko Lambreski (328408351)</t>
  </si>
  <si>
    <t>SEM</t>
  </si>
  <si>
    <t>Mohd Khairol Anuar bin Sarman (315156607)</t>
  </si>
  <si>
    <t>Mark Zvezdochkin (326892786)</t>
  </si>
  <si>
    <t>Jan Nordling (296711305)</t>
  </si>
  <si>
    <t>Mahmoudou Dieng (299582362)</t>
  </si>
  <si>
    <t>Adam Tough (308559100)</t>
  </si>
  <si>
    <t>Selim Setenčić (298158099)</t>
  </si>
  <si>
    <t>Joni Pänkäälä (255904977)</t>
  </si>
  <si>
    <t>Aker Barbosa (273363883)</t>
  </si>
  <si>
    <t>Mehmet Can Memnun (308641886)</t>
  </si>
  <si>
    <t>Hrishi Singh (223835657)</t>
  </si>
  <si>
    <t>Moussa Hanne (78847389)</t>
  </si>
  <si>
    <t>Nasser Abolhassan Rabadi (334581126)</t>
  </si>
  <si>
    <t>Manzoor Azwira Mohd Hassan (280737689)</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</si>
  <si>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</si>
  <si>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</si>
  <si>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</si>
  <si>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</si>
  <si>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</si>
  <si>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</si>
  <si>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</si>
  <si>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</si>
  <si>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</si>
  <si>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</si>
  <si>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</si>
  <si>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</si>
  <si>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</si>
  <si>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</si>
  <si>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</si>
  <si>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</si>
  <si>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</si>
  <si>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</si>
  <si>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</si>
  <si>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</si>
  <si>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</si>
  <si>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</si>
  <si>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</si>
  <si>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Ştefan Bugnar (337914184)</t>
  </si>
  <si>
    <t>Andriy Kapustynskiy (328024160)</t>
  </si>
  <si>
    <t>Antônio Luís Baratto (324040990)</t>
  </si>
  <si>
    <t>Duško Granić (342683737)</t>
  </si>
  <si>
    <t>马 (Ma) 偌山 (Ruoshan) (351012219)</t>
  </si>
  <si>
    <t>Abderrahim Nasri (184120048)</t>
  </si>
  <si>
    <t>Ricardo Mayne (346666094)</t>
  </si>
  <si>
    <t>TSI_A</t>
  </si>
  <si>
    <t>Qasem Najjar (336455183)</t>
  </si>
  <si>
    <t>Iso Herov (319212412)</t>
  </si>
  <si>
    <t>Godot Daimer (336100199)</t>
  </si>
  <si>
    <t>Chouaïb Bouzidi (328352761)</t>
  </si>
  <si>
    <t>Maximiliano Rivero (280920925)</t>
  </si>
  <si>
    <t>Iago Voyle (278537516)</t>
  </si>
  <si>
    <t>Tomas Flamerberg (309664193)</t>
  </si>
  <si>
    <t>Cai Busnelli (312634401)</t>
  </si>
  <si>
    <t>Hardo Krupinski (335853849)</t>
  </si>
  <si>
    <t>Jord Kooistra (308517541)</t>
  </si>
  <si>
    <t>Erik Labeeuw (308706405)</t>
  </si>
  <si>
    <t>Iosif Grigore (346716379)</t>
  </si>
  <si>
    <t>Marco Falegnami (306158791)</t>
  </si>
  <si>
    <t>Jesper Tausen (302356515)</t>
  </si>
  <si>
    <t>Jos Hoen (306984385)</t>
  </si>
  <si>
    <t>Eligiusz Brzeski (341900160)</t>
  </si>
  <si>
    <t>Andi Grottenkamp (299266359)</t>
  </si>
  <si>
    <t>Sílvio Nunes Pereira (308659414)</t>
  </si>
  <si>
    <t>Amílcar Prisco (295058801)</t>
  </si>
  <si>
    <t>Bernfried Neumühler (306266338)</t>
  </si>
  <si>
    <t>Kennet Aude Nielsen (314930851)</t>
  </si>
  <si>
    <t>Fawaz Al-Halali (332978655)</t>
  </si>
  <si>
    <t>Ambarisa Padmanabham (312214268)</t>
  </si>
  <si>
    <t>Juraj Papšík (267113007)</t>
  </si>
  <si>
    <t>Christian Allisoutin (340874605)</t>
  </si>
  <si>
    <t>Magsa Dampildorg (328619872)</t>
  </si>
  <si>
    <t>羅 (Luo) 義凌 (Yiling) (317853434)</t>
  </si>
  <si>
    <t>Hicham Ben-moussa (364862418)</t>
  </si>
  <si>
    <t>Antonio Ghiggia (322889270)</t>
  </si>
  <si>
    <t>Olivier Beaujouan (296151195)</t>
  </si>
  <si>
    <t>#21</t>
  </si>
  <si>
    <t>Enrique Cubas</t>
  </si>
  <si>
    <t>Fernando Gazón</t>
  </si>
  <si>
    <t>IMP</t>
  </si>
  <si>
    <t>HTMS</t>
  </si>
  <si>
    <t>#31</t>
  </si>
  <si>
    <t>#32</t>
  </si>
  <si>
    <t>Santiago Serra</t>
  </si>
  <si>
    <t>Eckardt Hägerling</t>
  </si>
  <si>
    <t>#33</t>
  </si>
  <si>
    <t>Roberto Abenoza</t>
  </si>
  <si>
    <t>#34</t>
  </si>
  <si>
    <t>Roberto Montero</t>
  </si>
  <si>
    <t>Julio Calle</t>
  </si>
  <si>
    <t>Paulo Beltrán</t>
  </si>
  <si>
    <t>Noel Fuster</t>
  </si>
  <si>
    <t>Nicolás Eans</t>
  </si>
  <si>
    <t>Jorge W. Whitaker</t>
  </si>
  <si>
    <t>Marc Dolz</t>
  </si>
  <si>
    <t>#22</t>
  </si>
  <si>
    <t>Valeri Gomis</t>
  </si>
  <si>
    <t>#41</t>
  </si>
  <si>
    <t>#42</t>
  </si>
  <si>
    <t>#43</t>
  </si>
  <si>
    <t>#44</t>
  </si>
  <si>
    <t>#45</t>
  </si>
  <si>
    <t>#46</t>
  </si>
  <si>
    <t>#23</t>
  </si>
  <si>
    <t>Juan Garcia Peñuela</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</si>
  <si>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</si>
  <si>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</si>
  <si>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</si>
  <si>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</si>
  <si>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</si>
  <si>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</si>
  <si>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</si>
  <si>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</si>
  <si>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</si>
  <si>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</si>
  <si>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</si>
  <si>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</si>
  <si>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</si>
  <si>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</si>
  <si>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</si>
  <si>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</si>
  <si>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</si>
  <si>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</si>
  <si>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</si>
  <si>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</si>
  <si>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</si>
  <si>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</si>
  <si>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</si>
  <si>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</si>
  <si>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</si>
  <si>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</si>
  <si>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</si>
  <si>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</si>
  <si>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</si>
  <si>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</si>
  <si>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</si>
  <si>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</si>
  <si>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</si>
  <si>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</si>
  <si>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</si>
  <si>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</si>
  <si>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</si>
  <si>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</si>
  <si>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</si>
  <si>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</si>
  <si>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</si>
  <si>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</si>
  <si>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</si>
  <si>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</si>
  <si>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Valor lider de "RED BARON"</t>
  </si>
  <si>
    <t>HT Medida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</si>
</sst>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1"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73">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48" fillId="32" borderId="7" xfId="0" applyFont="1" applyFill="1" applyBorder="1" applyAlignment="1">
      <alignment horizontal="center" vertical="top" wrapText="1"/>
    </xf>
    <xf numFmtId="0" fontId="0" fillId="0" borderId="0" xfId="0" applyAlignment="1">
      <alignment horizontal="center"/>
    </xf>
    <xf numFmtId="0" fontId="48" fillId="33" borderId="7" xfId="0" applyFont="1" applyFill="1" applyBorder="1" applyAlignment="1">
      <alignment horizontal="center" vertical="top" wrapText="1"/>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0" fillId="35" borderId="1" xfId="0" applyFill="1" applyBorder="1"/>
    <xf numFmtId="0" fontId="0" fillId="36" borderId="1" xfId="0" applyFill="1" applyBorder="1"/>
    <xf numFmtId="0" fontId="0" fillId="19" borderId="1" xfId="0" applyFill="1" applyBorder="1"/>
    <xf numFmtId="0" fontId="33" fillId="35" borderId="1" xfId="0" applyFont="1" applyFill="1" applyBorder="1" applyAlignment="1">
      <alignment horizontal="center"/>
    </xf>
    <xf numFmtId="0" fontId="33" fillId="36" borderId="1" xfId="0" applyFont="1" applyFill="1" applyBorder="1" applyAlignment="1">
      <alignment horizontal="center"/>
    </xf>
    <xf numFmtId="0" fontId="17" fillId="0" borderId="0" xfId="0" applyFont="1" applyAlignment="1">
      <alignment horizontal="center" vertical="center" wrapText="1"/>
    </xf>
    <xf numFmtId="0" fontId="33"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3" fillId="0" borderId="1" xfId="0" applyNumberFormat="1" applyFont="1" applyFill="1" applyBorder="1" applyAlignment="1">
      <alignment horizontal="center"/>
    </xf>
    <xf numFmtId="1" fontId="50" fillId="0" borderId="0" xfId="0" applyNumberFormat="1" applyFont="1" applyFill="1"/>
    <xf numFmtId="2" fontId="33" fillId="0" borderId="1" xfId="0" applyNumberFormat="1" applyFont="1" applyFill="1" applyBorder="1" applyAlignment="1">
      <alignment horizontal="center"/>
    </xf>
    <xf numFmtId="0" fontId="25" fillId="22"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5" fillId="25" borderId="0" xfId="0" applyFont="1" applyFill="1" applyAlignment="1">
      <alignment horizontal="center" wrapText="1"/>
    </xf>
    <xf numFmtId="0" fontId="28" fillId="18" borderId="0" xfId="0" applyFont="1" applyFill="1" applyAlignment="1">
      <alignment horizontal="center" wrapText="1"/>
    </xf>
    <xf numFmtId="0" fontId="25" fillId="26"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6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131</v>
      </c>
      <c r="B1" s="80"/>
      <c r="C1" s="80"/>
      <c r="D1" s="80"/>
      <c r="E1" s="80"/>
      <c r="F1" s="80"/>
      <c r="G1" s="80"/>
      <c r="H1" s="81"/>
      <c r="I1" s="80"/>
      <c r="J1" s="80"/>
      <c r="K1" s="80"/>
      <c r="L1" s="80"/>
      <c r="M1" s="80"/>
      <c r="N1" s="80"/>
      <c r="O1" s="80"/>
      <c r="P1" s="80"/>
      <c r="Q1" s="80"/>
      <c r="R1" s="80"/>
      <c r="S1" s="80"/>
      <c r="T1" s="80"/>
      <c r="U1" s="80"/>
      <c r="V1" s="80"/>
      <c r="W1" s="80"/>
      <c r="X1" s="82"/>
      <c r="Y1" s="83" t="s">
        <v>132</v>
      </c>
      <c r="Z1" s="83"/>
    </row>
    <row r="2" spans="1:46" ht="15.75" x14ac:dyDescent="0.25">
      <c r="A2" s="84" t="s">
        <v>133</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136</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134</v>
      </c>
      <c r="Z4" s="87" t="s">
        <v>172</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135</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137</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138</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139</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140</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141</v>
      </c>
      <c r="B58" s="103" t="s">
        <v>142</v>
      </c>
      <c r="C58" s="103" t="s">
        <v>143</v>
      </c>
      <c r="D58" s="103" t="s">
        <v>144</v>
      </c>
      <c r="E58" s="103" t="s">
        <v>145</v>
      </c>
      <c r="F58" s="103" t="s">
        <v>146</v>
      </c>
      <c r="H58" s="101" t="s">
        <v>147</v>
      </c>
      <c r="X58" s="98"/>
    </row>
    <row r="59" spans="1:24" ht="15.75" x14ac:dyDescent="0.25">
      <c r="A59" s="104">
        <v>17</v>
      </c>
      <c r="B59" s="261" t="s">
        <v>110</v>
      </c>
      <c r="C59" s="105" t="s">
        <v>109</v>
      </c>
      <c r="D59" s="262" t="s">
        <v>148</v>
      </c>
      <c r="E59" s="262" t="s">
        <v>148</v>
      </c>
      <c r="F59" s="106" t="s">
        <v>107</v>
      </c>
      <c r="H59" s="107" t="s">
        <v>149</v>
      </c>
      <c r="X59" s="98"/>
    </row>
    <row r="60" spans="1:24" ht="15.75" x14ac:dyDescent="0.25">
      <c r="A60" s="108">
        <v>18</v>
      </c>
      <c r="B60" s="261"/>
      <c r="C60" s="105" t="s">
        <v>150</v>
      </c>
      <c r="D60" s="262"/>
      <c r="E60" s="262"/>
      <c r="F60" s="106" t="s">
        <v>151</v>
      </c>
      <c r="H60" s="101" t="s">
        <v>152</v>
      </c>
      <c r="X60" s="98"/>
    </row>
    <row r="61" spans="1:24" ht="15.75" x14ac:dyDescent="0.25">
      <c r="A61" s="104">
        <v>19</v>
      </c>
      <c r="B61" s="261"/>
      <c r="C61" s="109"/>
      <c r="D61" s="262"/>
      <c r="E61" s="262"/>
      <c r="F61" s="110"/>
      <c r="H61" s="101" t="s">
        <v>153</v>
      </c>
      <c r="I61" s="100"/>
      <c r="X61" s="98"/>
    </row>
    <row r="62" spans="1:24" ht="15.75" x14ac:dyDescent="0.25">
      <c r="A62" s="108">
        <v>20</v>
      </c>
      <c r="B62" s="261"/>
      <c r="C62" s="106" t="s">
        <v>148</v>
      </c>
      <c r="D62" s="263" t="s">
        <v>107</v>
      </c>
      <c r="E62" s="106" t="s">
        <v>107</v>
      </c>
      <c r="F62" s="110"/>
      <c r="H62" s="101" t="s">
        <v>154</v>
      </c>
      <c r="X62" s="98"/>
    </row>
    <row r="63" spans="1:24" ht="15.75" x14ac:dyDescent="0.25">
      <c r="A63" s="104">
        <v>21</v>
      </c>
      <c r="B63" s="264" t="s">
        <v>109</v>
      </c>
      <c r="C63" s="106" t="s">
        <v>155</v>
      </c>
      <c r="D63" s="263"/>
      <c r="E63" s="106" t="s">
        <v>151</v>
      </c>
      <c r="F63" s="110"/>
      <c r="H63" s="101" t="s">
        <v>156</v>
      </c>
      <c r="X63" s="98"/>
    </row>
    <row r="64" spans="1:24" ht="15.75" x14ac:dyDescent="0.25">
      <c r="A64" s="108">
        <v>22</v>
      </c>
      <c r="B64" s="264"/>
      <c r="C64" s="110"/>
      <c r="D64" s="263"/>
      <c r="E64" s="110"/>
      <c r="F64" s="110"/>
      <c r="H64" s="101" t="s">
        <v>157</v>
      </c>
      <c r="X64" s="98"/>
    </row>
    <row r="65" spans="1:24" ht="15.75" x14ac:dyDescent="0.25">
      <c r="A65" s="104">
        <v>23</v>
      </c>
      <c r="B65" s="264"/>
      <c r="C65" s="110"/>
      <c r="D65" s="263"/>
      <c r="E65" s="110"/>
      <c r="F65" s="110"/>
      <c r="H65" s="101"/>
      <c r="X65" s="98"/>
    </row>
    <row r="66" spans="1:24" ht="15.75" x14ac:dyDescent="0.25">
      <c r="A66" s="108">
        <v>24</v>
      </c>
      <c r="B66" s="264"/>
      <c r="C66" s="110"/>
      <c r="D66" s="263"/>
      <c r="E66" s="110"/>
      <c r="F66" s="110"/>
      <c r="H66" s="101" t="s">
        <v>158</v>
      </c>
      <c r="X66" s="98"/>
    </row>
    <row r="67" spans="1:24" ht="15.75" x14ac:dyDescent="0.25">
      <c r="A67" s="104">
        <v>25</v>
      </c>
      <c r="B67" s="264"/>
      <c r="C67" s="110"/>
      <c r="D67" s="262" t="s">
        <v>148</v>
      </c>
      <c r="E67" s="110"/>
      <c r="F67" s="110"/>
      <c r="H67" s="101" t="s">
        <v>159</v>
      </c>
      <c r="X67" s="98"/>
    </row>
    <row r="68" spans="1:24" ht="15.75" x14ac:dyDescent="0.25">
      <c r="A68" s="108">
        <v>26</v>
      </c>
      <c r="B68" s="264"/>
      <c r="C68" s="262" t="s">
        <v>148</v>
      </c>
      <c r="D68" s="262"/>
      <c r="E68" s="110"/>
      <c r="F68" s="110"/>
      <c r="H68" s="101"/>
      <c r="X68" s="98"/>
    </row>
    <row r="69" spans="1:24" ht="15.75" x14ac:dyDescent="0.25">
      <c r="A69" s="104">
        <v>27</v>
      </c>
      <c r="B69" s="261" t="s">
        <v>110</v>
      </c>
      <c r="C69" s="262"/>
      <c r="D69" s="262"/>
      <c r="E69" s="110"/>
      <c r="F69" s="110"/>
      <c r="H69" s="101"/>
      <c r="X69" s="98"/>
    </row>
    <row r="70" spans="1:24" ht="15.75" x14ac:dyDescent="0.25">
      <c r="A70" s="108">
        <v>28</v>
      </c>
      <c r="B70" s="261"/>
      <c r="C70" s="264" t="s">
        <v>109</v>
      </c>
      <c r="D70" s="262"/>
      <c r="E70" s="110"/>
      <c r="F70" s="110"/>
      <c r="H70" s="101" t="s">
        <v>160</v>
      </c>
      <c r="X70" s="98"/>
    </row>
    <row r="71" spans="1:24" ht="15.75" x14ac:dyDescent="0.25">
      <c r="A71" s="104">
        <v>29</v>
      </c>
      <c r="B71" s="261"/>
      <c r="C71" s="264"/>
      <c r="D71" s="262"/>
      <c r="E71" s="110"/>
      <c r="F71" s="110"/>
      <c r="H71" s="101"/>
      <c r="X71" s="98"/>
    </row>
    <row r="72" spans="1:24" ht="15.75" x14ac:dyDescent="0.25">
      <c r="A72" s="108">
        <v>30</v>
      </c>
      <c r="B72" s="261"/>
      <c r="C72" s="264"/>
      <c r="D72" s="264" t="s">
        <v>109</v>
      </c>
      <c r="E72" s="110"/>
      <c r="F72" s="110"/>
      <c r="H72" s="101" t="s">
        <v>161</v>
      </c>
      <c r="X72" s="98"/>
    </row>
    <row r="73" spans="1:24" ht="15.75" x14ac:dyDescent="0.25">
      <c r="A73" s="104">
        <v>31</v>
      </c>
      <c r="B73" s="261"/>
      <c r="C73" s="264"/>
      <c r="D73" s="264"/>
      <c r="E73" s="106" t="s">
        <v>148</v>
      </c>
      <c r="F73" s="110"/>
      <c r="H73" s="101"/>
      <c r="X73" s="98"/>
    </row>
    <row r="74" spans="1:24" ht="15.75" x14ac:dyDescent="0.25">
      <c r="A74" s="108">
        <v>32</v>
      </c>
      <c r="B74" s="261"/>
      <c r="C74" s="264"/>
      <c r="D74" s="264"/>
      <c r="E74" s="106" t="s">
        <v>155</v>
      </c>
      <c r="F74" s="110"/>
      <c r="H74" s="101" t="s">
        <v>162</v>
      </c>
      <c r="X74" s="98"/>
    </row>
    <row r="75" spans="1:24" ht="15.75" x14ac:dyDescent="0.25">
      <c r="A75" s="104">
        <v>33</v>
      </c>
      <c r="B75" s="261"/>
      <c r="C75" s="261" t="s">
        <v>110</v>
      </c>
      <c r="D75" s="264"/>
      <c r="E75" s="105" t="s">
        <v>109</v>
      </c>
      <c r="F75" s="105" t="s">
        <v>109</v>
      </c>
      <c r="H75" s="101"/>
      <c r="X75" s="98"/>
    </row>
    <row r="76" spans="1:24" ht="15.75" x14ac:dyDescent="0.25">
      <c r="A76" s="108">
        <v>34</v>
      </c>
      <c r="B76" s="266" t="s">
        <v>163</v>
      </c>
      <c r="C76" s="261"/>
      <c r="D76" s="264"/>
      <c r="E76" s="105" t="s">
        <v>150</v>
      </c>
      <c r="F76" s="105" t="s">
        <v>150</v>
      </c>
      <c r="H76" s="101" t="s">
        <v>164</v>
      </c>
      <c r="X76" s="98"/>
    </row>
    <row r="77" spans="1:24" ht="15.75" x14ac:dyDescent="0.25">
      <c r="A77" s="104">
        <v>35</v>
      </c>
      <c r="B77" s="266"/>
      <c r="C77" s="266" t="s">
        <v>163</v>
      </c>
      <c r="D77" s="261" t="s">
        <v>110</v>
      </c>
      <c r="E77" s="261" t="s">
        <v>110</v>
      </c>
      <c r="F77" s="109"/>
      <c r="H77" s="101"/>
      <c r="X77" s="98"/>
    </row>
    <row r="78" spans="1:24" ht="15.75" x14ac:dyDescent="0.25">
      <c r="A78" s="108">
        <v>36</v>
      </c>
      <c r="B78" s="266"/>
      <c r="C78" s="266"/>
      <c r="D78" s="261"/>
      <c r="E78" s="261"/>
      <c r="F78" s="111" t="s">
        <v>110</v>
      </c>
      <c r="H78" s="101" t="s">
        <v>165</v>
      </c>
      <c r="X78" s="98"/>
    </row>
    <row r="79" spans="1:24" ht="15.75" x14ac:dyDescent="0.25">
      <c r="A79" s="265" t="s">
        <v>166</v>
      </c>
      <c r="B79" s="265"/>
      <c r="C79" s="265"/>
      <c r="D79" s="265"/>
      <c r="E79" s="265"/>
      <c r="F79" s="265"/>
      <c r="H79" s="101"/>
      <c r="X79" s="98"/>
    </row>
    <row r="80" spans="1:24" ht="15.75" x14ac:dyDescent="0.25">
      <c r="A80" s="100"/>
      <c r="B80" s="100"/>
      <c r="C80" s="100"/>
      <c r="D80" s="100"/>
      <c r="E80" s="100"/>
      <c r="F80" s="100"/>
      <c r="H80" s="101" t="s">
        <v>167</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168</v>
      </c>
      <c r="X82" s="98"/>
    </row>
    <row r="83" spans="1:24" ht="15.75" x14ac:dyDescent="0.25">
      <c r="A83" s="100"/>
      <c r="B83" s="100"/>
      <c r="C83" s="100"/>
      <c r="D83" s="100"/>
      <c r="E83" s="100"/>
      <c r="F83" s="100"/>
      <c r="H83" s="101"/>
      <c r="X83" s="98"/>
    </row>
    <row r="84" spans="1:24" ht="15.75" x14ac:dyDescent="0.25">
      <c r="A84" t="s">
        <v>169</v>
      </c>
      <c r="B84" s="100"/>
      <c r="C84" s="100"/>
      <c r="D84" s="100"/>
      <c r="E84" s="100"/>
      <c r="F84" s="100"/>
      <c r="H84" s="101"/>
      <c r="X84" s="98"/>
    </row>
    <row r="85" spans="1:24" ht="15.75" x14ac:dyDescent="0.25">
      <c r="A85" t="s">
        <v>170</v>
      </c>
      <c r="B85" s="100"/>
      <c r="C85" s="100"/>
      <c r="D85" s="100"/>
      <c r="E85" s="100"/>
      <c r="F85" s="100"/>
      <c r="H85" s="101"/>
      <c r="X85" s="98"/>
    </row>
    <row r="86" spans="1:24" ht="15.75" x14ac:dyDescent="0.25">
      <c r="A86" s="100" t="s">
        <v>171</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3" priority="4" operator="lessThan">
      <formula>6</formula>
    </cfRule>
    <cfRule type="cellIs" dxfId="62" priority="5" operator="greaterThan">
      <formula>7</formula>
    </cfRule>
  </conditionalFormatting>
  <conditionalFormatting sqref="B23:W23">
    <cfRule type="cellIs" dxfId="61" priority="1" operator="lessThan">
      <formula>6</formula>
    </cfRule>
    <cfRule type="cellIs" dxfId="6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53</v>
      </c>
    </row>
    <row r="2" spans="1:14" x14ac:dyDescent="0.25">
      <c r="A2" s="11" t="s">
        <v>16</v>
      </c>
      <c r="B2">
        <v>0</v>
      </c>
      <c r="C2">
        <v>0</v>
      </c>
      <c r="N2" s="34" t="s">
        <v>54</v>
      </c>
    </row>
    <row r="3" spans="1:14" x14ac:dyDescent="0.25">
      <c r="A3" s="11" t="s">
        <v>17</v>
      </c>
      <c r="B3">
        <v>22460</v>
      </c>
      <c r="C3">
        <v>32580</v>
      </c>
      <c r="D3">
        <v>32580</v>
      </c>
      <c r="N3" s="34" t="s">
        <v>55</v>
      </c>
    </row>
    <row r="4" spans="1:14" x14ac:dyDescent="0.25">
      <c r="A4" s="11" t="s">
        <v>18</v>
      </c>
      <c r="B4">
        <v>2235</v>
      </c>
      <c r="C4">
        <f t="shared" ref="C4:C7" si="0">B4</f>
        <v>2235</v>
      </c>
      <c r="N4" s="34" t="s">
        <v>56</v>
      </c>
    </row>
    <row r="5" spans="1:14" x14ac:dyDescent="0.25">
      <c r="A5" s="11" t="s">
        <v>19</v>
      </c>
      <c r="B5">
        <v>515</v>
      </c>
      <c r="C5">
        <v>515</v>
      </c>
      <c r="N5" s="34" t="s">
        <v>57</v>
      </c>
    </row>
    <row r="6" spans="1:14" x14ac:dyDescent="0.25">
      <c r="A6" s="11" t="s">
        <v>20</v>
      </c>
      <c r="B6">
        <v>405</v>
      </c>
      <c r="C6">
        <v>405</v>
      </c>
      <c r="N6" s="34" t="s">
        <v>58</v>
      </c>
    </row>
    <row r="7" spans="1:14" x14ac:dyDescent="0.25">
      <c r="A7" s="37" t="s">
        <v>48</v>
      </c>
      <c r="B7" s="39">
        <v>8.0000000000000002E-3</v>
      </c>
      <c r="C7" s="129">
        <f t="shared" si="0"/>
        <v>8.0000000000000002E-3</v>
      </c>
      <c r="N7" s="34" t="s">
        <v>59</v>
      </c>
    </row>
    <row r="8" spans="1:14" x14ac:dyDescent="0.25">
      <c r="N8" s="34" t="s">
        <v>60</v>
      </c>
    </row>
    <row r="9" spans="1:14" x14ac:dyDescent="0.25">
      <c r="A9" s="38" t="s">
        <v>70</v>
      </c>
      <c r="B9" s="36">
        <f>SUM(B1:B6)*(1+B7)</f>
        <v>25819.920000000002</v>
      </c>
      <c r="C9" s="36">
        <f>SUM(C1:C6)*(1+C7)</f>
        <v>36020.879999999997</v>
      </c>
      <c r="N9" s="34" t="s">
        <v>61</v>
      </c>
    </row>
    <row r="10" spans="1:14" x14ac:dyDescent="0.25">
      <c r="A10" s="38" t="s">
        <v>71</v>
      </c>
      <c r="B10" s="36">
        <f>B9*1.2</f>
        <v>30983.904000000002</v>
      </c>
      <c r="C10" s="36">
        <f>C9*1.2</f>
        <v>43225.055999999997</v>
      </c>
      <c r="N10" s="34" t="s">
        <v>62</v>
      </c>
    </row>
    <row r="11" spans="1:14" x14ac:dyDescent="0.25">
      <c r="N11" s="34" t="s">
        <v>63</v>
      </c>
    </row>
    <row r="12" spans="1:14" x14ac:dyDescent="0.25">
      <c r="N12" s="34" t="s">
        <v>64</v>
      </c>
    </row>
    <row r="13" spans="1:14" x14ac:dyDescent="0.25">
      <c r="N13" s="34" t="s">
        <v>65</v>
      </c>
    </row>
    <row r="14" spans="1:14" x14ac:dyDescent="0.25">
      <c r="C14" s="40">
        <f>D3-B3</f>
        <v>10120</v>
      </c>
      <c r="N14" s="34" t="s">
        <v>66</v>
      </c>
    </row>
    <row r="15" spans="1:14" x14ac:dyDescent="0.25">
      <c r="C15">
        <f>(C3-B3)</f>
        <v>10120</v>
      </c>
      <c r="N15" s="34" t="s">
        <v>67</v>
      </c>
    </row>
    <row r="16" spans="1:14" x14ac:dyDescent="0.25">
      <c r="C16" s="130">
        <f>C15/C14</f>
        <v>1</v>
      </c>
      <c r="N16" s="34" t="s">
        <v>68</v>
      </c>
    </row>
    <row r="17" spans="14:14" x14ac:dyDescent="0.25">
      <c r="N17" s="34" t="s">
        <v>69</v>
      </c>
    </row>
  </sheetData>
  <pageMargins left="0.7" right="0.7" top="0.75" bottom="0.75" header="0.3" footer="0.3"/>
  <pageSetup paperSize="9" scale="85" fitToWidth="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105</v>
      </c>
      <c r="B1" s="57" t="s">
        <v>106</v>
      </c>
      <c r="D1" s="70" t="s">
        <v>105</v>
      </c>
      <c r="E1" s="70" t="s">
        <v>119</v>
      </c>
      <c r="F1" s="70" t="s">
        <v>120</v>
      </c>
      <c r="G1" s="70" t="s">
        <v>121</v>
      </c>
      <c r="H1" s="70" t="s">
        <v>122</v>
      </c>
      <c r="I1" s="70" t="s">
        <v>183</v>
      </c>
      <c r="J1" s="70" t="s">
        <v>115</v>
      </c>
      <c r="K1" s="56" t="s">
        <v>184</v>
      </c>
      <c r="L1" s="56" t="s">
        <v>338</v>
      </c>
      <c r="M1" s="56" t="s">
        <v>339</v>
      </c>
      <c r="N1" s="56" t="s">
        <v>340</v>
      </c>
      <c r="P1" s="57" t="s">
        <v>113</v>
      </c>
      <c r="Q1" s="57" t="s">
        <v>114</v>
      </c>
      <c r="R1" s="57" t="s">
        <v>115</v>
      </c>
      <c r="S1" s="57" t="s">
        <v>116</v>
      </c>
      <c r="T1" s="57" t="s">
        <v>117</v>
      </c>
      <c r="U1" s="57" t="s">
        <v>118</v>
      </c>
    </row>
    <row r="2" spans="1:25" x14ac:dyDescent="0.25">
      <c r="A2" s="61" t="s">
        <v>107</v>
      </c>
      <c r="B2" s="62">
        <v>1.0529999999999999</v>
      </c>
      <c r="D2" s="223">
        <v>1</v>
      </c>
      <c r="E2" s="223">
        <v>1</v>
      </c>
      <c r="F2" s="223">
        <v>0</v>
      </c>
      <c r="G2" s="223">
        <v>0.3</v>
      </c>
      <c r="H2" s="224">
        <f t="shared" ref="H2:H4" si="0">D2+F2-G2</f>
        <v>0.7</v>
      </c>
      <c r="I2" s="142">
        <v>5</v>
      </c>
      <c r="J2" s="142">
        <f>40-37.5+0</f>
        <v>2.5</v>
      </c>
      <c r="K2" s="225">
        <f>16320*3</f>
        <v>48960</v>
      </c>
      <c r="L2" s="226">
        <f>H2-$H$4</f>
        <v>-0.48799999999999999</v>
      </c>
      <c r="M2" s="227">
        <f>L2*16</f>
        <v>-7.8079999999999998</v>
      </c>
      <c r="N2" s="228">
        <f>M2*7</f>
        <v>-54.655999999999999</v>
      </c>
      <c r="O2" s="56"/>
      <c r="P2" s="58">
        <v>10</v>
      </c>
      <c r="Q2" s="59">
        <v>35</v>
      </c>
      <c r="R2" s="59">
        <v>25</v>
      </c>
      <c r="S2" s="60">
        <v>0.33333333333333331</v>
      </c>
      <c r="T2" s="65">
        <v>32640.000000000004</v>
      </c>
      <c r="U2" s="64">
        <v>3264.0000000000005</v>
      </c>
      <c r="W2" s="56"/>
      <c r="X2" s="56"/>
      <c r="Y2" s="56"/>
    </row>
    <row r="3" spans="1:25" x14ac:dyDescent="0.25">
      <c r="A3" s="61" t="s">
        <v>108</v>
      </c>
      <c r="B3" s="63">
        <v>1</v>
      </c>
      <c r="D3" s="216">
        <v>1.0529999999999999</v>
      </c>
      <c r="E3" s="213">
        <v>1</v>
      </c>
      <c r="F3" s="216">
        <v>0.17499999999999999</v>
      </c>
      <c r="G3" s="213">
        <v>0.3</v>
      </c>
      <c r="H3" s="219">
        <f>D3+F3-G3</f>
        <v>0.92799999999999994</v>
      </c>
      <c r="I3" s="214">
        <v>5</v>
      </c>
      <c r="J3" s="214">
        <f t="shared" ref="J3:J12" si="1">40-37.5+25</f>
        <v>27.5</v>
      </c>
      <c r="K3" s="215">
        <f t="shared" ref="K3:K12" si="2">16320*3</f>
        <v>48960</v>
      </c>
      <c r="L3" s="220">
        <f>H3-$H$4</f>
        <v>-0.26</v>
      </c>
      <c r="M3" s="221">
        <f>L3*16</f>
        <v>-4.16</v>
      </c>
      <c r="N3" s="222">
        <f>M3*7</f>
        <v>-29.12</v>
      </c>
      <c r="O3" s="56"/>
      <c r="P3" s="58">
        <v>9</v>
      </c>
      <c r="Q3" s="59">
        <v>31.5</v>
      </c>
      <c r="R3" s="59">
        <v>22.5</v>
      </c>
      <c r="S3" s="60">
        <v>0.3</v>
      </c>
      <c r="T3" s="65">
        <v>24480</v>
      </c>
      <c r="U3" s="64">
        <v>2720</v>
      </c>
      <c r="W3" s="56"/>
      <c r="X3" s="56"/>
      <c r="Y3" s="56"/>
    </row>
    <row r="4" spans="1:25" x14ac:dyDescent="0.25">
      <c r="A4" s="61" t="s">
        <v>109</v>
      </c>
      <c r="B4" s="62">
        <v>0.90900000000000003</v>
      </c>
      <c r="D4" s="229">
        <v>1</v>
      </c>
      <c r="E4" s="229">
        <v>1</v>
      </c>
      <c r="F4" s="230">
        <v>0.28799999999999998</v>
      </c>
      <c r="G4" s="229">
        <v>0.1</v>
      </c>
      <c r="H4" s="231">
        <f t="shared" si="0"/>
        <v>1.1879999999999999</v>
      </c>
      <c r="I4" s="232">
        <v>5</v>
      </c>
      <c r="J4" s="232">
        <f t="shared" ref="J4:J9" si="3">40-37.5+25</f>
        <v>27.5</v>
      </c>
      <c r="K4" s="233">
        <f t="shared" si="2"/>
        <v>48960</v>
      </c>
      <c r="L4" s="234">
        <f t="shared" ref="L4:L8" si="4">H4-$H$4</f>
        <v>0</v>
      </c>
      <c r="M4" s="235">
        <f t="shared" ref="M4:M8" si="5">L4*16</f>
        <v>0</v>
      </c>
      <c r="N4" s="236">
        <f t="shared" ref="N4:N8" si="6">M4*7</f>
        <v>0</v>
      </c>
      <c r="O4" s="56"/>
      <c r="P4" s="58">
        <v>8</v>
      </c>
      <c r="Q4" s="59">
        <v>28</v>
      </c>
      <c r="R4" s="59">
        <v>20</v>
      </c>
      <c r="S4" s="60">
        <v>0.26666666666666666</v>
      </c>
      <c r="T4" s="65">
        <v>16320.000000000002</v>
      </c>
      <c r="U4" s="64">
        <v>2040.0000000000002</v>
      </c>
      <c r="W4" s="56"/>
      <c r="X4" s="56"/>
      <c r="Y4" s="56"/>
    </row>
    <row r="5" spans="1:25" x14ac:dyDescent="0.25">
      <c r="A5" s="61" t="s">
        <v>110</v>
      </c>
      <c r="B5" s="62">
        <v>0.83299999999999996</v>
      </c>
      <c r="D5" s="71">
        <v>1</v>
      </c>
      <c r="E5" s="71">
        <v>1</v>
      </c>
      <c r="F5" s="212">
        <v>0.17499999999999999</v>
      </c>
      <c r="G5" s="71">
        <v>0.3</v>
      </c>
      <c r="H5" s="217">
        <f>D5+F5-G5</f>
        <v>0.875</v>
      </c>
      <c r="I5" s="210">
        <v>5</v>
      </c>
      <c r="J5" s="210">
        <f t="shared" si="3"/>
        <v>27.5</v>
      </c>
      <c r="K5" s="73">
        <f t="shared" si="2"/>
        <v>48960</v>
      </c>
      <c r="L5" s="218">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111</v>
      </c>
      <c r="B6" s="62">
        <v>0.76900000000000002</v>
      </c>
      <c r="D6" s="212">
        <v>1.0529999999999999</v>
      </c>
      <c r="E6" s="71">
        <v>1</v>
      </c>
      <c r="F6" s="71">
        <v>0.35</v>
      </c>
      <c r="G6" s="71">
        <v>0.05</v>
      </c>
      <c r="H6" s="217">
        <f>D6+F6-G6</f>
        <v>1.353</v>
      </c>
      <c r="I6" s="210">
        <v>5</v>
      </c>
      <c r="J6" s="210">
        <f t="shared" si="3"/>
        <v>27.5</v>
      </c>
      <c r="K6" s="73">
        <f t="shared" si="2"/>
        <v>48960</v>
      </c>
      <c r="L6" s="218">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112</v>
      </c>
      <c r="B7" s="62">
        <v>0.71399999999999997</v>
      </c>
      <c r="D7" s="71">
        <v>1</v>
      </c>
      <c r="E7" s="71">
        <v>1</v>
      </c>
      <c r="F7" s="71">
        <v>0.35</v>
      </c>
      <c r="G7" s="71">
        <v>0.1</v>
      </c>
      <c r="H7" s="217">
        <f>D7+F7-G7</f>
        <v>1.25</v>
      </c>
      <c r="I7" s="210">
        <v>5</v>
      </c>
      <c r="J7" s="210">
        <f t="shared" si="3"/>
        <v>27.5</v>
      </c>
      <c r="K7" s="73">
        <f t="shared" si="2"/>
        <v>48960</v>
      </c>
      <c r="L7" s="218">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2">
        <v>1.0529999999999999</v>
      </c>
      <c r="E8" s="71">
        <v>1</v>
      </c>
      <c r="F8" s="71">
        <v>0.35</v>
      </c>
      <c r="G8" s="71">
        <v>0.1</v>
      </c>
      <c r="H8" s="217">
        <f>D8+F8-G8</f>
        <v>1.3029999999999999</v>
      </c>
      <c r="I8" s="210">
        <v>5</v>
      </c>
      <c r="J8" s="210">
        <f t="shared" si="3"/>
        <v>27.5</v>
      </c>
      <c r="K8" s="73">
        <f t="shared" si="2"/>
        <v>48960</v>
      </c>
      <c r="L8" s="218">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7">
        <f>D9+F9-G9</f>
        <v>1.3</v>
      </c>
      <c r="I9" s="237">
        <v>5</v>
      </c>
      <c r="J9" s="237">
        <f t="shared" si="3"/>
        <v>27.5</v>
      </c>
      <c r="K9" s="73">
        <f t="shared" si="2"/>
        <v>48960</v>
      </c>
      <c r="L9" s="218">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10"/>
      <c r="E10" s="71"/>
      <c r="F10" s="210"/>
      <c r="G10" s="71"/>
      <c r="H10" s="217"/>
      <c r="I10" s="210">
        <v>5</v>
      </c>
      <c r="J10" s="210">
        <f t="shared" si="1"/>
        <v>27.5</v>
      </c>
      <c r="K10" s="73">
        <f t="shared" si="2"/>
        <v>48960</v>
      </c>
      <c r="P10" s="58">
        <v>2</v>
      </c>
      <c r="Q10" s="59">
        <v>7</v>
      </c>
      <c r="R10" s="59">
        <v>5</v>
      </c>
      <c r="S10" s="60">
        <v>6.6666666666666666E-2</v>
      </c>
      <c r="T10" s="65">
        <v>2040.0000000000002</v>
      </c>
      <c r="U10" s="64">
        <v>1020.0000000000001</v>
      </c>
    </row>
    <row r="11" spans="1:25" x14ac:dyDescent="0.25">
      <c r="D11" s="210"/>
      <c r="E11" s="71"/>
      <c r="F11" s="210"/>
      <c r="G11" s="71"/>
      <c r="H11" s="217"/>
      <c r="I11" s="210">
        <v>5</v>
      </c>
      <c r="J11" s="210">
        <f t="shared" si="1"/>
        <v>27.5</v>
      </c>
      <c r="K11" s="73">
        <f t="shared" si="2"/>
        <v>48960</v>
      </c>
      <c r="P11" s="58">
        <v>1</v>
      </c>
      <c r="Q11" s="59">
        <v>3.5</v>
      </c>
      <c r="R11" s="59">
        <v>2.5</v>
      </c>
      <c r="S11" s="60">
        <v>3.3333333333333333E-2</v>
      </c>
      <c r="T11" s="65">
        <v>1020.0000000000001</v>
      </c>
      <c r="U11" s="64">
        <v>1020.0000000000001</v>
      </c>
    </row>
    <row r="12" spans="1:25" x14ac:dyDescent="0.25">
      <c r="D12" s="210"/>
      <c r="E12" s="71"/>
      <c r="F12" s="210"/>
      <c r="G12" s="71"/>
      <c r="H12" s="217"/>
      <c r="I12" s="210">
        <v>5</v>
      </c>
      <c r="J12" s="210">
        <f t="shared" si="1"/>
        <v>27.5</v>
      </c>
      <c r="K12" s="73">
        <f t="shared" si="2"/>
        <v>48960</v>
      </c>
    </row>
    <row r="14" spans="1:25" x14ac:dyDescent="0.25">
      <c r="H14" s="42"/>
      <c r="P14" s="57" t="s">
        <v>113</v>
      </c>
      <c r="Q14" s="57" t="s">
        <v>114</v>
      </c>
      <c r="R14" s="57" t="s">
        <v>115</v>
      </c>
      <c r="S14" s="57" t="s">
        <v>116</v>
      </c>
      <c r="T14" s="57" t="s">
        <v>117</v>
      </c>
      <c r="U14" s="57" t="s">
        <v>118</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10"/>
      <c r="H17" s="42"/>
      <c r="I17" s="210"/>
      <c r="J17" s="42"/>
      <c r="K17" s="42"/>
      <c r="P17" s="61">
        <v>10</v>
      </c>
      <c r="Q17" s="61">
        <f>3.2*10</f>
        <v>32</v>
      </c>
      <c r="R17" s="66">
        <f>30/12*10</f>
        <v>25</v>
      </c>
      <c r="S17" s="67">
        <f>0.4/12*10</f>
        <v>0.33333333333333331</v>
      </c>
      <c r="T17" s="68">
        <v>48000</v>
      </c>
      <c r="U17" s="68">
        <f>T17/P17</f>
        <v>4800</v>
      </c>
    </row>
    <row r="18" spans="2:21" x14ac:dyDescent="0.25">
      <c r="G18" s="210"/>
      <c r="H18" s="42"/>
      <c r="I18" s="210"/>
      <c r="J18" s="42"/>
      <c r="K18" s="42"/>
      <c r="P18" s="61">
        <v>8</v>
      </c>
      <c r="Q18" s="61">
        <f>3.2*8</f>
        <v>25.6</v>
      </c>
      <c r="R18" s="66">
        <f>30/12*8</f>
        <v>20</v>
      </c>
      <c r="S18" s="67">
        <f>0.4/12*8</f>
        <v>0.26666666666666666</v>
      </c>
      <c r="T18" s="68">
        <v>24000</v>
      </c>
      <c r="U18" s="68">
        <f>T18/P18</f>
        <v>3000</v>
      </c>
    </row>
    <row r="19" spans="2:21" x14ac:dyDescent="0.25">
      <c r="G19" s="210"/>
      <c r="H19" s="42"/>
      <c r="I19" s="210"/>
      <c r="J19" s="42"/>
      <c r="K19" s="42"/>
    </row>
    <row r="20" spans="2:21" x14ac:dyDescent="0.25">
      <c r="G20" s="210"/>
      <c r="H20" s="42"/>
      <c r="I20" s="210"/>
      <c r="J20" s="42"/>
      <c r="K20" s="42"/>
    </row>
    <row r="23" spans="2:21" x14ac:dyDescent="0.25">
      <c r="J23" s="210"/>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129</v>
      </c>
      <c r="C1" s="44" t="s">
        <v>87</v>
      </c>
      <c r="D1" s="44" t="s">
        <v>5</v>
      </c>
      <c r="E1" s="44" t="s">
        <v>89</v>
      </c>
      <c r="F1" s="44" t="s">
        <v>124</v>
      </c>
      <c r="G1" s="78" t="s">
        <v>87</v>
      </c>
      <c r="H1" s="78" t="s">
        <v>5</v>
      </c>
      <c r="I1" s="78" t="s">
        <v>125</v>
      </c>
      <c r="J1" s="78" t="s">
        <v>126</v>
      </c>
      <c r="K1" s="78" t="s">
        <v>123</v>
      </c>
      <c r="L1" s="78" t="s">
        <v>130</v>
      </c>
      <c r="M1" s="79" t="s">
        <v>127</v>
      </c>
      <c r="N1" s="79" t="s">
        <v>128</v>
      </c>
      <c r="O1" s="141" t="s">
        <v>91</v>
      </c>
      <c r="P1" s="141" t="s">
        <v>189</v>
      </c>
      <c r="Q1" s="141" t="s">
        <v>88</v>
      </c>
      <c r="R1" s="11" t="s">
        <v>15</v>
      </c>
      <c r="S1" s="11" t="s">
        <v>16</v>
      </c>
      <c r="T1" s="11" t="s">
        <v>17</v>
      </c>
      <c r="U1" s="11" t="s">
        <v>18</v>
      </c>
      <c r="V1" s="11" t="s">
        <v>19</v>
      </c>
      <c r="W1" s="11" t="s">
        <v>20</v>
      </c>
      <c r="X1" s="11" t="s">
        <v>6</v>
      </c>
      <c r="Y1" s="11" t="s">
        <v>21</v>
      </c>
      <c r="Z1" s="15" t="s">
        <v>206</v>
      </c>
      <c r="AA1" s="15" t="s">
        <v>22</v>
      </c>
      <c r="AB1" s="15" t="s">
        <v>23</v>
      </c>
      <c r="AC1" s="15" t="s">
        <v>24</v>
      </c>
      <c r="AD1" s="15" t="s">
        <v>25</v>
      </c>
    </row>
    <row r="2" spans="1:45" s="98" customFormat="1" x14ac:dyDescent="0.25">
      <c r="A2" s="154" t="str">
        <f>PLANTILLA!D4</f>
        <v>Damián Sala</v>
      </c>
      <c r="B2" s="73">
        <f ca="1">(N2+F2-J2)/K2</f>
        <v>-70973.256083429864</v>
      </c>
      <c r="C2" s="139">
        <v>22</v>
      </c>
      <c r="D2" s="139">
        <v>61</v>
      </c>
      <c r="E2" s="148">
        <f>PLANTILLA!M4</f>
        <v>42200</v>
      </c>
      <c r="F2" s="140">
        <v>4265460</v>
      </c>
      <c r="G2" s="139">
        <f>PLANTILLA!E4</f>
        <v>30</v>
      </c>
      <c r="H2" s="139">
        <f ca="1">PLANTILLA!F4</f>
        <v>28</v>
      </c>
      <c r="I2" s="49">
        <f ca="1">E2+(H2-D2+(G2-C2)*112)</f>
        <v>43063</v>
      </c>
      <c r="J2" s="155">
        <v>6886000</v>
      </c>
      <c r="K2" s="40">
        <f ca="1">(I2-E2)/112</f>
        <v>7.7053571428571432</v>
      </c>
      <c r="L2" s="74">
        <f>J2-F2</f>
        <v>2620540</v>
      </c>
      <c r="M2" s="76">
        <f>PLANTILLA!V4</f>
        <v>16820</v>
      </c>
      <c r="N2" s="76">
        <f ca="1">((G2-C2)*M2*16)+(H2-D2)/7*M2</f>
        <v>2073665.7142857143</v>
      </c>
      <c r="O2" s="142">
        <f>PLANTILLA!I4</f>
        <v>10.6</v>
      </c>
      <c r="P2" s="142">
        <f>PLANTILLA!H4</f>
        <v>2</v>
      </c>
      <c r="Q2" s="142"/>
      <c r="R2" s="144">
        <f>PLANTILLA!X4</f>
        <v>13.95</v>
      </c>
      <c r="S2" s="144">
        <f>PLANTILLA!Y4</f>
        <v>11.066666666666666</v>
      </c>
      <c r="T2" s="144">
        <f>PLANTILLA!Z4</f>
        <v>0.17999999999999997</v>
      </c>
      <c r="U2" s="144">
        <f>PLANTILLA!AA4</f>
        <v>0.01</v>
      </c>
      <c r="V2" s="144">
        <f>PLANTILLA!AB4</f>
        <v>2.3299999999999996</v>
      </c>
      <c r="W2" s="144">
        <f>PLANTILLA!AC4</f>
        <v>1.8100000000000005</v>
      </c>
      <c r="X2" s="144">
        <f>PLANTILLA!AD4</f>
        <v>19.299999999999997</v>
      </c>
      <c r="Y2" s="143">
        <f>PLANTILLA!AE4</f>
        <v>1284</v>
      </c>
      <c r="Z2" s="143">
        <f>O2*P2*P2</f>
        <v>42.4</v>
      </c>
      <c r="AA2" s="9">
        <f>((S2+1)+(V2+1)*2)/8</f>
        <v>2.3408333333333333</v>
      </c>
      <c r="AB2" s="9">
        <f>X2*0.7+W2*0.3</f>
        <v>14.052999999999997</v>
      </c>
      <c r="AC2" s="9">
        <f>(0.5*W2+ 0.3*X2)/10</f>
        <v>0.66949999999999998</v>
      </c>
      <c r="AD2" s="9">
        <f>(0.4*S2+0.3*X2)/10</f>
        <v>1.0216666666666665</v>
      </c>
      <c r="AE2" s="40">
        <f ca="1">IF(TODAY()-E2&gt;335,((S2+1+(LOG(O2)*4/3))*0.516),((S2+(((TODAY()-E2)^0.5)/(336^0.516))+(LOG(O2)*4/3))*0.516))</f>
        <v>6.9318104353021619</v>
      </c>
      <c r="AF2" s="40">
        <f ca="1">IF(TODAY()-E2&gt;335,((S2+1+(LOG(O2)*4/3))*1),((S2+(((TODAY()-E2)^0.5)/(336^0.5))+(LOG(O2)*4/3))*1))</f>
        <v>13.433741153686359</v>
      </c>
      <c r="AG2" s="40">
        <f ca="1">IF(TODAY()-E2&gt;335,((T2+1+(LOG(O2)*4/3))*0.238),((T2+(((TODAY()-E2)^0.5)/(336^0.238))+(LOG(O2)*4/3))*0.238))</f>
        <v>0.606203727910687</v>
      </c>
      <c r="AH2" s="40">
        <f ca="1">IF(TODAY()-E2&gt;335,((S2+1+(LOG(O2)*4/3))*0.92),((S2+(((TODAY()-E2)^0.5)/(336^0.5))+(LOG(O2)*4/3))*0.92))</f>
        <v>12.35904186139145</v>
      </c>
      <c r="AI2" s="40">
        <f ca="1">IF(TODAY()-E2&gt;335,((S2+1+(LOG(O2)*4/3))*0.414),((S2+(((TODAY()-E2)^0.5)/(336^0.414))+(LOG(O2)*4/3))*0.414))</f>
        <v>5.5615688376261527</v>
      </c>
      <c r="AJ2" s="40">
        <f ca="1">IF(TODAY()-E2&gt;335,((T2+1+(LOG(O2)*4/3))*0.167),((T2+(((TODAY()-E2)^0.5)/(336^0.5))+(LOG(O2)*4/3))*0.167))</f>
        <v>0.42536143933228882</v>
      </c>
      <c r="AK2" s="203">
        <f ca="1">IF(TODAY()-E2&gt;335,((U2+1+(LOG(O2)*4/3))*0.588),((U2+(((TODAY()-E2)^0.5)/(336^0.5))+(LOG(O2)*4/3))*0.588))</f>
        <v>1.3977197983675795</v>
      </c>
      <c r="AL2" s="40">
        <f ca="1">IF(TODAY()-E2&gt;335,((S2+1+(LOG(O2)*4/3))*0.4),((S2+(((TODAY()-E2)^0.5)/(336^0.5))+(LOG(O2)*4/3))*0.4))</f>
        <v>5.3734964614745442</v>
      </c>
      <c r="AM2" s="40">
        <f ca="1">IF(TODAY()-E2&gt;335,((T2+1+(LOG(O2)*4/3))*1),((T2+(((TODAY()-E2)^0.5)/(336^0.5))+(LOG(O2)*4/3))*1))</f>
        <v>2.5470744870196933</v>
      </c>
      <c r="AN2" s="40">
        <f ca="1">IF(TODAY()-E2&gt;335,((W2+1+(LOG(O2)*4/3))*0.21)+((V2+1+(LOG(O2)*4/3))*0.341),((W2+(((TODAY()-E2)^0.5)/(336^0.5))+(LOG(O2)*4/3))*0.21)+((V2+(((TODAY()-E2)^0.5)/(336^0.5))+(LOG(O2)*4/3))*0.341))</f>
        <v>2.478888042347851</v>
      </c>
      <c r="AO2" s="40">
        <f ca="1">IF(TODAY()-E2&gt;335,((T2+1+(LOG(O2)*4/3))*0.305),((T2+(((TODAY()-E2)^0.5)/(336^0.5))+(LOG(O2)*4/3))*0.305))</f>
        <v>0.77685771854100649</v>
      </c>
      <c r="AP2" s="40">
        <f ca="1">IF(TODAY()-E2&gt;335,((U2+1+(LOG(O2)*4/3))*1)+((V2+1+(LOG(O2)*4/3))*0.286),((U2+(((TODAY()-E2)^0.5)/(336^0.5))+(LOG(O2)*4/3))*1)+((V2+(((TODAY()-E2)^0.5)/(336^0.5))+(LOG(O2)*4/3))*0.286))</f>
        <v>3.7204377903073254</v>
      </c>
      <c r="AQ2" s="40">
        <f ca="1">IF(TODAY()-E2&gt;335,((T2+1+(LOG(O2)*4/3))*0.406),((T2+(((TODAY()-E2)^0.5)/(336^0.5))+(LOG(O2)*4/3))*0.406))</f>
        <v>1.0341122417299955</v>
      </c>
      <c r="AR2" s="40">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2.2511358077372607</v>
      </c>
      <c r="AS2" s="40">
        <f ca="1">IF(Q2="TEC",IF(TODAY()-E2&gt;335,((V2+1+(LOG(O2)*4/3))*0.543)+((W2+1+(LOG(O2)*4/3))*0.583),((V2+(((TODAY()-E2)^0.5)/(336^0.5))+(LOG(O2)*4/3))*0.543)+((W2+(((TODAY()-E2)^0.5)/(336^0.5))+(LOG(O2)*4/3))*0.583)),IF(TODAY()-E2&gt;335,((V2+1+(LOG(O2)*4/3))*0.543)+((W2+1+(LOG(O2)*4/3))*0.583),((V2+(((TODAY()-E2)^0.5)/(336^0.5))+(LOG(O2)*4/3))*0.543)+((W2+(((TODAY()-E2)^0.5)/(336^0.5))+(LOG(O2)*4/3))*0.583)))</f>
        <v>4.9857458723841752</v>
      </c>
    </row>
    <row r="3" spans="1:45" s="98" customFormat="1" x14ac:dyDescent="0.25">
      <c r="A3" s="154" t="str">
        <f>PLANTILLA!D5</f>
        <v>Mario Omarini</v>
      </c>
      <c r="B3" s="73">
        <f t="shared" ref="B3:B16" ca="1" si="0">(N3+F3-J3)/K3</f>
        <v>152362.21276595743</v>
      </c>
      <c r="C3" s="139">
        <v>29</v>
      </c>
      <c r="D3" s="139">
        <v>99</v>
      </c>
      <c r="E3" s="148">
        <f>PLANTILLA!M5</f>
        <v>42828</v>
      </c>
      <c r="F3" s="140">
        <v>2789000</v>
      </c>
      <c r="G3" s="139">
        <f>PLANTILLA!E5</f>
        <v>31</v>
      </c>
      <c r="H3" s="139">
        <f ca="1">PLANTILLA!F5</f>
        <v>110</v>
      </c>
      <c r="I3" s="49">
        <f t="shared" ref="I3:I16" ca="1" si="1">E3+(H3-D3+(G3-C3)*112)</f>
        <v>43063</v>
      </c>
      <c r="J3" s="155">
        <v>3074000</v>
      </c>
      <c r="K3" s="40">
        <f t="shared" ref="K3:K16" ca="1" si="2">(I3-E3)/112</f>
        <v>2.0982142857142856</v>
      </c>
      <c r="L3" s="74">
        <f t="shared" ref="L3:L16" si="3">J3-F3</f>
        <v>285000</v>
      </c>
      <c r="M3" s="76">
        <f>PLANTILLA!V5</f>
        <v>18012</v>
      </c>
      <c r="N3" s="76">
        <f t="shared" ref="N3:N16" ca="1" si="4">((G3-C3)*M3*16)+(H3-D3)/7*M3</f>
        <v>604688.57142857148</v>
      </c>
      <c r="O3" s="142">
        <f>PLANTILLA!I5</f>
        <v>9.6999999999999993</v>
      </c>
      <c r="P3" s="142">
        <f>PLANTILLA!H5</f>
        <v>3</v>
      </c>
      <c r="Q3" s="142" t="str">
        <f>PLANTILLA!G5</f>
        <v>TEC</v>
      </c>
      <c r="R3" s="144">
        <f>PLANTILLA!X5</f>
        <v>0</v>
      </c>
      <c r="S3" s="144">
        <f>PLANTILLA!Y5</f>
        <v>14</v>
      </c>
      <c r="T3" s="144">
        <f>PLANTILLA!Z5</f>
        <v>7.1099999999999994</v>
      </c>
      <c r="U3" s="144">
        <f>PLANTILLA!AA5</f>
        <v>11.035714285714286</v>
      </c>
      <c r="V3" s="144">
        <f>PLANTILLA!AB5</f>
        <v>7.0499999999999989</v>
      </c>
      <c r="W3" s="144">
        <f>PLANTILLA!AC5</f>
        <v>2.0099999999999998</v>
      </c>
      <c r="X3" s="144">
        <f>PLANTILLA!AD5</f>
        <v>15.499999999999998</v>
      </c>
      <c r="Y3" s="143">
        <f>PLANTILLA!AE5</f>
        <v>1650</v>
      </c>
      <c r="Z3" s="143">
        <f t="shared" ref="Z3:Z16" si="5">O3*P3*P3</f>
        <v>87.3</v>
      </c>
      <c r="AA3" s="9">
        <f t="shared" ref="AA3:AA16" si="6">((S3+1)+(V3+1)*2)/8</f>
        <v>3.8874999999999997</v>
      </c>
      <c r="AB3" s="9">
        <f t="shared" ref="AB3:AB16" si="7">X3*0.7+W3*0.3</f>
        <v>11.452999999999998</v>
      </c>
      <c r="AC3" s="9">
        <f t="shared" ref="AC3:AC16" si="8">(0.5*W3+ 0.3*X3)/10</f>
        <v>0.56549999999999989</v>
      </c>
      <c r="AD3" s="9">
        <f t="shared" ref="AD3:AD16" si="9">(0.4*S3+0.3*X3)/10</f>
        <v>1.0249999999999999</v>
      </c>
      <c r="AE3" s="40">
        <f t="shared" ref="AE3:AE16" ca="1" si="10">IF(TODAY()-E3&gt;335,((S3+1+(LOG(O3)*4/3))*0.516),((S3+(((TODAY()-E3)^0.5)/(336^0.516))+(LOG(O3)*4/3))*0.516))</f>
        <v>8.2960799918531958</v>
      </c>
      <c r="AF3" s="40">
        <f t="shared" ref="AF3:AF16" ca="1" si="11">IF(TODAY()-E3&gt;335,((S3+1+(LOG(O3)*4/3))*1),((S3+(((TODAY()-E3)^0.5)/(336^0.5))+(LOG(O3)*4/3))*1))</f>
        <v>16.151999873768492</v>
      </c>
      <c r="AG3" s="40">
        <f ca="1">IF(TODAY()-E3&gt;335,((T3+1+(LOG(O3)*4/3))*0.238),((T3+(((TODAY()-E3)^0.5)/(336^0.238))+(LOG(O3)*4/3))*0.238))</f>
        <v>2.9190965984479504</v>
      </c>
      <c r="AH3" s="40">
        <f ca="1">IF(TODAY()-E3&gt;335,((S3+1+(LOG(O3)*4/3))*0.92),((S3+(((TODAY()-E3)^0.5)/(336^0.5))+(LOG(O3)*4/3))*0.92))</f>
        <v>14.859839883867014</v>
      </c>
      <c r="AI3" s="40">
        <f ca="1">IF(TODAY()-E3&gt;335,((S3+1+(LOG(O3)*4/3))*0.414),((S3+(((TODAY()-E3)^0.5)/(336^0.414))+(LOG(O3)*4/3))*0.414))</f>
        <v>6.9116897184554738</v>
      </c>
      <c r="AJ3" s="40">
        <f ca="1">IF(TODAY()-E3&gt;335,((T3+1+(LOG(O3)*4/3))*0.167),((T3+(((TODAY()-E3)^0.5)/(336^0.5))+(LOG(O3)*4/3))*0.167))</f>
        <v>1.5467539789193383</v>
      </c>
      <c r="AK3" s="203">
        <f ca="1">IF(TODAY()-E3&gt;335,((U3+1+(LOG(O3)*4/3))*0.588),((U3+(((TODAY()-E3)^0.5)/(336^0.5))+(LOG(O3)*4/3))*0.588))</f>
        <v>7.7543759257758733</v>
      </c>
      <c r="AL3" s="40">
        <f ca="1">IF(TODAY()-E3&gt;335,((S3+1+(LOG(O3)*4/3))*0.4),((S3+(((TODAY()-E3)^0.5)/(336^0.5))+(LOG(O3)*4/3))*0.4))</f>
        <v>6.4607999495073969</v>
      </c>
      <c r="AM3" s="40">
        <f ca="1">IF(TODAY()-E3&gt;335,((T3+1+(LOG(O3)*4/3))*1),((T3+(((TODAY()-E3)^0.5)/(336^0.5))+(LOG(O3)*4/3))*1))</f>
        <v>9.2619998737684917</v>
      </c>
      <c r="AN3" s="40">
        <f ca="1">IF(TODAY()-E3&gt;335,((W3+1+(LOG(O3)*4/3))*0.21)+((V3+1+(LOG(O3)*4/3))*0.341),((W3+(((TODAY()-E3)^0.5)/(336^0.5))+(LOG(O3)*4/3))*0.21)+((V3+(((TODAY()-E3)^0.5)/(336^0.5))+(LOG(O3)*4/3))*0.341))</f>
        <v>4.0119019304464389</v>
      </c>
      <c r="AO3" s="40">
        <f ca="1">IF(TODAY()-E3&gt;335,((T3+1+(LOG(O3)*4/3))*0.305),((T3+(((TODAY()-E3)^0.5)/(336^0.5))+(LOG(O3)*4/3))*0.305))</f>
        <v>2.8249099614993898</v>
      </c>
      <c r="AP3" s="40">
        <f ca="1">IF(TODAY()-E3&gt;335,((U3+1+(LOG(O3)*4/3))*1)+((V3+1+(LOG(O3)*4/3))*0.286),((U3+(((TODAY()-E3)^0.5)/(336^0.5))+(LOG(O3)*4/3))*1)+((V3+(((TODAY()-E3)^0.5)/(336^0.5))+(LOG(O3)*4/3))*0.286))</f>
        <v>15.819486123380567</v>
      </c>
      <c r="AQ3" s="40">
        <f ca="1">IF(TODAY()-E3&gt;335,((T3+1+(LOG(O3)*4/3))*0.406),((T3+(((TODAY()-E3)^0.5)/(336^0.5))+(LOG(O3)*4/3))*0.406))</f>
        <v>3.760371948750008</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5.4881790669920072</v>
      </c>
      <c r="AS3" s="40">
        <f ca="1">IF(Q3="TEC",IF(TODAY()-E3&gt;335,((V3+1+(LOG(O3)*4/3))*0.543)+((W3+1+(LOG(O3)*4/3))*0.583),((V3+(((TODAY()-E3)^0.5)/(336^0.5))+(LOG(O3)*4/3))*0.543)+((W3+(((TODAY()-E3)^0.5)/(336^0.5))+(LOG(O3)*4/3))*0.583)),IF(TODAY()-E3&gt;335,((V3+1+(LOG(O3)*4/3))*0.543)+((W3+1+(LOG(O3)*4/3))*0.583),((V3+(((TODAY()-E3)^0.5)/(336^0.5))+(LOG(O3)*4/3))*0.543)+((W3+(((TODAY()-E3)^0.5)/(336^0.5))+(LOG(O3)*4/3))*0.583)))</f>
        <v>7.4231318578633214</v>
      </c>
    </row>
    <row r="4" spans="1:45" s="98" customFormat="1" x14ac:dyDescent="0.25">
      <c r="A4" s="154" t="str">
        <f>PLANTILLA!D6</f>
        <v>Csaba Mező</v>
      </c>
      <c r="B4" s="73">
        <f t="shared" ca="1" si="0"/>
        <v>152258.42424242428</v>
      </c>
      <c r="C4" s="139">
        <v>29</v>
      </c>
      <c r="D4" s="139">
        <v>41</v>
      </c>
      <c r="E4" s="148">
        <f>PLANTILLA!M6</f>
        <v>42799</v>
      </c>
      <c r="F4" s="140">
        <v>2700000</v>
      </c>
      <c r="G4" s="139">
        <f>PLANTILLA!E6</f>
        <v>31</v>
      </c>
      <c r="H4" s="139">
        <f ca="1">PLANTILLA!F6</f>
        <v>88</v>
      </c>
      <c r="I4" s="49">
        <f ca="1">TODAY()</f>
        <v>43063</v>
      </c>
      <c r="J4" s="155">
        <v>2867000</v>
      </c>
      <c r="K4" s="40">
        <f t="shared" ca="1" si="2"/>
        <v>2.3571428571428572</v>
      </c>
      <c r="L4" s="74">
        <f t="shared" si="3"/>
        <v>167000</v>
      </c>
      <c r="M4" s="76">
        <f>PLANTILLA!V6</f>
        <v>13584</v>
      </c>
      <c r="N4" s="76">
        <f t="shared" ca="1" si="4"/>
        <v>525894.85714285716</v>
      </c>
      <c r="O4" s="142">
        <f>PLANTILLA!I6</f>
        <v>9.1</v>
      </c>
      <c r="P4" s="142">
        <f>PLANTILLA!H6</f>
        <v>3</v>
      </c>
      <c r="Q4" s="142"/>
      <c r="R4" s="144">
        <f>PLANTILLA!X6</f>
        <v>0</v>
      </c>
      <c r="S4" s="144">
        <f>PLANTILLA!Y6</f>
        <v>13.05</v>
      </c>
      <c r="T4" s="144">
        <f>PLANTILLA!Z6</f>
        <v>3.18</v>
      </c>
      <c r="U4" s="144">
        <f>PLANTILLA!AA6</f>
        <v>12.033333333333333</v>
      </c>
      <c r="V4" s="144">
        <f>PLANTILLA!AB6</f>
        <v>9.0399999999999991</v>
      </c>
      <c r="W4" s="144">
        <f>PLANTILLA!AC6</f>
        <v>4.01</v>
      </c>
      <c r="X4" s="144">
        <f>PLANTILLA!AD6</f>
        <v>10.333333333333334</v>
      </c>
      <c r="Y4" s="143">
        <f>PLANTILLA!AE6</f>
        <v>1507</v>
      </c>
      <c r="Z4" s="143">
        <f t="shared" si="5"/>
        <v>81.899999999999991</v>
      </c>
      <c r="AA4" s="9">
        <f t="shared" si="6"/>
        <v>4.2662499999999994</v>
      </c>
      <c r="AB4" s="9">
        <f t="shared" si="7"/>
        <v>8.4363333333333337</v>
      </c>
      <c r="AC4" s="9">
        <f t="shared" si="8"/>
        <v>0.51050000000000006</v>
      </c>
      <c r="AD4" s="9">
        <f t="shared" si="9"/>
        <v>0.83200000000000007</v>
      </c>
      <c r="AE4" s="40">
        <f t="shared" ca="1" si="10"/>
        <v>7.8103560739867444</v>
      </c>
      <c r="AF4" s="40">
        <f t="shared" ca="1" si="11"/>
        <v>15.215127116856044</v>
      </c>
      <c r="AG4" s="40">
        <f ca="1">IF(TODAY()-E4&gt;335,((T4+1+(LOG(O4)*4/3))*0.238),((T4+(((TODAY()-E4)^0.5)/(336^0.238))+(LOG(O4)*4/3))*0.238))</f>
        <v>2.0296993234225789</v>
      </c>
      <c r="AH4" s="40">
        <f ca="1">IF(TODAY()-E4&gt;335,((S4+1+(LOG(O4)*4/3))*0.92),((S4+(((TODAY()-E4)^0.5)/(336^0.5))+(LOG(O4)*4/3))*0.92))</f>
        <v>13.99791694750756</v>
      </c>
      <c r="AI4" s="40">
        <f ca="1">IF(TODAY()-E4&gt;335,((S4+1+(LOG(O4)*4/3))*0.414),((S4+(((TODAY()-E4)^0.5)/(336^0.414))+(LOG(O4)*4/3))*0.414))</f>
        <v>6.5372893496397513</v>
      </c>
      <c r="AJ4" s="40">
        <f ca="1">IF(TODAY()-E4&gt;335,((T4+1+(LOG(O4)*4/3))*0.167),((T4+(((TODAY()-E4)^0.5)/(336^0.5))+(LOG(O4)*4/3))*0.167))</f>
        <v>0.89263622851495938</v>
      </c>
      <c r="AK4" s="203">
        <f ca="1">IF(TODAY()-E4&gt;335,((U4+1+(LOG(O4)*4/3))*0.588),((U4+(((TODAY()-E4)^0.5)/(336^0.5))+(LOG(O4)*4/3))*0.588))</f>
        <v>8.3486947447113522</v>
      </c>
      <c r="AL4" s="40">
        <f ca="1">IF(TODAY()-E4&gt;335,((S4+1+(LOG(O4)*4/3))*0.4),((S4+(((TODAY()-E4)^0.5)/(336^0.5))+(LOG(O4)*4/3))*0.4))</f>
        <v>6.0860508467424177</v>
      </c>
      <c r="AM4" s="40">
        <f ca="1">IF(TODAY()-E4&gt;335,((T4+1+(LOG(O4)*4/3))*1),((T4+(((TODAY()-E4)^0.5)/(336^0.5))+(LOG(O4)*4/3))*1))</f>
        <v>5.3451271168560437</v>
      </c>
      <c r="AN4" s="40">
        <f ca="1">IF(TODAY()-E4&gt;335,((W4+1+(LOG(O4)*4/3))*0.21)+((V4+1+(LOG(O4)*4/3))*0.341),((W4+(((TODAY()-E4)^0.5)/(336^0.5))+(LOG(O4)*4/3))*0.21)+((V4+(((TODAY()-E4)^0.5)/(336^0.5))+(LOG(O4)*4/3))*0.341))</f>
        <v>5.11772504138768</v>
      </c>
      <c r="AO4" s="40">
        <f ca="1">IF(TODAY()-E4&gt;335,((T4+1+(LOG(O4)*4/3))*0.305),((T4+(((TODAY()-E4)^0.5)/(336^0.5))+(LOG(O4)*4/3))*0.305))</f>
        <v>1.6302637706410932</v>
      </c>
      <c r="AP4" s="40">
        <f ca="1">IF(TODAY()-E4&gt;335,((U4+1+(LOG(O4)*4/3))*1)+((V4+1+(LOG(O4)*4/3))*0.286),((U4+(((TODAY()-E4)^0.5)/(336^0.5))+(LOG(O4)*4/3))*1)+((V4+(((TODAY()-E4)^0.5)/(336^0.5))+(LOG(O4)*4/3))*0.286))</f>
        <v>17.403126805610203</v>
      </c>
      <c r="AQ4" s="40">
        <f ca="1">IF(TODAY()-E4&gt;335,((T4+1+(LOG(O4)*4/3))*0.406),((T4+(((TODAY()-E4)^0.5)/(336^0.5))+(LOG(O4)*4/3))*0.406))</f>
        <v>2.1701216094435538</v>
      </c>
      <c r="AR4" s="40">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5.6301012278819984</v>
      </c>
      <c r="AS4" s="40">
        <f ca="1">IF(Q4="TEC",IF(TODAY()-E4&gt;335,((V4+1+(LOG(O4)*4/3))*0.543)+((W4+1+(LOG(O4)*4/3))*0.583),((V4+(((TODAY()-E4)^0.5)/(336^0.5))+(LOG(O4)*4/3))*0.543)+((W4+(((TODAY()-E4)^0.5)/(336^0.5))+(LOG(O4)*4/3))*0.583)),IF(TODAY()-E4&gt;335,((V4+1+(LOG(O4)*4/3))*0.543)+((W4+1+(LOG(O4)*4/3))*0.583),((V4+(((TODAY()-E4)^0.5)/(336^0.5))+(LOG(O4)*4/3))*0.543)+((W4+(((TODAY()-E4)^0.5)/(336^0.5))+(LOG(O4)*4/3))*0.583)))</f>
        <v>9.6844831335799046</v>
      </c>
    </row>
    <row r="5" spans="1:45" s="98" customFormat="1" x14ac:dyDescent="0.25">
      <c r="A5" s="154" t="str">
        <f>PLANTILLA!D7</f>
        <v>Mateuz Brzostowski</v>
      </c>
      <c r="B5" s="73">
        <f t="shared" ca="1" si="0"/>
        <v>-809703.09565217397</v>
      </c>
      <c r="C5" s="139">
        <v>30</v>
      </c>
      <c r="D5" s="139">
        <v>29</v>
      </c>
      <c r="E5" s="148">
        <v>42948</v>
      </c>
      <c r="F5" s="140">
        <v>2678987</v>
      </c>
      <c r="G5" s="139">
        <f>PLANTILLA!E7</f>
        <v>31</v>
      </c>
      <c r="H5" s="139">
        <f ca="1">PLANTILLA!F7</f>
        <v>32</v>
      </c>
      <c r="I5" s="49">
        <f t="shared" ca="1" si="1"/>
        <v>43063</v>
      </c>
      <c r="J5" s="155">
        <v>3864250</v>
      </c>
      <c r="K5" s="40">
        <f t="shared" ca="1" si="2"/>
        <v>1.0267857142857142</v>
      </c>
      <c r="L5" s="74">
        <f t="shared" si="3"/>
        <v>1185263</v>
      </c>
      <c r="M5" s="76">
        <f>PLANTILLA!V7</f>
        <v>21540</v>
      </c>
      <c r="N5" s="76">
        <f t="shared" ca="1" si="4"/>
        <v>353871.42857142858</v>
      </c>
      <c r="O5" s="142">
        <f>PLANTILLA!I7</f>
        <v>8.9</v>
      </c>
      <c r="P5" s="142">
        <f>PLANTILLA!H7</f>
        <v>2</v>
      </c>
      <c r="Q5" s="142">
        <f>PLANTILLA!G7</f>
        <v>0</v>
      </c>
      <c r="R5" s="144">
        <f>PLANTILLA!X7</f>
        <v>0</v>
      </c>
      <c r="S5" s="144">
        <f>PLANTILLA!Y7</f>
        <v>14</v>
      </c>
      <c r="T5" s="144">
        <f>PLANTILLA!Z7</f>
        <v>5.0199999999999996</v>
      </c>
      <c r="U5" s="144">
        <f>PLANTILLA!AA7</f>
        <v>10.01</v>
      </c>
      <c r="V5" s="144">
        <f>PLANTILLA!AB7</f>
        <v>9.0399999999999991</v>
      </c>
      <c r="W5" s="144">
        <f>PLANTILLA!AC7</f>
        <v>1.01</v>
      </c>
      <c r="X5" s="144">
        <f>PLANTILLA!AD7</f>
        <v>13.999999999999998</v>
      </c>
      <c r="Y5" s="143">
        <f>PLANTILLA!AE7</f>
        <v>1570</v>
      </c>
      <c r="Z5" s="143">
        <f t="shared" ref="Z5" si="12">O5*P5*P5</f>
        <v>35.6</v>
      </c>
      <c r="AA5" s="9">
        <f t="shared" ref="AA5" si="13">((S5+1)+(V5+1)*2)/8</f>
        <v>4.3849999999999998</v>
      </c>
      <c r="AB5" s="9">
        <f t="shared" ref="AB5" si="14">X5*0.7+W5*0.3</f>
        <v>10.103</v>
      </c>
      <c r="AC5" s="9">
        <f t="shared" ref="AC5" si="15">(0.5*W5+ 0.3*X5)/10</f>
        <v>0.47049999999999992</v>
      </c>
      <c r="AD5" s="9">
        <f t="shared" ref="AD5" si="16">(0.4*S5+0.3*X5)/10</f>
        <v>0.98000000000000009</v>
      </c>
      <c r="AE5" s="40">
        <f t="shared" ref="AE5" ca="1" si="17">IF(TODAY()-E5&gt;335,((S5+1+(LOG(O5)*4/3))*0.516),((S5+(((TODAY()-E5)^0.5)/(336^0.516))+(LOG(O5)*4/3))*0.516))</f>
        <v>8.1522277313577103</v>
      </c>
      <c r="AF5" s="40">
        <f t="shared" ref="AF5" ca="1" si="18">IF(TODAY()-E5&gt;335,((S5+1+(LOG(O5)*4/3))*1),((S5+(((TODAY()-E5)^0.5)/(336^0.5))+(LOG(O5)*4/3))*1))</f>
        <v>15.850884883874437</v>
      </c>
      <c r="AG5" s="40">
        <f ca="1">IF(TODAY()-E5&gt;335,((T5+1+(LOG(O5)*4/3))*0.238),((T5+(((TODAY()-E5)^0.5)/(336^0.238))+(LOG(O5)*4/3))*0.238))</f>
        <v>2.1352630665258152</v>
      </c>
      <c r="AH5" s="40">
        <f ca="1">IF(TODAY()-E5&gt;335,((S5+1+(LOG(O5)*4/3))*0.92),((S5+(((TODAY()-E5)^0.5)/(336^0.5))+(LOG(O5)*4/3))*0.92))</f>
        <v>14.582814093164483</v>
      </c>
      <c r="AI5" s="40">
        <f ca="1">IF(TODAY()-E5&gt;335,((S5+1+(LOG(O5)*4/3))*0.414),((S5+(((TODAY()-E5)^0.5)/(336^0.414))+(LOG(O5)*4/3))*0.414))</f>
        <v>6.7194970730593111</v>
      </c>
      <c r="AJ5" s="40">
        <f ca="1">IF(TODAY()-E5&gt;335,((T5+1+(LOG(O5)*4/3))*0.167),((T5+(((TODAY()-E5)^0.5)/(336^0.5))+(LOG(O5)*4/3))*0.167))</f>
        <v>1.1474377756070309</v>
      </c>
      <c r="AK5" s="203">
        <f ca="1">IF(TODAY()-E5&gt;335,((U5+1+(LOG(O5)*4/3))*0.588),((U5+(((TODAY()-E5)^0.5)/(336^0.5))+(LOG(O5)*4/3))*0.588))</f>
        <v>6.9742003117181683</v>
      </c>
      <c r="AL5" s="40">
        <f ca="1">IF(TODAY()-E5&gt;335,((S5+1+(LOG(O5)*4/3))*0.4),((S5+(((TODAY()-E5)^0.5)/(336^0.5))+(LOG(O5)*4/3))*0.4))</f>
        <v>6.3403539535497755</v>
      </c>
      <c r="AM5" s="40">
        <f ca="1">IF(TODAY()-E5&gt;335,((T5+1+(LOG(O5)*4/3))*1),((T5+(((TODAY()-E5)^0.5)/(336^0.5))+(LOG(O5)*4/3))*1))</f>
        <v>6.8708848838744361</v>
      </c>
      <c r="AN5" s="40">
        <f ca="1">IF(TODAY()-E5&gt;335,((W5+1+(LOG(O5)*4/3))*0.21)+((V5+1+(LOG(O5)*4/3))*0.341),((W5+(((TODAY()-E5)^0.5)/(336^0.5))+(LOG(O5)*4/3))*0.21)+((V5+(((TODAY()-E5)^0.5)/(336^0.5))+(LOG(O5)*4/3))*0.341))</f>
        <v>4.3145775710148149</v>
      </c>
      <c r="AO5" s="40">
        <f ca="1">IF(TODAY()-E5&gt;335,((T5+1+(LOG(O5)*4/3))*0.305),((T5+(((TODAY()-E5)^0.5)/(336^0.5))+(LOG(O5)*4/3))*0.305))</f>
        <v>2.0956198895817031</v>
      </c>
      <c r="AP5" s="40">
        <f ca="1">IF(TODAY()-E5&gt;335,((U5+1+(LOG(O5)*4/3))*1)+((V5+1+(LOG(O5)*4/3))*0.286),((U5+(((TODAY()-E5)^0.5)/(336^0.5))+(LOG(O5)*4/3))*1)+((V5+(((TODAY()-E5)^0.5)/(336^0.5))+(LOG(O5)*4/3))*0.286))</f>
        <v>14.975677960662527</v>
      </c>
      <c r="AQ5" s="40">
        <f ca="1">IF(TODAY()-E5&gt;335,((T5+1+(LOG(O5)*4/3))*0.406),((T5+(((TODAY()-E5)^0.5)/(336^0.5))+(LOG(O5)*4/3))*0.406))</f>
        <v>2.7895792628530214</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4.7940210244985817</v>
      </c>
      <c r="AS5" s="40">
        <f ca="1">IF(Q5="TEC",IF(TODAY()-E5&gt;335,((V5+1+(LOG(O5)*4/3))*0.543)+((W5+1+(LOG(O5)*4/3))*0.583),((V5+(((TODAY()-E5)^0.5)/(336^0.5))+(LOG(O5)*4/3))*0.543)+((W5+(((TODAY()-E5)^0.5)/(336^0.5))+(LOG(O5)*4/3))*0.583)),IF(TODAY()-E5&gt;335,((V5+1+(LOG(O5)*4/3))*0.543)+((W5+1+(LOG(O5)*4/3))*0.583),((V5+(((TODAY()-E5)^0.5)/(336^0.5))+(LOG(O5)*4/3))*0.543)+((W5+(((TODAY()-E5)^0.5)/(336^0.5))+(LOG(O5)*4/3))*0.583)))</f>
        <v>7.5816463792426161</v>
      </c>
    </row>
    <row r="6" spans="1:45" s="98" customFormat="1" x14ac:dyDescent="0.25">
      <c r="A6" s="154" t="str">
        <f>PLANTILLA!D8</f>
        <v>Andrea Califano</v>
      </c>
      <c r="B6" s="73">
        <f t="shared" ref="B6" ca="1" si="19">(N6+F6-J6)/K6</f>
        <v>617145.40206185565</v>
      </c>
      <c r="C6" s="139">
        <v>29</v>
      </c>
      <c r="D6" s="139">
        <v>45</v>
      </c>
      <c r="E6" s="148">
        <v>42869</v>
      </c>
      <c r="F6" s="140">
        <v>2346000</v>
      </c>
      <c r="G6" s="139">
        <f>PLANTILLA!E8</f>
        <v>31</v>
      </c>
      <c r="H6" s="139">
        <f ca="1">PLANTILLA!F8</f>
        <v>15</v>
      </c>
      <c r="I6" s="49">
        <f t="shared" ref="I6" ca="1" si="20">E6+(H6-D6+(G6-C6)*112)</f>
        <v>43063</v>
      </c>
      <c r="J6" s="155">
        <v>1854360</v>
      </c>
      <c r="K6" s="40">
        <f t="shared" ref="K6" ca="1" si="21">(I6-E6)/112</f>
        <v>1.7321428571428572</v>
      </c>
      <c r="L6" s="74">
        <f t="shared" ref="L6" si="22">J6-F6</f>
        <v>-491640</v>
      </c>
      <c r="M6" s="76">
        <f>PLANTILLA!V8</f>
        <v>20832</v>
      </c>
      <c r="N6" s="76">
        <f t="shared" ref="N6" ca="1" si="23">((G6-C6)*M6*16)+(H6-D6)/7*M6</f>
        <v>577344</v>
      </c>
      <c r="O6" s="142">
        <f>PLANTILLA!I8</f>
        <v>8.3000000000000007</v>
      </c>
      <c r="P6" s="142">
        <f>PLANTILLA!H8</f>
        <v>3</v>
      </c>
      <c r="Q6" s="142">
        <f>PLANTILLA!G8</f>
        <v>0</v>
      </c>
      <c r="R6" s="144">
        <f>PLANTILLA!X8</f>
        <v>0</v>
      </c>
      <c r="S6" s="144">
        <f>PLANTILLA!Y8</f>
        <v>14</v>
      </c>
      <c r="T6" s="144">
        <f>PLANTILLA!Z8</f>
        <v>3.02</v>
      </c>
      <c r="U6" s="144">
        <f>PLANTILLA!AA8</f>
        <v>3.01</v>
      </c>
      <c r="V6" s="144">
        <f>PLANTILLA!AB8</f>
        <v>10.01</v>
      </c>
      <c r="W6" s="144">
        <f>PLANTILLA!AC8</f>
        <v>3</v>
      </c>
      <c r="X6" s="144">
        <f>PLANTILLA!AD8</f>
        <v>17.166666666666668</v>
      </c>
      <c r="Y6" s="143">
        <f>PLANTILLA!AE8</f>
        <v>1493</v>
      </c>
      <c r="Z6" s="143">
        <f t="shared" ref="Z6" si="24">O6*P6*P6</f>
        <v>74.7</v>
      </c>
      <c r="AA6" s="9">
        <f t="shared" ref="AA6" si="25">((S6+1)+(V6+1)*2)/8</f>
        <v>4.6274999999999995</v>
      </c>
      <c r="AB6" s="9">
        <f t="shared" ref="AB6" si="26">X6*0.7+W6*0.3</f>
        <v>12.916666666666668</v>
      </c>
      <c r="AC6" s="9">
        <f t="shared" ref="AC6" si="27">(0.5*W6+ 0.3*X6)/10</f>
        <v>0.66500000000000004</v>
      </c>
      <c r="AD6" s="9">
        <f t="shared" ref="AD6" si="28">(0.4*S6+0.3*X6)/10</f>
        <v>1.075</v>
      </c>
      <c r="AE6" s="40">
        <f t="shared" ref="AE6" ca="1" si="29">IF(TODAY()-E6&gt;335,((S6+1+(LOG(O6)*4/3))*0.516),((S6+(((TODAY()-E6)^0.5)/(336^0.516))+(LOG(O6)*4/3))*0.516))</f>
        <v>8.2135652494452369</v>
      </c>
      <c r="AF6" s="40">
        <f t="shared" ref="AF6" ca="1" si="30">IF(TODAY()-E6&gt;335,((S6+1+(LOG(O6)*4/3))*1),((S6+(((TODAY()-E6)^0.5)/(336^0.5))+(LOG(O6)*4/3))*1))</f>
        <v>15.985293332560143</v>
      </c>
      <c r="AG6" s="40">
        <f ca="1">IF(TODAY()-E6&gt;335,((T6+1+(LOG(O6)*4/3))*0.238),((T6+(((TODAY()-E6)^0.5)/(336^0.238))+(LOG(O6)*4/3))*0.238))</f>
        <v>1.8406644773629222</v>
      </c>
      <c r="AH6" s="40">
        <f ca="1">IF(TODAY()-E6&gt;335,((S6+1+(LOG(O6)*4/3))*0.92),((S6+(((TODAY()-E6)^0.5)/(336^0.5))+(LOG(O6)*4/3))*0.92))</f>
        <v>14.706469865955333</v>
      </c>
      <c r="AI6" s="40">
        <f ca="1">IF(TODAY()-E6&gt;335,((S6+1+(LOG(O6)*4/3))*0.414),((S6+(((TODAY()-E6)^0.5)/(336^0.414))+(LOG(O6)*4/3))*0.414))</f>
        <v>6.8221272578678045</v>
      </c>
      <c r="AJ6" s="40">
        <f ca="1">IF(TODAY()-E6&gt;335,((T6+1+(LOG(O6)*4/3))*0.167),((T6+(((TODAY()-E6)^0.5)/(336^0.5))+(LOG(O6)*4/3))*0.167))</f>
        <v>0.83588398653754403</v>
      </c>
      <c r="AK6" s="203">
        <f ca="1">IF(TODAY()-E6&gt;335,((U6+1+(LOG(O6)*4/3))*0.588),((U6+(((TODAY()-E6)^0.5)/(336^0.5))+(LOG(O6)*4/3))*0.588))</f>
        <v>2.9372324795453641</v>
      </c>
      <c r="AL6" s="40">
        <f ca="1">IF(TODAY()-E6&gt;335,((S6+1+(LOG(O6)*4/3))*0.4),((S6+(((TODAY()-E6)^0.5)/(336^0.5))+(LOG(O6)*4/3))*0.4))</f>
        <v>6.3941173330240577</v>
      </c>
      <c r="AM6" s="40">
        <f ca="1">IF(TODAY()-E6&gt;335,((T6+1+(LOG(O6)*4/3))*1),((T6+(((TODAY()-E6)^0.5)/(336^0.5))+(LOG(O6)*4/3))*1))</f>
        <v>5.0052933325601439</v>
      </c>
      <c r="AN6" s="40">
        <f ca="1">IF(TODAY()-E6&gt;335,((W6+1+(LOG(O6)*4/3))*0.21)+((V6+1+(LOG(O6)*4/3))*0.341),((W6+(((TODAY()-E6)^0.5)/(336^0.5))+(LOG(O6)*4/3))*0.21)+((V6+(((TODAY()-E6)^0.5)/(336^0.5))+(LOG(O6)*4/3))*0.341))</f>
        <v>5.1373066262406395</v>
      </c>
      <c r="AO6" s="40">
        <f ca="1">IF(TODAY()-E6&gt;335,((T6+1+(LOG(O6)*4/3))*0.305),((T6+(((TODAY()-E6)^0.5)/(336^0.5))+(LOG(O6)*4/3))*0.305))</f>
        <v>1.5266144664308439</v>
      </c>
      <c r="AP6" s="40">
        <f ca="1">IF(TODAY()-E6&gt;335,((U6+1+(LOG(O6)*4/3))*1)+((V6+1+(LOG(O6)*4/3))*0.286),((U6+(((TODAY()-E6)^0.5)/(336^0.5))+(LOG(O6)*4/3))*1)+((V6+(((TODAY()-E6)^0.5)/(336^0.5))+(LOG(O6)*4/3))*0.286))</f>
        <v>8.4259472256723438</v>
      </c>
      <c r="AQ6" s="40">
        <f ca="1">IF(TODAY()-E6&gt;335,((T6+1+(LOG(O6)*4/3))*0.406),((T6+(((TODAY()-E6)^0.5)/(336^0.5))+(LOG(O6)*4/3))*0.406))</f>
        <v>2.0321490930194184</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4.3512778262638347</v>
      </c>
      <c r="AS6" s="40">
        <f ca="1">IF(Q6="TEC",IF(TODAY()-E6&gt;335,((V6+1+(LOG(O6)*4/3))*0.543)+((W6+1+(LOG(O6)*4/3))*0.583),((V6+(((TODAY()-E6)^0.5)/(336^0.5))+(LOG(O6)*4/3))*0.543)+((W6+(((TODAY()-E6)^0.5)/(336^0.5))+(LOG(O6)*4/3))*0.583)),IF(TODAY()-E6&gt;335,((V6+1+(LOG(O6)*4/3))*0.543)+((W6+1+(LOG(O6)*4/3))*0.583),((V6+(((TODAY()-E6)^0.5)/(336^0.5))+(LOG(O6)*4/3))*0.543)+((W6+(((TODAY()-E6)^0.5)/(336^0.5))+(LOG(O6)*4/3))*0.583)))</f>
        <v>9.419870292462722</v>
      </c>
    </row>
    <row r="7" spans="1:45" s="98" customFormat="1" x14ac:dyDescent="0.25">
      <c r="A7" s="154" t="str">
        <f>PLANTILLA!D9</f>
        <v>Ibiur Altxakoa</v>
      </c>
      <c r="B7" s="73">
        <f t="shared" ca="1" si="0"/>
        <v>505578.06853582565</v>
      </c>
      <c r="C7" s="139">
        <v>29</v>
      </c>
      <c r="D7" s="139">
        <v>82</v>
      </c>
      <c r="E7" s="148">
        <f>PLANTILLA!M9</f>
        <v>42742</v>
      </c>
      <c r="F7" s="140">
        <v>3642000</v>
      </c>
      <c r="G7" s="139">
        <f>PLANTILLA!E9</f>
        <v>32</v>
      </c>
      <c r="H7" s="156">
        <f ca="1">PLANTILLA!F9</f>
        <v>67</v>
      </c>
      <c r="I7" s="49">
        <f t="shared" ca="1" si="1"/>
        <v>43063</v>
      </c>
      <c r="J7" s="155">
        <v>3200000</v>
      </c>
      <c r="K7" s="40">
        <f t="shared" ca="1" si="2"/>
        <v>2.8660714285714284</v>
      </c>
      <c r="L7" s="74">
        <f t="shared" si="3"/>
        <v>-442000</v>
      </c>
      <c r="M7" s="76">
        <f>PLANTILLA!V9</f>
        <v>21960</v>
      </c>
      <c r="N7" s="76">
        <f t="shared" ca="1" si="4"/>
        <v>1007022.8571428572</v>
      </c>
      <c r="O7" s="142">
        <f>PLANTILLA!I9</f>
        <v>10.9</v>
      </c>
      <c r="P7" s="142">
        <f>PLANTILLA!H9</f>
        <v>3</v>
      </c>
      <c r="Q7" s="142" t="str">
        <f>PLANTILLA!G9</f>
        <v>CAB</v>
      </c>
      <c r="R7" s="144">
        <f>PLANTILLA!X9</f>
        <v>0</v>
      </c>
      <c r="S7" s="144">
        <f>PLANTILLA!Y9</f>
        <v>15.028571428571428</v>
      </c>
      <c r="T7" s="144">
        <f>PLANTILLA!Z9</f>
        <v>12</v>
      </c>
      <c r="U7" s="144">
        <f>PLANTILLA!AA9</f>
        <v>2.0099999999999998</v>
      </c>
      <c r="V7" s="144">
        <f>PLANTILLA!AB9</f>
        <v>7.1828571428571424</v>
      </c>
      <c r="W7" s="144">
        <f>PLANTILLA!AC9</f>
        <v>3.99</v>
      </c>
      <c r="X7" s="144">
        <f>PLANTILLA!AD9</f>
        <v>14.599999999999998</v>
      </c>
      <c r="Y7" s="143">
        <f>PLANTILLA!AE9</f>
        <v>1825</v>
      </c>
      <c r="Z7" s="143">
        <f t="shared" si="5"/>
        <v>98.100000000000009</v>
      </c>
      <c r="AA7" s="9">
        <f t="shared" si="6"/>
        <v>4.0492857142857144</v>
      </c>
      <c r="AB7" s="9">
        <f t="shared" si="7"/>
        <v>11.416999999999998</v>
      </c>
      <c r="AC7" s="9">
        <f t="shared" si="8"/>
        <v>0.63749999999999996</v>
      </c>
      <c r="AD7" s="9">
        <f t="shared" si="9"/>
        <v>1.0391428571428569</v>
      </c>
      <c r="AE7" s="40">
        <f t="shared" ca="1" si="10"/>
        <v>8.9280194112996671</v>
      </c>
      <c r="AF7" s="40">
        <f t="shared" ca="1" si="11"/>
        <v>17.389230486544928</v>
      </c>
      <c r="AG7" s="40">
        <f t="shared" ref="AG7:AG16" ca="1" si="31">IF(TODAY()-E7&gt;335,((T7+1+(LOG(O7)*4/3))*0.238),((T7+(((TODAY()-E7)^0.5)/(336^0.238))+(LOG(O7)*4/3))*0.238))</f>
        <v>4.2531841202945637</v>
      </c>
      <c r="AH7" s="40">
        <f t="shared" ref="AH7:AH16" ca="1" si="32">IF(TODAY()-E7&gt;335,((S7+1+(LOG(O7)*4/3))*0.92),((S7+(((TODAY()-E7)^0.5)/(336^0.5))+(LOG(O7)*4/3))*0.92))</f>
        <v>15.998092047621334</v>
      </c>
      <c r="AI7" s="40">
        <f t="shared" ref="AI7:AI16" ca="1" si="33">IF(TODAY()-E7&gt;335,((S7+1+(LOG(O7)*4/3))*0.414),((S7+(((TODAY()-E7)^0.5)/(336^0.414))+(LOG(O7)*4/3))*0.414))</f>
        <v>7.4618299028818118</v>
      </c>
      <c r="AJ7" s="40">
        <f t="shared" ref="AJ7:AJ16" ca="1" si="34">IF(TODAY()-E7&gt;335,((T7+1+(LOG(O7)*4/3))*0.167),((T7+(((TODAY()-E7)^0.5)/(336^0.5))+(LOG(O7)*4/3))*0.167))</f>
        <v>2.3982300626815745</v>
      </c>
      <c r="AK7" s="203">
        <f t="shared" ref="AK7:AK16" ca="1" si="35">IF(TODAY()-E7&gt;335,((U7+1+(LOG(O7)*4/3))*0.588),((U7+(((TODAY()-E7)^0.5)/(336^0.5))+(LOG(O7)*4/3))*0.588))</f>
        <v>2.5699475260884173</v>
      </c>
      <c r="AL7" s="40">
        <f t="shared" ref="AL7:AL16" ca="1" si="36">IF(TODAY()-E7&gt;335,((S7+1+(LOG(O7)*4/3))*0.4),((S7+(((TODAY()-E7)^0.5)/(336^0.5))+(LOG(O7)*4/3))*0.4))</f>
        <v>6.9556921946179715</v>
      </c>
      <c r="AM7" s="40">
        <f t="shared" ref="AM7:AM16" ca="1" si="37">IF(TODAY()-E7&gt;335,((T7+1+(LOG(O7)*4/3))*1),((T7+(((TODAY()-E7)^0.5)/(336^0.5))+(LOG(O7)*4/3))*1))</f>
        <v>14.360659057973498</v>
      </c>
      <c r="AN7" s="40">
        <f t="shared" ref="AN7:AN16" ca="1" si="38">IF(TODAY()-E7&gt;335,((W7+1+(LOG(O7)*4/3))*0.21)+((V7+1+(LOG(O7)*4/3))*0.341),((W7+(((TODAY()-E7)^0.5)/(336^0.5))+(LOG(O7)*4/3))*0.21)+((V7+(((TODAY()-E7)^0.5)/(336^0.5))+(LOG(O7)*4/3))*0.341))</f>
        <v>4.5879774266576838</v>
      </c>
      <c r="AO7" s="40">
        <f t="shared" ref="AO7:AO16" ca="1" si="39">IF(TODAY()-E7&gt;335,((T7+1+(LOG(O7)*4/3))*0.305),((T7+(((TODAY()-E7)^0.5)/(336^0.5))+(LOG(O7)*4/3))*0.305))</f>
        <v>4.3800010126819169</v>
      </c>
      <c r="AP7" s="40">
        <f t="shared" ref="AP7:AP16" ca="1" si="40">IF(TODAY()-E7&gt;335,((U7+1+(LOG(O7)*4/3))*1)+((V7+1+(LOG(O7)*4/3))*0.286),((U7+(((TODAY()-E7)^0.5)/(336^0.5))+(LOG(O7)*4/3))*1)+((V7+(((TODAY()-E7)^0.5)/(336^0.5))+(LOG(O7)*4/3))*0.286))</f>
        <v>7.1001046914110617</v>
      </c>
      <c r="AQ7" s="40">
        <f t="shared" ref="AQ7:AQ16" ca="1" si="41">IF(TODAY()-E7&gt;335,((T7+1+(LOG(O7)*4/3))*0.406),((T7+(((TODAY()-E7)^0.5)/(336^0.5))+(LOG(O7)*4/3))*0.406))</f>
        <v>5.8304275775372405</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3.8217876549184782</v>
      </c>
      <c r="AS7" s="40">
        <f t="shared" ref="AS7:AS16" ca="1" si="43">IF(Q7="TEC",IF(TODAY()-E7&gt;335,((V7+1+(LOG(O7)*4/3))*0.543)+((W7+1+(LOG(O7)*4/3))*0.583),((V7+(((TODAY()-E7)^0.5)/(336^0.5))+(LOG(O7)*4/3))*0.543)+((W7+(((TODAY()-E7)^0.5)/(336^0.5))+(LOG(O7)*4/3))*0.583)),IF(TODAY()-E7&gt;335,((V7+1+(LOG(O7)*4/3))*0.543)+((W7+1+(LOG(O7)*4/3))*0.583),((V7+(((TODAY()-E7)^0.5)/(336^0.5))+(LOG(O7)*4/3))*0.543)+((W7+(((TODAY()-E7)^0.5)/(336^0.5))+(LOG(O7)*4/3))*0.583)))</f>
        <v>8.884563527849588</v>
      </c>
    </row>
    <row r="8" spans="1:45" s="98" customFormat="1" x14ac:dyDescent="0.25">
      <c r="A8" s="154" t="str">
        <f>PLANTILLA!D10</f>
        <v>Jorge W. Whitaker</v>
      </c>
      <c r="B8" s="73">
        <f ca="1">(N8+F8-J8)/K8</f>
        <v>574080.80808080814</v>
      </c>
      <c r="C8" s="139">
        <v>30</v>
      </c>
      <c r="D8" s="139">
        <v>16</v>
      </c>
      <c r="E8" s="148">
        <f>PLANTILLA!M10</f>
        <v>42865</v>
      </c>
      <c r="F8" s="140">
        <v>3250000</v>
      </c>
      <c r="G8" s="139">
        <f>PLANTILLA!E10</f>
        <v>31</v>
      </c>
      <c r="H8" s="139">
        <f ca="1">PLANTILLA!F10</f>
        <v>102</v>
      </c>
      <c r="I8" s="49">
        <f ca="1">E8+(H8-D8+(G8-C8)*112)</f>
        <v>43063</v>
      </c>
      <c r="J8" s="155">
        <v>3160050</v>
      </c>
      <c r="K8" s="40">
        <f ca="1">(I8-E8)/112</f>
        <v>1.7678571428571428</v>
      </c>
      <c r="L8" s="74">
        <f>J8-F8</f>
        <v>-89950</v>
      </c>
      <c r="M8" s="76">
        <f>PLANTILLA!V10</f>
        <v>32700</v>
      </c>
      <c r="N8" s="76">
        <f ca="1">((G8-C8)*M8*16)+(H8-D8)/7*M8</f>
        <v>924942.85714285716</v>
      </c>
      <c r="O8" s="142">
        <f>PLANTILLA!I10</f>
        <v>9.1999999999999993</v>
      </c>
      <c r="P8" s="142">
        <f>PLANTILLA!H10</f>
        <v>2</v>
      </c>
      <c r="Q8" s="142" t="str">
        <f>PLANTILLA!G10</f>
        <v>POT</v>
      </c>
      <c r="R8" s="144">
        <f>PLANTILLA!X10</f>
        <v>0</v>
      </c>
      <c r="S8" s="144">
        <f>PLANTILLA!Y10</f>
        <v>12</v>
      </c>
      <c r="T8" s="144">
        <f>PLANTILLA!Z10</f>
        <v>15.04</v>
      </c>
      <c r="U8" s="144">
        <f>PLANTILLA!AA10</f>
        <v>2.0099999999999998</v>
      </c>
      <c r="V8" s="144">
        <f>PLANTILLA!AB10</f>
        <v>8.3488888888888884</v>
      </c>
      <c r="W8" s="144">
        <f>PLANTILLA!AC10</f>
        <v>2.1666666666666665</v>
      </c>
      <c r="X8" s="144">
        <f>PLANTILLA!AD10</f>
        <v>8.4488888888888898</v>
      </c>
      <c r="Y8" s="143">
        <f>PLANTILLA!AE10</f>
        <v>1700</v>
      </c>
      <c r="Z8" s="143">
        <f>O8*P8*P8</f>
        <v>36.799999999999997</v>
      </c>
      <c r="AA8" s="9">
        <f>((S8+1)+(V8+1)*2)/8</f>
        <v>3.9622222222222221</v>
      </c>
      <c r="AB8" s="9">
        <f>X8*0.7+W8*0.3</f>
        <v>6.564222222222222</v>
      </c>
      <c r="AC8" s="9">
        <f>(0.5*W8+ 0.3*X8)/10</f>
        <v>0.36180000000000001</v>
      </c>
      <c r="AD8" s="9">
        <f>(0.4*S8+0.3*X8)/10</f>
        <v>0.73346666666666671</v>
      </c>
      <c r="AE8" s="40">
        <f ca="1">IF(TODAY()-E8&gt;335,((S8+1+(LOG(O8)*4/3))*0.516),((S8+(((TODAY()-E8)^0.5)/(336^0.516))+(LOG(O8)*4/3))*0.516))</f>
        <v>7.2159896380714672</v>
      </c>
      <c r="AF8" s="40">
        <f ca="1">IF(TODAY()-E8&gt;335,((S8+1+(LOG(O8)*4/3))*1),((S8+(((TODAY()-E8)^0.5)/(336^0.5))+(LOG(O8)*4/3))*1))</f>
        <v>14.052699910039479</v>
      </c>
      <c r="AG8" s="40">
        <f ca="1">IF(TODAY()-E8&gt;335,((T8+1+(LOG(O8)*4/3))*0.238),((T8+(((TODAY()-E8)^0.5)/(336^0.238))+(LOG(O8)*4/3))*0.238))</f>
        <v>4.7241279777396876</v>
      </c>
      <c r="AH8" s="40">
        <f ca="1">IF(TODAY()-E8&gt;335,((S8+1+(LOG(O8)*4/3))*0.92),((S8+(((TODAY()-E8)^0.5)/(336^0.5))+(LOG(O8)*4/3))*0.92))</f>
        <v>12.928483917236321</v>
      </c>
      <c r="AI8" s="40">
        <f ca="1">IF(TODAY()-E8&gt;335,((S8+1+(LOG(O8)*4/3))*0.414),((S8+(((TODAY()-E8)^0.5)/(336^0.414))+(LOG(O8)*4/3))*0.414))</f>
        <v>6.0241281569609981</v>
      </c>
      <c r="AJ8" s="40">
        <f ca="1">IF(TODAY()-E8&gt;335,((T8+1+(LOG(O8)*4/3))*0.167),((T8+(((TODAY()-E8)^0.5)/(336^0.5))+(LOG(O8)*4/3))*0.167))</f>
        <v>2.854480884976593</v>
      </c>
      <c r="AK8" s="203">
        <f ca="1">IF(TODAY()-E8&gt;335,((U8+1+(LOG(O8)*4/3))*0.588),((U8+(((TODAY()-E8)^0.5)/(336^0.5))+(LOG(O8)*4/3))*0.588))</f>
        <v>2.3888675471032133</v>
      </c>
      <c r="AL8" s="40">
        <f ca="1">IF(TODAY()-E8&gt;335,((S8+1+(LOG(O8)*4/3))*0.4),((S8+(((TODAY()-E8)^0.5)/(336^0.5))+(LOG(O8)*4/3))*0.4))</f>
        <v>5.6210799640157916</v>
      </c>
      <c r="AM8" s="40">
        <f ca="1">IF(TODAY()-E8&gt;335,((T8+1+(LOG(O8)*4/3))*1),((T8+(((TODAY()-E8)^0.5)/(336^0.5))+(LOG(O8)*4/3))*1))</f>
        <v>17.092699910039478</v>
      </c>
      <c r="AN8" s="40">
        <f ca="1">IF(TODAY()-E8&gt;335,((W8+1+(LOG(O8)*4/3))*0.21)+((V8+1+(LOG(O8)*4/3))*0.341),((W8+(((TODAY()-E8)^0.5)/(336^0.5))+(LOG(O8)*4/3))*0.21)+((V8+(((TODAY()-E8)^0.5)/(336^0.5))+(LOG(O8)*4/3))*0.341))</f>
        <v>4.4330087615428635</v>
      </c>
      <c r="AO8" s="40">
        <f ca="1">IF(TODAY()-E8&gt;335,((T8+1+(LOG(O8)*4/3))*0.305),((T8+(((TODAY()-E8)^0.5)/(336^0.5))+(LOG(O8)*4/3))*0.305))</f>
        <v>5.2132734725620411</v>
      </c>
      <c r="AP8" s="40">
        <f ca="1">IF(TODAY()-E8&gt;335,((U8+1+(LOG(O8)*4/3))*1)+((V8+1+(LOG(O8)*4/3))*0.286),((U8+(((TODAY()-E8)^0.5)/(336^0.5))+(LOG(O8)*4/3))*1)+((V8+(((TODAY()-E8)^0.5)/(336^0.5))+(LOG(O8)*4/3))*0.286))</f>
        <v>7.0375543065329911</v>
      </c>
      <c r="AQ8" s="40">
        <f ca="1">IF(TODAY()-E8&gt;335,((T8+1+(LOG(O8)*4/3))*0.406),((T8+(((TODAY()-E8)^0.5)/(336^0.5))+(LOG(O8)*4/3))*0.406))</f>
        <v>6.9396361634760284</v>
      </c>
      <c r="AR8" s="40">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3.7212855420194568</v>
      </c>
      <c r="AS8" s="40">
        <f ca="1">IF(Q8="TEC",IF(TODAY()-E8&gt;335,((V8+1+(LOG(O8)*4/3))*0.543)+((W8+1+(LOG(O8)*4/3))*0.583),((V8+(((TODAY()-E8)^0.5)/(336^0.5))+(LOG(O8)*4/3))*0.543)+((W8+(((TODAY()-E8)^0.5)/(336^0.5))+(LOG(O8)*4/3))*0.583)),IF(TODAY()-E8&gt;335,((V8+1+(LOG(O8)*4/3))*0.543)+((W8+1+(LOG(O8)*4/3))*0.583),((V8+(((TODAY()-E8)^0.5)/(336^0.5))+(LOG(O8)*4/3))*0.543)+((W8+(((TODAY()-E8)^0.5)/(336^0.5))+(LOG(O8)*4/3))*0.583)))</f>
        <v>8.1079534320377853</v>
      </c>
    </row>
    <row r="9" spans="1:45" s="98" customFormat="1" x14ac:dyDescent="0.25">
      <c r="A9" s="154" t="str">
        <f>PLANTILLA!D11</f>
        <v>Emilio Mochelato</v>
      </c>
      <c r="B9" s="73">
        <f t="shared" ca="1" si="0"/>
        <v>530628.92307692312</v>
      </c>
      <c r="C9" s="139">
        <v>29</v>
      </c>
      <c r="D9" s="139">
        <v>30</v>
      </c>
      <c r="E9" s="148">
        <f>PLANTILLA!M11</f>
        <v>42738</v>
      </c>
      <c r="F9" s="140">
        <v>2168000</v>
      </c>
      <c r="G9" s="139">
        <f>PLANTILLA!E11</f>
        <v>32</v>
      </c>
      <c r="H9" s="156">
        <f ca="1">PLANTILLA!F11</f>
        <v>19</v>
      </c>
      <c r="I9" s="49">
        <f t="shared" ca="1" si="1"/>
        <v>43063</v>
      </c>
      <c r="J9" s="155">
        <v>1640000</v>
      </c>
      <c r="K9" s="40">
        <f t="shared" ca="1" si="2"/>
        <v>2.9017857142857144</v>
      </c>
      <c r="L9" s="74">
        <f t="shared" si="3"/>
        <v>-528000</v>
      </c>
      <c r="M9" s="76">
        <f>PLANTILLA!V11</f>
        <v>21792</v>
      </c>
      <c r="N9" s="76">
        <f t="shared" ca="1" si="4"/>
        <v>1011771.4285714285</v>
      </c>
      <c r="O9" s="142">
        <f>PLANTILLA!I11</f>
        <v>10.5</v>
      </c>
      <c r="P9" s="142">
        <f>PLANTILLA!H11</f>
        <v>1</v>
      </c>
      <c r="Q9" s="142" t="str">
        <f>PLANTILLA!G11</f>
        <v>RAP</v>
      </c>
      <c r="R9" s="144">
        <f>PLANTILLA!X11</f>
        <v>0</v>
      </c>
      <c r="S9" s="144">
        <f>PLANTILLA!Y11</f>
        <v>5.0196078431372548</v>
      </c>
      <c r="T9" s="144">
        <f>PLANTILLA!Z11</f>
        <v>14.210000000000003</v>
      </c>
      <c r="U9" s="144">
        <f>PLANTILLA!AA11</f>
        <v>5</v>
      </c>
      <c r="V9" s="144">
        <f>PLANTILLA!AB11</f>
        <v>12.487301587301586</v>
      </c>
      <c r="W9" s="144">
        <f>PLANTILLA!AC11</f>
        <v>3.41</v>
      </c>
      <c r="X9" s="144">
        <f>PLANTILLA!AD11</f>
        <v>15.499999999999998</v>
      </c>
      <c r="Y9" s="143">
        <f>PLANTILLA!AE11</f>
        <v>1571</v>
      </c>
      <c r="Z9" s="143">
        <f t="shared" si="5"/>
        <v>10.5</v>
      </c>
      <c r="AA9" s="9">
        <f t="shared" si="6"/>
        <v>4.1242763772175532</v>
      </c>
      <c r="AB9" s="9">
        <f t="shared" si="7"/>
        <v>11.872999999999998</v>
      </c>
      <c r="AC9" s="9">
        <f t="shared" si="8"/>
        <v>0.63549999999999995</v>
      </c>
      <c r="AD9" s="9">
        <f t="shared" si="9"/>
        <v>0.66578431372549018</v>
      </c>
      <c r="AE9" s="40">
        <f t="shared" ca="1" si="10"/>
        <v>3.7550772415723128</v>
      </c>
      <c r="AF9" s="40">
        <f t="shared" ca="1" si="11"/>
        <v>7.3646883158173093</v>
      </c>
      <c r="AG9" s="40">
        <f t="shared" ca="1" si="31"/>
        <v>4.7806449592082219</v>
      </c>
      <c r="AH9" s="40">
        <f t="shared" ca="1" si="32"/>
        <v>6.7755132505519251</v>
      </c>
      <c r="AI9" s="40">
        <f t="shared" ca="1" si="33"/>
        <v>3.3133010653633468</v>
      </c>
      <c r="AJ9" s="40">
        <f t="shared" ca="1" si="34"/>
        <v>2.7646984389375695</v>
      </c>
      <c r="AK9" s="203">
        <f t="shared" ca="1" si="35"/>
        <v>4.3189073179358717</v>
      </c>
      <c r="AL9" s="40">
        <f t="shared" ca="1" si="36"/>
        <v>2.9458753263269237</v>
      </c>
      <c r="AM9" s="40">
        <f t="shared" ca="1" si="37"/>
        <v>16.555080472680057</v>
      </c>
      <c r="AN9" s="40">
        <f t="shared" ca="1" si="38"/>
        <v>6.2664091817165506</v>
      </c>
      <c r="AO9" s="40">
        <f t="shared" ca="1" si="39"/>
        <v>5.0492995441674173</v>
      </c>
      <c r="AP9" s="40">
        <f t="shared" ca="1" si="40"/>
        <v>11.587141741834802</v>
      </c>
      <c r="AQ9" s="40">
        <f t="shared" ca="1" si="41"/>
        <v>6.7213626719081034</v>
      </c>
      <c r="AR9" s="40">
        <f t="shared" ca="1" si="42"/>
        <v>5.4966823230917043</v>
      </c>
      <c r="AS9" s="40">
        <f t="shared" ca="1" si="43"/>
        <v>11.409195374142502</v>
      </c>
    </row>
    <row r="10" spans="1:45" s="98" customFormat="1" x14ac:dyDescent="0.25">
      <c r="A10" s="154" t="str">
        <f>PLANTILLA!D12</f>
        <v>Cezary Pauch</v>
      </c>
      <c r="B10" s="73">
        <f t="shared" ca="1" si="0"/>
        <v>-19568.000000000171</v>
      </c>
      <c r="C10" s="139">
        <v>29</v>
      </c>
      <c r="D10" s="139">
        <v>24</v>
      </c>
      <c r="E10" s="148">
        <v>42975</v>
      </c>
      <c r="F10" s="140">
        <v>3850000</v>
      </c>
      <c r="G10" s="139">
        <f>PLANTILLA!E12</f>
        <v>30</v>
      </c>
      <c r="H10" s="156">
        <f ca="1">PLANTILLA!F12</f>
        <v>0</v>
      </c>
      <c r="I10" s="49">
        <f t="shared" ca="1" si="1"/>
        <v>43063</v>
      </c>
      <c r="J10" s="155">
        <v>4125000</v>
      </c>
      <c r="K10" s="40">
        <f t="shared" ca="1" si="2"/>
        <v>0.7857142857142857</v>
      </c>
      <c r="L10" s="74">
        <f t="shared" si="3"/>
        <v>275000</v>
      </c>
      <c r="M10" s="76">
        <f>PLANTILLA!V12</f>
        <v>20652</v>
      </c>
      <c r="N10" s="76">
        <f t="shared" ca="1" si="4"/>
        <v>259625.14285714284</v>
      </c>
      <c r="O10" s="142">
        <f>PLANTILLA!I12</f>
        <v>6.1</v>
      </c>
      <c r="P10" s="142">
        <f>PLANTILLA!H12</f>
        <v>2</v>
      </c>
      <c r="Q10" s="142" t="str">
        <f>PLANTILLA!G12</f>
        <v>RAP</v>
      </c>
      <c r="R10" s="144">
        <f>PLANTILLA!X12</f>
        <v>0</v>
      </c>
      <c r="S10" s="144">
        <f>PLANTILLA!Y12</f>
        <v>2</v>
      </c>
      <c r="T10" s="144">
        <f>PLANTILLA!Z12</f>
        <v>13.022727272727273</v>
      </c>
      <c r="U10" s="144">
        <f>PLANTILLA!AA12</f>
        <v>14.00679012345679</v>
      </c>
      <c r="V10" s="144">
        <f>PLANTILLA!AB12</f>
        <v>6.9986111111111118</v>
      </c>
      <c r="W10" s="144">
        <f>PLANTILLA!AC12</f>
        <v>5.01</v>
      </c>
      <c r="X10" s="144">
        <f>PLANTILLA!AD12</f>
        <v>1</v>
      </c>
      <c r="Y10" s="143">
        <f>PLANTILLA!AE12</f>
        <v>1397</v>
      </c>
      <c r="Z10" s="143">
        <f t="shared" si="5"/>
        <v>24.4</v>
      </c>
      <c r="AA10" s="9">
        <f t="shared" si="6"/>
        <v>2.3746527777777779</v>
      </c>
      <c r="AB10" s="9">
        <f t="shared" si="7"/>
        <v>2.2029999999999998</v>
      </c>
      <c r="AC10" s="9">
        <f t="shared" si="8"/>
        <v>0.28049999999999997</v>
      </c>
      <c r="AD10" s="9">
        <f t="shared" si="9"/>
        <v>0.11000000000000001</v>
      </c>
      <c r="AE10" s="40">
        <f t="shared" ca="1" si="10"/>
        <v>1.8129093350592247</v>
      </c>
      <c r="AF10" s="40">
        <f t="shared" ca="1" si="11"/>
        <v>3.5588727624001817</v>
      </c>
      <c r="AG10" s="40">
        <f t="shared" ca="1" si="31"/>
        <v>3.907797741127196</v>
      </c>
      <c r="AH10" s="40">
        <f t="shared" ca="1" si="32"/>
        <v>3.2741629414081674</v>
      </c>
      <c r="AI10" s="40">
        <f t="shared" ca="1" si="33"/>
        <v>1.6109135864367783</v>
      </c>
      <c r="AJ10" s="40">
        <f t="shared" ca="1" si="34"/>
        <v>2.4351272058662849</v>
      </c>
      <c r="AK10" s="203">
        <f t="shared" ca="1" si="35"/>
        <v>9.1526097768838994</v>
      </c>
      <c r="AL10" s="40">
        <f t="shared" ca="1" si="36"/>
        <v>1.4235491049600728</v>
      </c>
      <c r="AM10" s="40">
        <f t="shared" ca="1" si="37"/>
        <v>14.581600035127455</v>
      </c>
      <c r="AN10" s="40">
        <f t="shared" ca="1" si="38"/>
        <v>4.2975652809713889</v>
      </c>
      <c r="AO10" s="40">
        <f t="shared" ca="1" si="39"/>
        <v>4.4473880107138735</v>
      </c>
      <c r="AP10" s="40">
        <f t="shared" ca="1" si="40"/>
        <v>18.0131032736812</v>
      </c>
      <c r="AQ10" s="40">
        <f t="shared" ca="1" si="41"/>
        <v>5.9201296142617466</v>
      </c>
      <c r="AR10" s="40">
        <f t="shared" ca="1" si="42"/>
        <v>5.2150732647660503</v>
      </c>
      <c r="AS10" s="40">
        <f t="shared" ca="1" si="43"/>
        <v>8.4763665637959384</v>
      </c>
    </row>
    <row r="11" spans="1:45" s="98" customFormat="1" x14ac:dyDescent="0.25">
      <c r="A11" s="154" t="str">
        <f>PLANTILLA!D13</f>
        <v>Iyad Chaabo</v>
      </c>
      <c r="B11" s="73">
        <f t="shared" ca="1" si="0"/>
        <v>-143783.20418848156</v>
      </c>
      <c r="C11" s="139">
        <v>30</v>
      </c>
      <c r="D11" s="139">
        <v>4</v>
      </c>
      <c r="E11" s="148">
        <f>PLANTILLA!M13</f>
        <v>42872</v>
      </c>
      <c r="F11" s="140">
        <v>2410000</v>
      </c>
      <c r="G11" s="139">
        <f>PLANTILLA!E13</f>
        <v>31</v>
      </c>
      <c r="H11" s="156">
        <f ca="1">PLANTILLA!F13</f>
        <v>83</v>
      </c>
      <c r="I11" s="49">
        <f t="shared" ca="1" si="1"/>
        <v>43063</v>
      </c>
      <c r="J11" s="155">
        <v>3110000</v>
      </c>
      <c r="K11" s="40">
        <f t="shared" ca="1" si="2"/>
        <v>1.7053571428571428</v>
      </c>
      <c r="L11" s="74">
        <f t="shared" si="3"/>
        <v>700000</v>
      </c>
      <c r="M11" s="76">
        <f>PLANTILLA!V13</f>
        <v>16668</v>
      </c>
      <c r="N11" s="76">
        <f t="shared" ca="1" si="4"/>
        <v>454798.28571428574</v>
      </c>
      <c r="O11" s="142">
        <f>PLANTILLA!I13</f>
        <v>8.6999999999999993</v>
      </c>
      <c r="P11" s="142">
        <f>PLANTILLA!H13</f>
        <v>2</v>
      </c>
      <c r="Q11" s="142">
        <f>PLANTILLA!G13</f>
        <v>0</v>
      </c>
      <c r="R11" s="144">
        <f>PLANTILLA!X13</f>
        <v>0</v>
      </c>
      <c r="S11" s="144">
        <f>PLANTILLA!Y13</f>
        <v>4</v>
      </c>
      <c r="T11" s="144">
        <f>PLANTILLA!Z13</f>
        <v>12.022727272727273</v>
      </c>
      <c r="U11" s="144">
        <f>PLANTILLA!AA13</f>
        <v>14.066666666666666</v>
      </c>
      <c r="V11" s="144">
        <f>PLANTILLA!AB13</f>
        <v>8.5999999999999979</v>
      </c>
      <c r="W11" s="144">
        <f>PLANTILLA!AC13</f>
        <v>3.01</v>
      </c>
      <c r="X11" s="144">
        <f>PLANTILLA!AD13</f>
        <v>6</v>
      </c>
      <c r="Y11" s="143">
        <f>PLANTILLA!AE13</f>
        <v>1371</v>
      </c>
      <c r="Z11" s="143">
        <f t="shared" si="5"/>
        <v>34.799999999999997</v>
      </c>
      <c r="AA11" s="9">
        <f t="shared" si="6"/>
        <v>3.0249999999999995</v>
      </c>
      <c r="AB11" s="9">
        <f t="shared" si="7"/>
        <v>5.1029999999999989</v>
      </c>
      <c r="AC11" s="9">
        <f t="shared" si="8"/>
        <v>0.33049999999999996</v>
      </c>
      <c r="AD11" s="9">
        <f t="shared" si="9"/>
        <v>0.33999999999999997</v>
      </c>
      <c r="AE11" s="40">
        <f t="shared" ca="1" si="10"/>
        <v>3.0648558446097995</v>
      </c>
      <c r="AF11" s="40">
        <f t="shared" ca="1" si="11"/>
        <v>6.0066501479471581</v>
      </c>
      <c r="AG11" s="40">
        <f t="shared" ca="1" si="31"/>
        <v>3.9833557569527014</v>
      </c>
      <c r="AH11" s="40">
        <f t="shared" ca="1" si="32"/>
        <v>5.5261181361113856</v>
      </c>
      <c r="AI11" s="40">
        <f t="shared" ca="1" si="33"/>
        <v>2.6893838391572742</v>
      </c>
      <c r="AJ11" s="40">
        <f t="shared" ca="1" si="34"/>
        <v>2.3429060292526303</v>
      </c>
      <c r="AK11" s="203">
        <f t="shared" ca="1" si="35"/>
        <v>9.4511102869929289</v>
      </c>
      <c r="AL11" s="40">
        <f t="shared" ca="1" si="36"/>
        <v>2.4026600591788636</v>
      </c>
      <c r="AM11" s="40">
        <f t="shared" ca="1" si="37"/>
        <v>14.029377420674432</v>
      </c>
      <c r="AN11" s="40">
        <f t="shared" ca="1" si="38"/>
        <v>4.6703642315188842</v>
      </c>
      <c r="AO11" s="40">
        <f t="shared" ca="1" si="39"/>
        <v>4.2789601133057014</v>
      </c>
      <c r="AP11" s="40">
        <f t="shared" ca="1" si="40"/>
        <v>19.106818756926714</v>
      </c>
      <c r="AQ11" s="40">
        <f t="shared" ca="1" si="41"/>
        <v>5.69592723279382</v>
      </c>
      <c r="AR11" s="40">
        <f t="shared" ca="1" si="42"/>
        <v>5.603334727080469</v>
      </c>
      <c r="AS11" s="40">
        <f t="shared" ca="1" si="43"/>
        <v>8.6841180665884998</v>
      </c>
    </row>
    <row r="12" spans="1:45" s="98" customFormat="1" x14ac:dyDescent="0.25">
      <c r="A12" s="154" t="str">
        <f>PLANTILLA!D14</f>
        <v>Morgan Thomas</v>
      </c>
      <c r="B12" s="73">
        <f t="shared" ref="B12" ca="1" si="44">(N12+F12-J12)/K12</f>
        <v>299219.32763532765</v>
      </c>
      <c r="C12" s="139">
        <v>29</v>
      </c>
      <c r="D12" s="139">
        <v>93</v>
      </c>
      <c r="E12" s="148">
        <f>PLANTILLA!M14</f>
        <v>42712</v>
      </c>
      <c r="F12" s="140">
        <v>3049000</v>
      </c>
      <c r="G12" s="139">
        <f>PLANTILLA!E14</f>
        <v>32</v>
      </c>
      <c r="H12" s="156">
        <f ca="1">PLANTILLA!F14</f>
        <v>108</v>
      </c>
      <c r="I12" s="49">
        <f t="shared" ref="I12" ca="1" si="45">E12+(H12-D12+(G12-C12)*112)</f>
        <v>43063</v>
      </c>
      <c r="J12" s="155">
        <v>3000000</v>
      </c>
      <c r="K12" s="40">
        <f t="shared" ref="K12" ca="1" si="46">(I12-E12)/112</f>
        <v>3.1339285714285716</v>
      </c>
      <c r="L12" s="74">
        <f t="shared" ref="L12" si="47">J12-F12</f>
        <v>-49000</v>
      </c>
      <c r="M12" s="76">
        <f>PLANTILLA!V14</f>
        <v>17724</v>
      </c>
      <c r="N12" s="76">
        <f t="shared" ref="N12" ca="1" si="48">((G12-C12)*M12*16)+(H12-D12)/7*M12</f>
        <v>888732</v>
      </c>
      <c r="O12" s="142">
        <f>PLANTILLA!I14</f>
        <v>10.199999999999999</v>
      </c>
      <c r="P12" s="142">
        <f>PLANTILLA!H14</f>
        <v>1</v>
      </c>
      <c r="Q12" s="142" t="str">
        <f>PLANTILLA!G14</f>
        <v>CAB</v>
      </c>
      <c r="R12" s="144">
        <f>PLANTILLA!X14</f>
        <v>0</v>
      </c>
      <c r="S12" s="144">
        <f>PLANTILLA!Y14</f>
        <v>1.037037037037037</v>
      </c>
      <c r="T12" s="144">
        <f>PLANTILLA!Z14</f>
        <v>13.230909090909091</v>
      </c>
      <c r="U12" s="144">
        <f>PLANTILLA!AA14</f>
        <v>14.058518518518518</v>
      </c>
      <c r="V12" s="144">
        <f>PLANTILLA!AB14</f>
        <v>10.936666666666666</v>
      </c>
      <c r="W12" s="144">
        <f>PLANTILLA!AC14</f>
        <v>2.95</v>
      </c>
      <c r="X12" s="144">
        <f>PLANTILLA!AD14</f>
        <v>10.333333333333334</v>
      </c>
      <c r="Y12" s="143">
        <f>PLANTILLA!AE14</f>
        <v>1501</v>
      </c>
      <c r="Z12" s="143">
        <f t="shared" ref="Z12" si="49">O12*P12*P12</f>
        <v>10.199999999999999</v>
      </c>
      <c r="AA12" s="9">
        <f t="shared" ref="AA12" si="50">((S12+1)+(V12+1)*2)/8</f>
        <v>3.2387962962962962</v>
      </c>
      <c r="AB12" s="9">
        <f t="shared" ref="AB12" si="51">X12*0.7+W12*0.3</f>
        <v>8.1183333333333341</v>
      </c>
      <c r="AC12" s="9">
        <f t="shared" ref="AC12" si="52">(0.5*W12+ 0.3*X12)/10</f>
        <v>0.45750000000000002</v>
      </c>
      <c r="AD12" s="9">
        <f t="shared" ref="AD12" si="53">(0.4*S12+0.3*X12)/10</f>
        <v>0.35148148148148151</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5.6408882595210885</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3.9086709193172786</v>
      </c>
      <c r="AS12" s="40">
        <f t="shared" ref="AS12" ca="1" si="68">IF(Q12="TEC",IF(TODAY()-E12&gt;335,((V12+1+(LOG(O12)*4/3))*0.543)+((W12+1+(LOG(O12)*4/3))*0.583),((V12+(((TODAY()-E12)^0.5)/(336^0.5))+(LOG(O12)*4/3))*0.543)+((W12+(((TODAY()-E12)^0.5)/(336^0.5))+(LOG(O12)*4/3))*0.583)),IF(TODAY()-E12&gt;335,((V12+1+(LOG(O12)*4/3))*0.543)+((W12+1+(LOG(O12)*4/3))*0.583),((V12+(((TODAY()-E12)^0.5)/(336^0.5))+(LOG(O12)*4/3))*0.543)+((W12+(((TODAY()-E12)^0.5)/(336^0.5))+(LOG(O12)*4/3))*0.583)))</f>
        <v>10.298705057871892</v>
      </c>
    </row>
    <row r="13" spans="1:45" s="98" customFormat="1" x14ac:dyDescent="0.25">
      <c r="A13" s="154" t="str">
        <f>PLANTILLA!D15</f>
        <v>Gianfranco Rezza</v>
      </c>
      <c r="B13" s="73">
        <f t="shared" ca="1" si="0"/>
        <v>2110.6257668711887</v>
      </c>
      <c r="C13" s="139">
        <v>24</v>
      </c>
      <c r="D13" s="139">
        <v>30</v>
      </c>
      <c r="E13" s="148">
        <f>PLANTILLA!M15</f>
        <v>42411</v>
      </c>
      <c r="F13" s="140">
        <v>2399000</v>
      </c>
      <c r="G13" s="139">
        <f>PLANTILLA!E15</f>
        <v>30</v>
      </c>
      <c r="H13" s="156">
        <f ca="1">PLANTILLA!F15</f>
        <v>10</v>
      </c>
      <c r="I13" s="49">
        <f t="shared" ca="1" si="1"/>
        <v>43063</v>
      </c>
      <c r="J13" s="155">
        <v>5200000</v>
      </c>
      <c r="K13" s="40">
        <f t="shared" ca="1" si="2"/>
        <v>5.8214285714285712</v>
      </c>
      <c r="L13" s="74">
        <f t="shared" si="3"/>
        <v>2801000</v>
      </c>
      <c r="M13" s="76">
        <f>PLANTILLA!V15</f>
        <v>30204</v>
      </c>
      <c r="N13" s="76">
        <f t="shared" ca="1" si="4"/>
        <v>2813286.8571428573</v>
      </c>
      <c r="O13" s="142">
        <f>PLANTILLA!I15</f>
        <v>9.3000000000000007</v>
      </c>
      <c r="P13" s="142">
        <f>PLANTILLA!H15</f>
        <v>4</v>
      </c>
      <c r="Q13" s="142" t="str">
        <f>PLANTILLA!G15</f>
        <v>CAB</v>
      </c>
      <c r="R13" s="144">
        <f>PLANTILLA!X15</f>
        <v>0</v>
      </c>
      <c r="S13" s="144">
        <f>PLANTILLA!Y15</f>
        <v>2</v>
      </c>
      <c r="T13" s="144">
        <f>PLANTILLA!Z15</f>
        <v>14.066666666666666</v>
      </c>
      <c r="U13" s="144">
        <f>PLANTILLA!AA15</f>
        <v>2.125</v>
      </c>
      <c r="V13" s="144">
        <f>PLANTILLA!AB15</f>
        <v>14.460000000000004</v>
      </c>
      <c r="W13" s="144">
        <f>PLANTILLA!AC15</f>
        <v>8.1057777777777762</v>
      </c>
      <c r="X13" s="144">
        <f>PLANTILLA!AD15</f>
        <v>14.25</v>
      </c>
      <c r="Y13" s="143">
        <f>PLANTILLA!AE15</f>
        <v>1756</v>
      </c>
      <c r="Z13" s="143">
        <f t="shared" si="5"/>
        <v>148.80000000000001</v>
      </c>
      <c r="AA13" s="9">
        <f t="shared" si="6"/>
        <v>4.2400000000000011</v>
      </c>
      <c r="AB13" s="9">
        <f t="shared" si="7"/>
        <v>12.406733333333332</v>
      </c>
      <c r="AC13" s="9">
        <f t="shared" si="8"/>
        <v>0.8327888888888888</v>
      </c>
      <c r="AD13" s="9">
        <f t="shared" si="9"/>
        <v>0.50749999999999995</v>
      </c>
      <c r="AE13" s="40">
        <f t="shared" ca="1" si="10"/>
        <v>2.2143162686051072</v>
      </c>
      <c r="AF13" s="40">
        <f t="shared" ca="1" si="11"/>
        <v>4.2913105980719131</v>
      </c>
      <c r="AG13" s="40">
        <f t="shared" ca="1" si="31"/>
        <v>3.8931985890077816</v>
      </c>
      <c r="AH13" s="40">
        <f t="shared" ca="1" si="32"/>
        <v>3.9480057502261601</v>
      </c>
      <c r="AI13" s="40">
        <f t="shared" ca="1" si="33"/>
        <v>1.7766025876017719</v>
      </c>
      <c r="AJ13" s="40">
        <f t="shared" ca="1" si="34"/>
        <v>2.7317822032113428</v>
      </c>
      <c r="AK13" s="203">
        <f t="shared" ca="1" si="35"/>
        <v>2.5967906316662845</v>
      </c>
      <c r="AL13" s="40">
        <f t="shared" ca="1" si="36"/>
        <v>1.7165242392287654</v>
      </c>
      <c r="AM13" s="40">
        <f t="shared" ca="1" si="37"/>
        <v>16.357977264738579</v>
      </c>
      <c r="AN13" s="40">
        <f t="shared" ca="1" si="38"/>
        <v>7.8955854728709589</v>
      </c>
      <c r="AO13" s="40">
        <f t="shared" ca="1" si="39"/>
        <v>4.9891830657452667</v>
      </c>
      <c r="AP13" s="40">
        <f t="shared" ca="1" si="40"/>
        <v>9.2071854291204822</v>
      </c>
      <c r="AQ13" s="40">
        <f t="shared" ca="1" si="41"/>
        <v>6.6413387694838635</v>
      </c>
      <c r="AR13" s="40">
        <f t="shared" ca="1" si="42"/>
        <v>6.3318910438176887</v>
      </c>
      <c r="AS13" s="40">
        <f t="shared" ca="1" si="43"/>
        <v>15.157464177873422</v>
      </c>
    </row>
    <row r="14" spans="1:45" s="98" customFormat="1" x14ac:dyDescent="0.25">
      <c r="A14" s="154" t="str">
        <f>PLANTILLA!D16</f>
        <v>Saul Piña</v>
      </c>
      <c r="B14" s="73">
        <f t="shared" ca="1" si="0"/>
        <v>149993.52480417746</v>
      </c>
      <c r="C14" s="139">
        <v>22</v>
      </c>
      <c r="D14" s="139">
        <v>91</v>
      </c>
      <c r="E14" s="148">
        <f>PLANTILLA!M16</f>
        <v>42297</v>
      </c>
      <c r="F14" s="140">
        <v>2862000</v>
      </c>
      <c r="G14" s="139">
        <f>PLANTILLA!E16</f>
        <v>29</v>
      </c>
      <c r="H14" s="156">
        <f ca="1">PLANTILLA!F16</f>
        <v>73</v>
      </c>
      <c r="I14" s="49">
        <f t="shared" ca="1" si="1"/>
        <v>43063</v>
      </c>
      <c r="J14" s="155">
        <v>4910000</v>
      </c>
      <c r="K14" s="40">
        <f t="shared" ca="1" si="2"/>
        <v>6.8392857142857144</v>
      </c>
      <c r="L14" s="74">
        <f t="shared" si="3"/>
        <v>2048000</v>
      </c>
      <c r="M14" s="76">
        <f>PLANTILLA!V16</f>
        <v>28090</v>
      </c>
      <c r="N14" s="76">
        <f t="shared" ca="1" si="4"/>
        <v>3073848.5714285714</v>
      </c>
      <c r="O14" s="142">
        <f>PLANTILLA!I16</f>
        <v>8.4</v>
      </c>
      <c r="P14" s="142">
        <f>PLANTILLA!H16</f>
        <v>6</v>
      </c>
      <c r="Q14" s="142" t="str">
        <f>PLANTILLA!G16</f>
        <v>TEC</v>
      </c>
      <c r="R14" s="144">
        <f>PLANTILLA!X16</f>
        <v>0</v>
      </c>
      <c r="S14" s="144">
        <f>PLANTILLA!Y16</f>
        <v>2.2000000000000002</v>
      </c>
      <c r="T14" s="144">
        <f>PLANTILLA!Z16</f>
        <v>14.399999999999999</v>
      </c>
      <c r="U14" s="144">
        <f>PLANTILLA!AA16</f>
        <v>1.33</v>
      </c>
      <c r="V14" s="144">
        <f>PLANTILLA!AB16</f>
        <v>14.142888888888882</v>
      </c>
      <c r="W14" s="144">
        <f>PLANTILLA!AC16</f>
        <v>9.3399999999999981</v>
      </c>
      <c r="X14" s="144">
        <f>PLANTILLA!AD16</f>
        <v>15.399999999999999</v>
      </c>
      <c r="Y14" s="143">
        <f>PLANTILLA!AE16</f>
        <v>1829</v>
      </c>
      <c r="Z14" s="143">
        <f t="shared" si="5"/>
        <v>302.40000000000003</v>
      </c>
      <c r="AA14" s="9">
        <f t="shared" si="6"/>
        <v>4.1857222222222203</v>
      </c>
      <c r="AB14" s="9">
        <f t="shared" si="7"/>
        <v>13.581999999999997</v>
      </c>
      <c r="AC14" s="9">
        <f t="shared" si="8"/>
        <v>0.92899999999999994</v>
      </c>
      <c r="AD14" s="9">
        <f t="shared" si="9"/>
        <v>0.54999999999999993</v>
      </c>
      <c r="AE14" s="40">
        <f t="shared" ca="1" si="10"/>
        <v>2.2871041488105743</v>
      </c>
      <c r="AF14" s="40">
        <f t="shared" ca="1" si="11"/>
        <v>4.432372381415842</v>
      </c>
      <c r="AG14" s="40">
        <f t="shared" ca="1" si="31"/>
        <v>3.9585046267769699</v>
      </c>
      <c r="AH14" s="40">
        <f t="shared" ca="1" si="32"/>
        <v>4.0777825909025749</v>
      </c>
      <c r="AI14" s="40">
        <f t="shared" ca="1" si="33"/>
        <v>1.8350021659061584</v>
      </c>
      <c r="AJ14" s="40">
        <f t="shared" ca="1" si="34"/>
        <v>2.7776061876964455</v>
      </c>
      <c r="AK14" s="203">
        <f t="shared" ca="1" si="35"/>
        <v>2.0946749602725152</v>
      </c>
      <c r="AL14" s="40">
        <f t="shared" ca="1" si="36"/>
        <v>1.7729489525663369</v>
      </c>
      <c r="AM14" s="40">
        <f t="shared" ca="1" si="37"/>
        <v>16.632372381415841</v>
      </c>
      <c r="AN14" s="40">
        <f t="shared" ca="1" si="38"/>
        <v>8.0141622932712373</v>
      </c>
      <c r="AO14" s="40">
        <f t="shared" ca="1" si="39"/>
        <v>5.0728735763318316</v>
      </c>
      <c r="AP14" s="40">
        <f t="shared" ca="1" si="40"/>
        <v>8.2456971047229928</v>
      </c>
      <c r="AQ14" s="40">
        <f t="shared" ca="1" si="41"/>
        <v>6.7527431868548318</v>
      </c>
      <c r="AR14" s="40">
        <f t="shared" ca="1" si="42"/>
        <v>9.2315651345642511</v>
      </c>
      <c r="AS14" s="40">
        <f t="shared" ca="1" si="43"/>
        <v>15.6384599681409</v>
      </c>
    </row>
    <row r="15" spans="1:45" s="98" customFormat="1" x14ac:dyDescent="0.25">
      <c r="A15" s="154" t="str">
        <f>PLANTILLA!D17</f>
        <v>Adam Moss</v>
      </c>
      <c r="B15" s="73">
        <f t="shared" ca="1" si="0"/>
        <v>157687.43949044586</v>
      </c>
      <c r="C15" s="139">
        <v>23</v>
      </c>
      <c r="D15" s="139">
        <v>11</v>
      </c>
      <c r="E15" s="148">
        <f>PLANTILLA!M17</f>
        <v>42278</v>
      </c>
      <c r="F15" s="140">
        <v>2540000</v>
      </c>
      <c r="G15" s="139">
        <f>PLANTILLA!E17</f>
        <v>30</v>
      </c>
      <c r="H15" s="156">
        <f ca="1">PLANTILLA!F17</f>
        <v>12</v>
      </c>
      <c r="I15" s="49">
        <f t="shared" ca="1" si="1"/>
        <v>43063</v>
      </c>
      <c r="J15" s="155">
        <v>4910760</v>
      </c>
      <c r="K15" s="40">
        <f t="shared" ca="1" si="2"/>
        <v>7.0089285714285712</v>
      </c>
      <c r="L15" s="74">
        <f t="shared" si="3"/>
        <v>2370760</v>
      </c>
      <c r="M15" s="76">
        <f>PLANTILLA!V17</f>
        <v>30996</v>
      </c>
      <c r="N15" s="76">
        <f t="shared" ca="1" si="4"/>
        <v>3475980</v>
      </c>
      <c r="O15" s="142">
        <f>PLANTILLA!I17</f>
        <v>9.8000000000000007</v>
      </c>
      <c r="P15" s="142">
        <f>PLANTILLA!H17</f>
        <v>1</v>
      </c>
      <c r="Q15" s="142" t="str">
        <f>PLANTILLA!G17</f>
        <v>RAP</v>
      </c>
      <c r="R15" s="144">
        <f>PLANTILLA!X17</f>
        <v>0</v>
      </c>
      <c r="S15" s="144">
        <f>PLANTILLA!Y17</f>
        <v>3.2</v>
      </c>
      <c r="T15" s="144">
        <f>PLANTILLA!Z17</f>
        <v>14.399999999999999</v>
      </c>
      <c r="U15" s="144">
        <f>PLANTILLA!AA17</f>
        <v>2.2999999999999998</v>
      </c>
      <c r="V15" s="144">
        <f>PLANTILLA!AB17</f>
        <v>14.266</v>
      </c>
      <c r="W15" s="144">
        <f>PLANTILLA!AC17</f>
        <v>9.0999999999999961</v>
      </c>
      <c r="X15" s="144">
        <f>PLANTILLA!AD17</f>
        <v>15.899999999999999</v>
      </c>
      <c r="Y15" s="143">
        <f>PLANTILLA!AE17</f>
        <v>1855</v>
      </c>
      <c r="Z15" s="143">
        <f t="shared" si="5"/>
        <v>9.8000000000000007</v>
      </c>
      <c r="AA15" s="9">
        <f t="shared" si="6"/>
        <v>4.3414999999999999</v>
      </c>
      <c r="AB15" s="9">
        <f t="shared" si="7"/>
        <v>13.859999999999998</v>
      </c>
      <c r="AC15" s="9">
        <f t="shared" si="8"/>
        <v>0.93199999999999972</v>
      </c>
      <c r="AD15" s="9">
        <f t="shared" si="9"/>
        <v>0.60499999999999998</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0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54" t="str">
        <f>PLANTILLA!D18</f>
        <v>Rasheed Da'na</v>
      </c>
      <c r="B16" s="73">
        <f t="shared" ca="1" si="0"/>
        <v>-119382.51256281401</v>
      </c>
      <c r="C16" s="139">
        <v>22</v>
      </c>
      <c r="D16" s="139">
        <v>57</v>
      </c>
      <c r="E16" s="148">
        <f>PLANTILLA!M18</f>
        <v>42267</v>
      </c>
      <c r="F16" s="140">
        <v>2652000</v>
      </c>
      <c r="G16" s="139">
        <f>PLANTILLA!E18</f>
        <v>29</v>
      </c>
      <c r="H16" s="156">
        <f ca="1">PLANTILLA!F18</f>
        <v>69</v>
      </c>
      <c r="I16" s="49">
        <f t="shared" ca="1" si="1"/>
        <v>43063</v>
      </c>
      <c r="J16" s="155">
        <v>7062000</v>
      </c>
      <c r="K16" s="40">
        <f t="shared" ca="1" si="2"/>
        <v>7.1071428571428568</v>
      </c>
      <c r="L16" s="74">
        <f t="shared" si="3"/>
        <v>4410000</v>
      </c>
      <c r="M16" s="76">
        <f>PLANTILLA!V18</f>
        <v>31320</v>
      </c>
      <c r="N16" s="76">
        <f t="shared" ca="1" si="4"/>
        <v>3561531.4285714286</v>
      </c>
      <c r="O16" s="142">
        <f>PLANTILLA!I18</f>
        <v>9.5</v>
      </c>
      <c r="P16" s="142">
        <f>PLANTILLA!H18</f>
        <v>1</v>
      </c>
      <c r="Q16" s="142" t="str">
        <f>PLANTILLA!G18</f>
        <v>RAP</v>
      </c>
      <c r="R16" s="144">
        <f>PLANTILLA!X18</f>
        <v>0</v>
      </c>
      <c r="S16" s="144">
        <f>PLANTILLA!Y18</f>
        <v>2.0384615384615383</v>
      </c>
      <c r="T16" s="144">
        <f>PLANTILLA!Z18</f>
        <v>13.499999999999998</v>
      </c>
      <c r="U16" s="144">
        <f>PLANTILLA!AA18</f>
        <v>4.0999999999999996</v>
      </c>
      <c r="V16" s="144">
        <f>PLANTILLA!AB18</f>
        <v>14.352222222222222</v>
      </c>
      <c r="W16" s="144">
        <f>PLANTILLA!AC18</f>
        <v>10.095333333333334</v>
      </c>
      <c r="X16" s="144">
        <f>PLANTILLA!AD18</f>
        <v>15</v>
      </c>
      <c r="Y16" s="143">
        <f>PLANTILLA!AE18</f>
        <v>1804</v>
      </c>
      <c r="Z16" s="143">
        <f t="shared" si="5"/>
        <v>9.5</v>
      </c>
      <c r="AA16" s="9">
        <f t="shared" si="6"/>
        <v>4.2178632478632476</v>
      </c>
      <c r="AB16" s="9">
        <f t="shared" si="7"/>
        <v>13.528600000000001</v>
      </c>
      <c r="AC16" s="9">
        <f t="shared" si="8"/>
        <v>0.95476666666666676</v>
      </c>
      <c r="AD16" s="9">
        <f t="shared" si="9"/>
        <v>0.53153846153846152</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199</v>
      </c>
      <c r="AH17" t="s">
        <v>200</v>
      </c>
      <c r="AL17" t="s">
        <v>82</v>
      </c>
      <c r="AM17" s="40"/>
      <c r="AN17" s="40"/>
      <c r="AO17" t="s">
        <v>84</v>
      </c>
      <c r="AP17" s="40"/>
      <c r="AQ17" t="s">
        <v>86</v>
      </c>
      <c r="AR17" s="40"/>
      <c r="AS17" s="40"/>
    </row>
    <row r="18" spans="1:45" x14ac:dyDescent="0.25">
      <c r="O18"/>
      <c r="P18"/>
      <c r="Q18"/>
      <c r="AE18" s="48" t="s">
        <v>97</v>
      </c>
      <c r="AF18" s="48" t="s">
        <v>98</v>
      </c>
      <c r="AG18" s="48" t="s">
        <v>99</v>
      </c>
      <c r="AH18" s="202" t="s">
        <v>97</v>
      </c>
      <c r="AI18" s="202" t="s">
        <v>98</v>
      </c>
      <c r="AJ18" s="202" t="s">
        <v>99</v>
      </c>
      <c r="AK18" s="202" t="s">
        <v>100</v>
      </c>
      <c r="AL18" s="47" t="s">
        <v>98</v>
      </c>
      <c r="AM18" s="47" t="s">
        <v>99</v>
      </c>
      <c r="AN18" s="47" t="s">
        <v>101</v>
      </c>
      <c r="AO18" s="47" t="s">
        <v>99</v>
      </c>
      <c r="AP18" s="47" t="s">
        <v>100</v>
      </c>
      <c r="AQ18" s="48" t="s">
        <v>99</v>
      </c>
      <c r="AR18" s="48" t="s">
        <v>100</v>
      </c>
      <c r="AS18" s="48" t="s">
        <v>101</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9" priority="140" operator="lessThan">
      <formula>0</formula>
    </cfRule>
    <cfRule type="cellIs" dxfId="58" priority="141" operator="greaterThan">
      <formula>0</formula>
    </cfRule>
  </conditionalFormatting>
  <conditionalFormatting sqref="B19:B203 B2:B16">
    <cfRule type="cellIs" dxfId="57" priority="129" operator="between">
      <formula>500000</formula>
      <formula>700000</formula>
    </cfRule>
    <cfRule type="cellIs" dxfId="56" priority="130" operator="lessThan">
      <formula>500000</formula>
    </cfRule>
    <cfRule type="cellIs" dxfId="55" priority="131" operator="greaterThan">
      <formula>700000</formula>
    </cfRule>
  </conditionalFormatting>
  <conditionalFormatting sqref="AB19:AB203 AB2:AB16">
    <cfRule type="cellIs" dxfId="54" priority="121" operator="lessThan">
      <formula>5</formula>
    </cfRule>
    <cfRule type="cellIs" dxfId="53" priority="122" operator="greaterThan">
      <formula>7</formula>
    </cfRule>
  </conditionalFormatting>
  <conditionalFormatting sqref="AC19:AD203 AC2:AD16">
    <cfRule type="cellIs" dxfId="52" priority="119" operator="lessThan">
      <formula>0.35</formula>
    </cfRule>
    <cfRule type="cellIs" dxfId="51" priority="120" operator="greaterThan">
      <formula>0.5</formula>
    </cfRule>
  </conditionalFormatting>
  <conditionalFormatting sqref="AM17:AN17 AP17 AN19:AS203 AG19:AI203 AE19:AE203 AK19:AL203 AN2:AS16 AG2:AI16 AE2:AE16 AK2:AL16">
    <cfRule type="cellIs" dxfId="50" priority="116" operator="greaterThan">
      <formula>12.5</formula>
    </cfRule>
  </conditionalFormatting>
  <conditionalFormatting sqref="M19:M203 M2:M16">
    <cfRule type="cellIs" dxfId="49" priority="102" operator="greaterThan">
      <formula>35000</formula>
    </cfRule>
  </conditionalFormatting>
  <conditionalFormatting sqref="P19:P203 P2:P16">
    <cfRule type="cellIs" dxfId="48" priority="101" operator="greaterThan">
      <formula>"4.9"</formula>
    </cfRule>
  </conditionalFormatting>
  <conditionalFormatting sqref="AR17:AS17">
    <cfRule type="cellIs" dxfId="47" priority="95" operator="greaterThan">
      <formula>12.5</formula>
    </cfRule>
  </conditionalFormatting>
  <conditionalFormatting sqref="AF19:AF203 AF2:AF16">
    <cfRule type="cellIs" dxfId="46" priority="70" operator="lessThan">
      <formula>14</formula>
    </cfRule>
    <cfRule type="cellIs" dxfId="45" priority="71" operator="greaterThan">
      <formula>14.19</formula>
    </cfRule>
  </conditionalFormatting>
  <conditionalFormatting sqref="AM19:AM203 AM2:AM16">
    <cfRule type="cellIs" dxfId="44" priority="68" operator="lessThan">
      <formula>14.2</formula>
    </cfRule>
    <cfRule type="cellIs" dxfId="43" priority="69" operator="greaterThan">
      <formula>15</formula>
    </cfRule>
  </conditionalFormatting>
  <conditionalFormatting sqref="AA19:AA1048576 AA1:AA16">
    <cfRule type="cellIs" dxfId="42" priority="8" operator="lessThan">
      <formula>2.2</formula>
    </cfRule>
    <cfRule type="cellIs" dxfId="41"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428</v>
      </c>
      <c r="B1"/>
    </row>
    <row r="2" spans="1:40" x14ac:dyDescent="0.25">
      <c r="A2"/>
      <c r="B2" t="s">
        <v>429</v>
      </c>
    </row>
    <row r="3" spans="1:40" x14ac:dyDescent="0.25">
      <c r="A3" t="s">
        <v>430</v>
      </c>
      <c r="B3"/>
    </row>
    <row r="4" spans="1:40" x14ac:dyDescent="0.25">
      <c r="A4"/>
      <c r="B4" t="s">
        <v>431</v>
      </c>
    </row>
    <row r="5" spans="1:40" x14ac:dyDescent="0.25">
      <c r="A5"/>
      <c r="B5" t="s">
        <v>432</v>
      </c>
    </row>
    <row r="6" spans="1:40" x14ac:dyDescent="0.25">
      <c r="A6" t="s">
        <v>433</v>
      </c>
      <c r="B6"/>
    </row>
    <row r="7" spans="1:40" x14ac:dyDescent="0.25">
      <c r="A7"/>
      <c r="B7" t="s">
        <v>434</v>
      </c>
      <c r="X7">
        <f>X8-112</f>
        <v>80.5</v>
      </c>
    </row>
    <row r="8" spans="1:40" x14ac:dyDescent="0.25">
      <c r="A8" t="s">
        <v>435</v>
      </c>
      <c r="B8"/>
      <c r="X8">
        <f>(X9+X10)*7</f>
        <v>192.5</v>
      </c>
    </row>
    <row r="9" spans="1:40" x14ac:dyDescent="0.25">
      <c r="A9"/>
      <c r="B9" t="s">
        <v>436</v>
      </c>
      <c r="W9" s="246" t="s">
        <v>224</v>
      </c>
      <c r="X9" s="247">
        <v>13.5</v>
      </c>
    </row>
    <row r="10" spans="1:40" x14ac:dyDescent="0.25">
      <c r="A10"/>
      <c r="B10"/>
      <c r="W10" s="246" t="s">
        <v>437</v>
      </c>
      <c r="X10" s="246">
        <v>14</v>
      </c>
    </row>
    <row r="11" spans="1:40" x14ac:dyDescent="0.25">
      <c r="A11"/>
      <c r="B11"/>
      <c r="F11" s="242"/>
      <c r="G11" s="242"/>
      <c r="H11" s="242"/>
      <c r="I11" s="242"/>
      <c r="J11" s="242"/>
      <c r="K11" s="242"/>
      <c r="L11" s="242"/>
      <c r="M11" s="243">
        <f>SUM(M13:M27)</f>
        <v>970</v>
      </c>
      <c r="N11" s="242"/>
      <c r="O11" s="242"/>
      <c r="P11" s="242"/>
      <c r="Q11" s="242"/>
      <c r="R11" s="242"/>
      <c r="S11" s="242"/>
      <c r="T11" s="242"/>
      <c r="U11" s="242"/>
      <c r="Y11" s="242"/>
      <c r="Z11" s="242"/>
      <c r="AA11" s="242"/>
      <c r="AB11" s="242"/>
      <c r="AC11" s="242"/>
      <c r="AD11" s="242"/>
      <c r="AE11" s="242"/>
      <c r="AF11" s="243">
        <f>SUM(AF13:AF27)</f>
        <v>5644.4400000000005</v>
      </c>
      <c r="AG11" s="242"/>
      <c r="AH11" s="242"/>
      <c r="AI11" s="242"/>
      <c r="AJ11" s="242"/>
      <c r="AK11" s="242"/>
      <c r="AL11" s="242"/>
      <c r="AM11" s="242"/>
      <c r="AN11" s="242"/>
    </row>
    <row r="12" spans="1:40" x14ac:dyDescent="0.25">
      <c r="A12" s="11" t="s">
        <v>181</v>
      </c>
      <c r="B12" s="11" t="s">
        <v>438</v>
      </c>
      <c r="C12" s="11" t="s">
        <v>88</v>
      </c>
      <c r="D12" s="11" t="s">
        <v>439</v>
      </c>
      <c r="E12" s="11" t="s">
        <v>440</v>
      </c>
      <c r="F12" s="11" t="s">
        <v>15</v>
      </c>
      <c r="G12" s="11" t="s">
        <v>16</v>
      </c>
      <c r="H12" s="11" t="s">
        <v>17</v>
      </c>
      <c r="I12" s="11" t="s">
        <v>18</v>
      </c>
      <c r="J12" s="11" t="s">
        <v>19</v>
      </c>
      <c r="K12" s="11" t="s">
        <v>20</v>
      </c>
      <c r="L12" s="11" t="s">
        <v>6</v>
      </c>
      <c r="M12" s="11" t="s">
        <v>70</v>
      </c>
      <c r="N12" s="11" t="s">
        <v>441</v>
      </c>
      <c r="O12" s="11" t="s">
        <v>442</v>
      </c>
      <c r="P12" s="11" t="s">
        <v>443</v>
      </c>
      <c r="Q12" s="11" t="s">
        <v>444</v>
      </c>
      <c r="R12" s="11" t="s">
        <v>445</v>
      </c>
      <c r="S12" s="11" t="s">
        <v>446</v>
      </c>
      <c r="T12" s="11" t="s">
        <v>447</v>
      </c>
      <c r="U12" s="11" t="s">
        <v>448</v>
      </c>
      <c r="W12" s="11" t="s">
        <v>439</v>
      </c>
      <c r="X12" s="11" t="s">
        <v>440</v>
      </c>
      <c r="Y12" s="11" t="s">
        <v>15</v>
      </c>
      <c r="Z12" s="11" t="s">
        <v>16</v>
      </c>
      <c r="AA12" s="11" t="s">
        <v>17</v>
      </c>
      <c r="AB12" s="11" t="s">
        <v>18</v>
      </c>
      <c r="AC12" s="11" t="s">
        <v>19</v>
      </c>
      <c r="AD12" s="11" t="s">
        <v>20</v>
      </c>
      <c r="AE12" s="11" t="s">
        <v>6</v>
      </c>
      <c r="AF12" s="11" t="s">
        <v>70</v>
      </c>
      <c r="AG12" s="11" t="s">
        <v>441</v>
      </c>
      <c r="AH12" s="11" t="s">
        <v>442</v>
      </c>
      <c r="AI12" s="11" t="s">
        <v>443</v>
      </c>
      <c r="AJ12" s="11" t="s">
        <v>444</v>
      </c>
      <c r="AK12" s="11" t="s">
        <v>445</v>
      </c>
      <c r="AL12" s="11" t="s">
        <v>446</v>
      </c>
      <c r="AM12" s="11" t="s">
        <v>447</v>
      </c>
      <c r="AN12" s="11" t="s">
        <v>448</v>
      </c>
    </row>
    <row r="13" spans="1:40" x14ac:dyDescent="0.25">
      <c r="A13" t="s">
        <v>29</v>
      </c>
      <c r="B13" s="16"/>
      <c r="C13" s="20"/>
      <c r="D13" s="20"/>
      <c r="E13" s="20"/>
      <c r="F13" s="121">
        <v>2</v>
      </c>
      <c r="G13" s="21">
        <v>2</v>
      </c>
      <c r="H13" s="121">
        <v>0</v>
      </c>
      <c r="I13" s="21">
        <v>0</v>
      </c>
      <c r="J13" s="121">
        <v>0</v>
      </c>
      <c r="K13" s="21">
        <v>0</v>
      </c>
      <c r="L13" s="121">
        <v>2</v>
      </c>
      <c r="M13" s="51"/>
      <c r="N13" s="242">
        <v>0</v>
      </c>
      <c r="O13" s="242">
        <v>0</v>
      </c>
      <c r="P13" s="242">
        <v>0</v>
      </c>
      <c r="Q13" s="244">
        <v>0</v>
      </c>
      <c r="R13" s="244">
        <v>0</v>
      </c>
      <c r="S13" s="244">
        <v>0</v>
      </c>
      <c r="T13" s="244">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2">
        <v>0</v>
      </c>
      <c r="AH13" s="242">
        <v>0</v>
      </c>
      <c r="AI13" s="242">
        <v>0</v>
      </c>
      <c r="AJ13" s="244">
        <v>0</v>
      </c>
      <c r="AK13" s="244">
        <v>0</v>
      </c>
      <c r="AL13" s="244">
        <v>0</v>
      </c>
      <c r="AM13" s="244">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2">
        <v>0</v>
      </c>
      <c r="O14" s="242">
        <v>0</v>
      </c>
      <c r="P14" s="242">
        <v>0</v>
      </c>
      <c r="Q14" s="242">
        <v>0</v>
      </c>
      <c r="R14" s="242">
        <v>0</v>
      </c>
      <c r="S14" s="242">
        <v>0</v>
      </c>
      <c r="T14" s="242">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2">
        <v>0</v>
      </c>
      <c r="AH14" s="242">
        <v>0</v>
      </c>
      <c r="AI14" s="242">
        <v>0</v>
      </c>
      <c r="AJ14" s="242">
        <v>0</v>
      </c>
      <c r="AK14" s="242">
        <v>0</v>
      </c>
      <c r="AL14" s="242">
        <v>0</v>
      </c>
      <c r="AM14" s="242">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2">
        <v>0</v>
      </c>
      <c r="O15" s="242">
        <v>0</v>
      </c>
      <c r="P15" s="242">
        <v>0</v>
      </c>
      <c r="Q15" s="242">
        <v>0</v>
      </c>
      <c r="R15" s="242">
        <v>0</v>
      </c>
      <c r="S15" s="242">
        <v>0</v>
      </c>
      <c r="T15" s="242">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2">
        <v>0</v>
      </c>
      <c r="AH15" s="242">
        <v>0</v>
      </c>
      <c r="AI15" s="242">
        <v>0</v>
      </c>
      <c r="AJ15" s="242">
        <v>0</v>
      </c>
      <c r="AK15" s="242">
        <v>0</v>
      </c>
      <c r="AL15" s="242">
        <v>0</v>
      </c>
      <c r="AM15" s="242">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2">
        <v>0</v>
      </c>
      <c r="O16" s="242">
        <v>0</v>
      </c>
      <c r="P16" s="242">
        <v>0</v>
      </c>
      <c r="Q16" s="242">
        <v>0</v>
      </c>
      <c r="R16" s="242">
        <v>0</v>
      </c>
      <c r="S16" s="242">
        <v>0</v>
      </c>
      <c r="T16" s="242">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2">
        <v>0</v>
      </c>
      <c r="AH16" s="242">
        <v>0</v>
      </c>
      <c r="AI16" s="242">
        <v>0</v>
      </c>
      <c r="AJ16" s="242">
        <v>0</v>
      </c>
      <c r="AK16" s="242">
        <v>0</v>
      </c>
      <c r="AL16" s="242">
        <v>0</v>
      </c>
      <c r="AM16" s="242">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2">
        <v>0</v>
      </c>
      <c r="O17" s="242">
        <v>0</v>
      </c>
      <c r="P17" s="242">
        <v>0</v>
      </c>
      <c r="Q17" s="242">
        <v>0</v>
      </c>
      <c r="R17" s="242">
        <v>0</v>
      </c>
      <c r="S17" s="242">
        <v>0</v>
      </c>
      <c r="T17" s="242">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2">
        <v>0</v>
      </c>
      <c r="AH17" s="242">
        <v>0</v>
      </c>
      <c r="AI17" s="242">
        <v>0</v>
      </c>
      <c r="AJ17" s="242">
        <v>0</v>
      </c>
      <c r="AK17" s="242">
        <v>0</v>
      </c>
      <c r="AL17" s="242">
        <v>0</v>
      </c>
      <c r="AM17" s="242">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2">
        <v>0</v>
      </c>
      <c r="O18" s="242">
        <v>0</v>
      </c>
      <c r="P18" s="242">
        <v>0</v>
      </c>
      <c r="Q18" s="242">
        <v>0</v>
      </c>
      <c r="R18" s="242">
        <v>0</v>
      </c>
      <c r="S18" s="242">
        <v>0</v>
      </c>
      <c r="T18" s="242">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2">
        <v>0</v>
      </c>
      <c r="AH18" s="242">
        <v>0</v>
      </c>
      <c r="AI18" s="242">
        <v>0</v>
      </c>
      <c r="AJ18" s="242">
        <v>0</v>
      </c>
      <c r="AK18" s="242">
        <v>0</v>
      </c>
      <c r="AL18" s="242">
        <v>0</v>
      </c>
      <c r="AM18" s="242">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2">
        <v>0</v>
      </c>
      <c r="O19" s="242">
        <v>0</v>
      </c>
      <c r="P19" s="242">
        <v>0</v>
      </c>
      <c r="Q19" s="242">
        <v>0</v>
      </c>
      <c r="R19" s="242">
        <v>0</v>
      </c>
      <c r="S19" s="242">
        <v>0</v>
      </c>
      <c r="T19" s="242">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2">
        <v>0</v>
      </c>
      <c r="AH19" s="242">
        <v>0</v>
      </c>
      <c r="AI19" s="242">
        <v>0</v>
      </c>
      <c r="AJ19" s="242">
        <v>0</v>
      </c>
      <c r="AK19" s="242">
        <v>0</v>
      </c>
      <c r="AL19" s="242">
        <v>0</v>
      </c>
      <c r="AM19" s="242">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2">
        <v>0</v>
      </c>
      <c r="O20" s="242">
        <v>0</v>
      </c>
      <c r="P20" s="242">
        <v>0</v>
      </c>
      <c r="Q20" s="242">
        <v>0</v>
      </c>
      <c r="R20" s="242">
        <v>0</v>
      </c>
      <c r="S20" s="242">
        <v>0</v>
      </c>
      <c r="T20" s="242">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2">
        <v>0</v>
      </c>
      <c r="AH20" s="242">
        <v>0</v>
      </c>
      <c r="AI20" s="242">
        <v>0</v>
      </c>
      <c r="AJ20" s="242">
        <v>0</v>
      </c>
      <c r="AK20" s="242">
        <v>0</v>
      </c>
      <c r="AL20" s="242">
        <v>0</v>
      </c>
      <c r="AM20" s="242">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2">
        <v>0</v>
      </c>
      <c r="O21" s="242">
        <v>0</v>
      </c>
      <c r="P21" s="242">
        <v>0</v>
      </c>
      <c r="Q21" s="242">
        <v>0</v>
      </c>
      <c r="R21" s="242">
        <v>0</v>
      </c>
      <c r="S21" s="242">
        <v>0</v>
      </c>
      <c r="T21" s="242">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2">
        <v>0</v>
      </c>
      <c r="AH21" s="242">
        <v>0</v>
      </c>
      <c r="AI21" s="242">
        <v>0</v>
      </c>
      <c r="AJ21" s="242">
        <v>0</v>
      </c>
      <c r="AK21" s="242">
        <v>0</v>
      </c>
      <c r="AL21" s="242">
        <v>0</v>
      </c>
      <c r="AM21" s="242">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2">
        <v>0</v>
      </c>
      <c r="O22" s="242">
        <v>0</v>
      </c>
      <c r="P22" s="242">
        <v>0</v>
      </c>
      <c r="Q22" s="242">
        <v>0</v>
      </c>
      <c r="R22" s="242">
        <v>0</v>
      </c>
      <c r="S22" s="242">
        <v>0</v>
      </c>
      <c r="T22" s="242">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2">
        <v>0</v>
      </c>
      <c r="AH22" s="242">
        <v>0</v>
      </c>
      <c r="AI22" s="242">
        <v>0</v>
      </c>
      <c r="AJ22" s="242">
        <v>0</v>
      </c>
      <c r="AK22" s="242">
        <v>0</v>
      </c>
      <c r="AL22" s="242">
        <v>0</v>
      </c>
      <c r="AM22" s="242">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2">
        <v>0</v>
      </c>
      <c r="O23" s="242">
        <v>0</v>
      </c>
      <c r="P23" s="242">
        <v>0</v>
      </c>
      <c r="Q23" s="242">
        <v>0</v>
      </c>
      <c r="R23" s="242">
        <v>0</v>
      </c>
      <c r="S23" s="242">
        <v>0</v>
      </c>
      <c r="T23" s="242">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2">
        <v>0</v>
      </c>
      <c r="AH23" s="242">
        <v>0</v>
      </c>
      <c r="AI23" s="242">
        <v>0</v>
      </c>
      <c r="AJ23" s="242">
        <v>0</v>
      </c>
      <c r="AK23" s="242">
        <v>0</v>
      </c>
      <c r="AL23" s="242">
        <v>0</v>
      </c>
      <c r="AM23" s="242">
        <v>0</v>
      </c>
      <c r="AN23" s="70">
        <f t="shared" si="5"/>
        <v>0</v>
      </c>
    </row>
    <row r="24" spans="1:40" x14ac:dyDescent="0.25">
      <c r="A24" t="s">
        <v>40</v>
      </c>
      <c r="B24" s="16" t="s">
        <v>449</v>
      </c>
      <c r="C24" s="4" t="s">
        <v>45</v>
      </c>
      <c r="D24" s="4">
        <v>17</v>
      </c>
      <c r="E24" s="4">
        <v>15</v>
      </c>
      <c r="F24" s="122">
        <v>0</v>
      </c>
      <c r="G24" s="27">
        <v>2</v>
      </c>
      <c r="H24" s="122">
        <v>5.7</v>
      </c>
      <c r="I24" s="27">
        <v>5.5</v>
      </c>
      <c r="J24" s="122">
        <v>5</v>
      </c>
      <c r="K24" s="27">
        <v>3</v>
      </c>
      <c r="L24" s="122">
        <v>2</v>
      </c>
      <c r="M24" s="51">
        <v>350</v>
      </c>
      <c r="N24" s="242">
        <v>0</v>
      </c>
      <c r="O24" s="242">
        <v>0</v>
      </c>
      <c r="P24" s="242">
        <v>11</v>
      </c>
      <c r="Q24" s="242">
        <f>5.5+1.5</f>
        <v>7</v>
      </c>
      <c r="R24" s="242">
        <v>7</v>
      </c>
      <c r="S24" s="242">
        <v>2</v>
      </c>
      <c r="T24" s="242">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2">
        <f>N24</f>
        <v>0</v>
      </c>
      <c r="AH24" s="242">
        <f t="shared" ref="AH24:AM26" si="6">O24</f>
        <v>0</v>
      </c>
      <c r="AI24" s="242">
        <f t="shared" si="6"/>
        <v>11</v>
      </c>
      <c r="AJ24" s="42">
        <f>Q24+X9</f>
        <v>20.5</v>
      </c>
      <c r="AK24" s="242">
        <f>R24+X10</f>
        <v>21</v>
      </c>
      <c r="AL24" s="242">
        <f t="shared" si="6"/>
        <v>2</v>
      </c>
      <c r="AM24" s="242">
        <f t="shared" si="6"/>
        <v>0</v>
      </c>
      <c r="AN24" s="70">
        <f t="shared" si="5"/>
        <v>54.5</v>
      </c>
    </row>
    <row r="25" spans="1:40" x14ac:dyDescent="0.25">
      <c r="A25" t="s">
        <v>34</v>
      </c>
      <c r="B25" s="16" t="s">
        <v>450</v>
      </c>
      <c r="C25" s="4" t="s">
        <v>402</v>
      </c>
      <c r="D25" s="4">
        <v>17</v>
      </c>
      <c r="E25" s="4">
        <v>19</v>
      </c>
      <c r="F25" s="122">
        <v>0</v>
      </c>
      <c r="G25" s="27">
        <v>6</v>
      </c>
      <c r="H25" s="122">
        <v>3</v>
      </c>
      <c r="I25" s="27">
        <v>3</v>
      </c>
      <c r="J25" s="122">
        <v>5</v>
      </c>
      <c r="K25" s="27">
        <v>2</v>
      </c>
      <c r="L25" s="122">
        <v>0</v>
      </c>
      <c r="M25" s="51">
        <v>330</v>
      </c>
      <c r="N25" s="242">
        <v>0</v>
      </c>
      <c r="O25" s="242">
        <v>14</v>
      </c>
      <c r="P25" s="242">
        <v>3</v>
      </c>
      <c r="Q25" s="242">
        <v>1.5</v>
      </c>
      <c r="R25" s="242">
        <v>7</v>
      </c>
      <c r="S25" s="242">
        <v>0</v>
      </c>
      <c r="T25" s="242">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2">
        <f t="shared" ref="AG25:AG26" si="9">N25</f>
        <v>0</v>
      </c>
      <c r="AH25" s="242">
        <f t="shared" si="6"/>
        <v>14</v>
      </c>
      <c r="AI25" s="242">
        <f t="shared" si="6"/>
        <v>3</v>
      </c>
      <c r="AJ25" s="42">
        <f>Q25+X9</f>
        <v>15</v>
      </c>
      <c r="AK25" s="242">
        <f>R25+X10</f>
        <v>21</v>
      </c>
      <c r="AL25" s="242">
        <f t="shared" si="6"/>
        <v>0</v>
      </c>
      <c r="AM25" s="242">
        <f t="shared" si="6"/>
        <v>-2</v>
      </c>
      <c r="AN25" s="70">
        <f>SUM(AG25:AM25)</f>
        <v>51</v>
      </c>
    </row>
    <row r="26" spans="1:40" x14ac:dyDescent="0.25">
      <c r="A26" t="s">
        <v>42</v>
      </c>
      <c r="B26" s="16" t="s">
        <v>451</v>
      </c>
      <c r="C26" s="4" t="s">
        <v>402</v>
      </c>
      <c r="D26" s="4">
        <v>17</v>
      </c>
      <c r="E26" s="4">
        <v>15</v>
      </c>
      <c r="F26" s="122">
        <v>0</v>
      </c>
      <c r="G26" s="27">
        <v>3</v>
      </c>
      <c r="H26" s="122">
        <v>5</v>
      </c>
      <c r="I26" s="27">
        <v>4</v>
      </c>
      <c r="J26" s="122">
        <v>4</v>
      </c>
      <c r="K26" s="27">
        <v>3</v>
      </c>
      <c r="L26" s="122">
        <v>0</v>
      </c>
      <c r="M26" s="51">
        <v>290</v>
      </c>
      <c r="N26" s="242">
        <v>0</v>
      </c>
      <c r="O26" s="242">
        <v>3</v>
      </c>
      <c r="P26" s="242">
        <v>9</v>
      </c>
      <c r="Q26" s="242">
        <v>3.5</v>
      </c>
      <c r="R26" s="242">
        <v>4</v>
      </c>
      <c r="S26" s="242">
        <v>2</v>
      </c>
      <c r="T26" s="242">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2">
        <f t="shared" si="9"/>
        <v>0</v>
      </c>
      <c r="AH26" s="242">
        <f t="shared" si="6"/>
        <v>3</v>
      </c>
      <c r="AI26" s="242">
        <f t="shared" si="6"/>
        <v>9</v>
      </c>
      <c r="AJ26" s="242">
        <f>Q26+X10</f>
        <v>17.5</v>
      </c>
      <c r="AK26" s="242">
        <f>R26+X10</f>
        <v>18</v>
      </c>
      <c r="AL26" s="242">
        <f t="shared" si="6"/>
        <v>2</v>
      </c>
      <c r="AM26" s="242">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2">
        <v>0</v>
      </c>
      <c r="O27" s="242">
        <v>0</v>
      </c>
      <c r="P27" s="242">
        <v>0</v>
      </c>
      <c r="Q27" s="242">
        <v>0</v>
      </c>
      <c r="R27" s="242">
        <v>0</v>
      </c>
      <c r="S27" s="242">
        <v>0</v>
      </c>
      <c r="T27" s="242">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2">
        <v>0</v>
      </c>
      <c r="AH27" s="242">
        <v>0</v>
      </c>
      <c r="AI27" s="242">
        <v>0</v>
      </c>
      <c r="AJ27" s="242">
        <v>0</v>
      </c>
      <c r="AK27" s="242">
        <v>0</v>
      </c>
      <c r="AL27" s="242">
        <v>0</v>
      </c>
      <c r="AM27" s="242">
        <v>0</v>
      </c>
      <c r="AN27" s="70">
        <f t="shared" ref="AN27:AN28" si="11">SUM(AG27:AM27)</f>
        <v>0</v>
      </c>
    </row>
    <row r="28" spans="1:40" x14ac:dyDescent="0.25">
      <c r="A28" t="s">
        <v>452</v>
      </c>
      <c r="B28" s="16"/>
      <c r="C28" s="4"/>
      <c r="D28" s="4"/>
      <c r="E28" s="4"/>
      <c r="F28" s="122">
        <v>0</v>
      </c>
      <c r="G28" s="27">
        <v>2</v>
      </c>
      <c r="H28" s="122">
        <v>2</v>
      </c>
      <c r="I28" s="27">
        <v>2</v>
      </c>
      <c r="J28" s="122">
        <v>2</v>
      </c>
      <c r="K28" s="27">
        <v>2</v>
      </c>
      <c r="L28" s="122">
        <v>2</v>
      </c>
      <c r="M28" s="51"/>
      <c r="N28" s="242">
        <v>0</v>
      </c>
      <c r="O28" s="242">
        <v>0</v>
      </c>
      <c r="P28" s="242">
        <v>0</v>
      </c>
      <c r="Q28" s="242">
        <v>0</v>
      </c>
      <c r="R28" s="242">
        <v>0</v>
      </c>
      <c r="S28" s="242">
        <v>0</v>
      </c>
      <c r="T28" s="242">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2">
        <v>0</v>
      </c>
      <c r="AH28" s="242">
        <v>0</v>
      </c>
      <c r="AI28" s="242">
        <v>0</v>
      </c>
      <c r="AJ28" s="242">
        <v>0</v>
      </c>
      <c r="AK28" s="242">
        <v>0</v>
      </c>
      <c r="AL28" s="242">
        <v>0</v>
      </c>
      <c r="AM28" s="242">
        <v>0</v>
      </c>
      <c r="AN28" s="70">
        <f t="shared" si="11"/>
        <v>0</v>
      </c>
    </row>
    <row r="29" spans="1:40" x14ac:dyDescent="0.25">
      <c r="A29"/>
      <c r="B29"/>
      <c r="F29" s="242"/>
      <c r="G29" s="242"/>
      <c r="H29" s="242"/>
      <c r="I29" s="242"/>
      <c r="J29" s="242"/>
      <c r="K29" s="242"/>
      <c r="L29" s="242"/>
      <c r="M29" s="243">
        <f>SUM(M31:M45)</f>
        <v>15124.68</v>
      </c>
      <c r="N29" s="242"/>
      <c r="O29" s="242"/>
      <c r="P29" s="242"/>
      <c r="Q29" s="242"/>
      <c r="R29" s="242"/>
      <c r="S29" s="242"/>
      <c r="T29" s="242"/>
      <c r="U29" s="242"/>
      <c r="Y29" s="242"/>
      <c r="Z29" s="242"/>
      <c r="AA29" s="242"/>
      <c r="AB29" s="242"/>
      <c r="AC29" s="242"/>
      <c r="AD29" s="242"/>
      <c r="AE29" s="242"/>
      <c r="AF29" s="243">
        <f>SUM(AF31:AF45)</f>
        <v>42675.44</v>
      </c>
      <c r="AG29" s="242"/>
      <c r="AH29" s="242"/>
      <c r="AI29" s="242"/>
      <c r="AJ29" s="242"/>
      <c r="AK29" s="242"/>
      <c r="AL29" s="242"/>
      <c r="AM29" s="242"/>
      <c r="AN29" s="242"/>
    </row>
    <row r="30" spans="1:40" x14ac:dyDescent="0.25">
      <c r="A30" s="11" t="s">
        <v>181</v>
      </c>
      <c r="B30" s="11" t="s">
        <v>2</v>
      </c>
      <c r="C30" s="11" t="s">
        <v>88</v>
      </c>
      <c r="D30" s="11" t="s">
        <v>439</v>
      </c>
      <c r="E30" s="11" t="s">
        <v>440</v>
      </c>
      <c r="F30" s="11" t="s">
        <v>15</v>
      </c>
      <c r="G30" s="11" t="s">
        <v>16</v>
      </c>
      <c r="H30" s="11" t="s">
        <v>17</v>
      </c>
      <c r="I30" s="11" t="s">
        <v>18</v>
      </c>
      <c r="J30" s="11" t="s">
        <v>19</v>
      </c>
      <c r="K30" s="11" t="s">
        <v>20</v>
      </c>
      <c r="L30" s="11" t="s">
        <v>6</v>
      </c>
      <c r="M30" s="11" t="s">
        <v>70</v>
      </c>
      <c r="N30" s="11" t="s">
        <v>441</v>
      </c>
      <c r="O30" s="11" t="s">
        <v>442</v>
      </c>
      <c r="P30" s="11" t="s">
        <v>443</v>
      </c>
      <c r="Q30" s="11" t="s">
        <v>444</v>
      </c>
      <c r="R30" s="11" t="s">
        <v>445</v>
      </c>
      <c r="S30" s="11" t="s">
        <v>446</v>
      </c>
      <c r="T30" s="11" t="s">
        <v>447</v>
      </c>
      <c r="U30" s="11" t="s">
        <v>448</v>
      </c>
      <c r="W30" s="11" t="s">
        <v>439</v>
      </c>
      <c r="X30" s="11" t="s">
        <v>440</v>
      </c>
      <c r="Y30" s="11" t="s">
        <v>15</v>
      </c>
      <c r="Z30" s="11" t="s">
        <v>16</v>
      </c>
      <c r="AA30" s="11" t="s">
        <v>17</v>
      </c>
      <c r="AB30" s="11" t="s">
        <v>18</v>
      </c>
      <c r="AC30" s="11" t="s">
        <v>19</v>
      </c>
      <c r="AD30" s="11" t="s">
        <v>20</v>
      </c>
      <c r="AE30" s="11" t="s">
        <v>6</v>
      </c>
      <c r="AF30" s="11" t="s">
        <v>70</v>
      </c>
      <c r="AG30" s="11" t="s">
        <v>441</v>
      </c>
      <c r="AH30" s="11" t="s">
        <v>442</v>
      </c>
      <c r="AI30" s="11" t="s">
        <v>443</v>
      </c>
      <c r="AJ30" s="11" t="s">
        <v>444</v>
      </c>
      <c r="AK30" s="11" t="s">
        <v>445</v>
      </c>
      <c r="AL30" s="11" t="s">
        <v>446</v>
      </c>
      <c r="AM30" s="11" t="s">
        <v>447</v>
      </c>
      <c r="AN30" s="11" t="s">
        <v>448</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2">
        <f>AG13</f>
        <v>0</v>
      </c>
      <c r="O31" s="242">
        <f t="shared" ref="O31:T46" si="13">AH13</f>
        <v>0</v>
      </c>
      <c r="P31" s="242">
        <f t="shared" si="13"/>
        <v>0</v>
      </c>
      <c r="Q31" s="242">
        <f t="shared" si="13"/>
        <v>0</v>
      </c>
      <c r="R31" s="242">
        <f t="shared" si="13"/>
        <v>0</v>
      </c>
      <c r="S31" s="242">
        <f t="shared" si="13"/>
        <v>0</v>
      </c>
      <c r="T31" s="242">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2">
        <f>N31</f>
        <v>0</v>
      </c>
      <c r="AH31" s="242">
        <f t="shared" ref="AH31:AM46" si="15">O31</f>
        <v>0</v>
      </c>
      <c r="AI31" s="242">
        <f t="shared" si="15"/>
        <v>0</v>
      </c>
      <c r="AJ31" s="242">
        <f t="shared" si="15"/>
        <v>0</v>
      </c>
      <c r="AK31" s="242">
        <f t="shared" si="15"/>
        <v>0</v>
      </c>
      <c r="AL31" s="242">
        <f t="shared" si="15"/>
        <v>0</v>
      </c>
      <c r="AM31" s="242">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2">
        <f t="shared" ref="N32:N46" si="17">AG14</f>
        <v>0</v>
      </c>
      <c r="O32" s="242">
        <f t="shared" si="13"/>
        <v>0</v>
      </c>
      <c r="P32" s="242">
        <f t="shared" si="13"/>
        <v>0</v>
      </c>
      <c r="Q32" s="242">
        <f t="shared" si="13"/>
        <v>0</v>
      </c>
      <c r="R32" s="242">
        <f t="shared" si="13"/>
        <v>0</v>
      </c>
      <c r="S32" s="242">
        <f t="shared" si="13"/>
        <v>0</v>
      </c>
      <c r="T32" s="242">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2">
        <f t="shared" ref="AG32:AG46" si="20">N32</f>
        <v>0</v>
      </c>
      <c r="AH32" s="242">
        <f t="shared" si="15"/>
        <v>0</v>
      </c>
      <c r="AI32" s="242">
        <f t="shared" si="15"/>
        <v>0</v>
      </c>
      <c r="AJ32" s="242">
        <f t="shared" si="15"/>
        <v>0</v>
      </c>
      <c r="AK32" s="242">
        <f t="shared" si="15"/>
        <v>0</v>
      </c>
      <c r="AL32" s="242">
        <f t="shared" si="15"/>
        <v>0</v>
      </c>
      <c r="AM32" s="242">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2">
        <f t="shared" si="17"/>
        <v>0</v>
      </c>
      <c r="O33" s="242">
        <f t="shared" si="13"/>
        <v>0</v>
      </c>
      <c r="P33" s="242">
        <f t="shared" si="13"/>
        <v>0</v>
      </c>
      <c r="Q33" s="242">
        <f t="shared" si="13"/>
        <v>0</v>
      </c>
      <c r="R33" s="242">
        <f t="shared" si="13"/>
        <v>0</v>
      </c>
      <c r="S33" s="242">
        <f t="shared" si="13"/>
        <v>0</v>
      </c>
      <c r="T33" s="242">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2">
        <f t="shared" si="20"/>
        <v>0</v>
      </c>
      <c r="AH33" s="242">
        <f t="shared" si="15"/>
        <v>0</v>
      </c>
      <c r="AI33" s="242">
        <f t="shared" si="15"/>
        <v>0</v>
      </c>
      <c r="AJ33" s="242">
        <f t="shared" si="15"/>
        <v>0</v>
      </c>
      <c r="AK33" s="242">
        <f t="shared" si="15"/>
        <v>0</v>
      </c>
      <c r="AL33" s="242">
        <f t="shared" si="15"/>
        <v>0</v>
      </c>
      <c r="AM33" s="242">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2">
        <f t="shared" si="17"/>
        <v>0</v>
      </c>
      <c r="O34" s="242">
        <f t="shared" si="13"/>
        <v>0</v>
      </c>
      <c r="P34" s="242">
        <f t="shared" si="13"/>
        <v>0</v>
      </c>
      <c r="Q34" s="242">
        <f t="shared" si="13"/>
        <v>0</v>
      </c>
      <c r="R34" s="242">
        <f t="shared" si="13"/>
        <v>0</v>
      </c>
      <c r="S34" s="242">
        <f t="shared" si="13"/>
        <v>0</v>
      </c>
      <c r="T34" s="242">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2">
        <f t="shared" si="20"/>
        <v>0</v>
      </c>
      <c r="AH34" s="242">
        <f t="shared" si="15"/>
        <v>0</v>
      </c>
      <c r="AI34" s="242">
        <f t="shared" si="15"/>
        <v>0</v>
      </c>
      <c r="AJ34" s="242">
        <f t="shared" si="15"/>
        <v>0</v>
      </c>
      <c r="AK34" s="242">
        <f t="shared" si="15"/>
        <v>0</v>
      </c>
      <c r="AL34" s="242">
        <f t="shared" si="15"/>
        <v>0</v>
      </c>
      <c r="AM34" s="242">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2">
        <f t="shared" si="17"/>
        <v>0</v>
      </c>
      <c r="O35" s="242">
        <f t="shared" si="13"/>
        <v>0</v>
      </c>
      <c r="P35" s="242">
        <f t="shared" si="13"/>
        <v>0</v>
      </c>
      <c r="Q35" s="242">
        <f t="shared" si="13"/>
        <v>0</v>
      </c>
      <c r="R35" s="242">
        <f t="shared" si="13"/>
        <v>0</v>
      </c>
      <c r="S35" s="242">
        <f t="shared" si="13"/>
        <v>0</v>
      </c>
      <c r="T35" s="242">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2">
        <f t="shared" si="20"/>
        <v>0</v>
      </c>
      <c r="AH35" s="242">
        <f t="shared" si="15"/>
        <v>0</v>
      </c>
      <c r="AI35" s="242">
        <f t="shared" si="15"/>
        <v>0</v>
      </c>
      <c r="AJ35" s="242">
        <f t="shared" si="15"/>
        <v>0</v>
      </c>
      <c r="AK35" s="242">
        <f t="shared" si="15"/>
        <v>0</v>
      </c>
      <c r="AL35" s="242">
        <f t="shared" si="15"/>
        <v>0</v>
      </c>
      <c r="AM35" s="242">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2">
        <f t="shared" si="17"/>
        <v>0</v>
      </c>
      <c r="O36" s="242">
        <f t="shared" si="13"/>
        <v>0</v>
      </c>
      <c r="P36" s="242">
        <f t="shared" si="13"/>
        <v>0</v>
      </c>
      <c r="Q36" s="242">
        <f t="shared" si="13"/>
        <v>0</v>
      </c>
      <c r="R36" s="242">
        <f t="shared" si="13"/>
        <v>0</v>
      </c>
      <c r="S36" s="242">
        <f t="shared" si="13"/>
        <v>0</v>
      </c>
      <c r="T36" s="242">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2">
        <f t="shared" si="20"/>
        <v>0</v>
      </c>
      <c r="AH36" s="242">
        <f t="shared" si="15"/>
        <v>0</v>
      </c>
      <c r="AI36" s="242">
        <f t="shared" si="15"/>
        <v>0</v>
      </c>
      <c r="AJ36" s="242">
        <f t="shared" si="15"/>
        <v>0</v>
      </c>
      <c r="AK36" s="242">
        <f t="shared" si="15"/>
        <v>0</v>
      </c>
      <c r="AL36" s="242">
        <f t="shared" si="15"/>
        <v>0</v>
      </c>
      <c r="AM36" s="242">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2">
        <f t="shared" si="17"/>
        <v>0</v>
      </c>
      <c r="O37" s="242">
        <f t="shared" si="13"/>
        <v>0</v>
      </c>
      <c r="P37" s="242">
        <f t="shared" si="13"/>
        <v>0</v>
      </c>
      <c r="Q37" s="242">
        <f t="shared" si="13"/>
        <v>0</v>
      </c>
      <c r="R37" s="242">
        <f t="shared" si="13"/>
        <v>0</v>
      </c>
      <c r="S37" s="242">
        <f t="shared" si="13"/>
        <v>0</v>
      </c>
      <c r="T37" s="242">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2">
        <f t="shared" si="20"/>
        <v>0</v>
      </c>
      <c r="AH37" s="242">
        <f t="shared" si="15"/>
        <v>0</v>
      </c>
      <c r="AI37" s="242">
        <f t="shared" si="15"/>
        <v>0</v>
      </c>
      <c r="AJ37" s="242">
        <f t="shared" si="15"/>
        <v>0</v>
      </c>
      <c r="AK37" s="242">
        <f t="shared" si="15"/>
        <v>0</v>
      </c>
      <c r="AL37" s="242">
        <f t="shared" si="15"/>
        <v>0</v>
      </c>
      <c r="AM37" s="242">
        <f t="shared" si="15"/>
        <v>0</v>
      </c>
      <c r="AN37" s="70">
        <f t="shared" si="23"/>
        <v>0</v>
      </c>
      <c r="AP37" s="246" t="s">
        <v>94</v>
      </c>
      <c r="AQ37" s="246">
        <v>33</v>
      </c>
      <c r="AR37" s="246" t="s">
        <v>92</v>
      </c>
      <c r="AS37" s="246">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2">
        <f t="shared" si="17"/>
        <v>0</v>
      </c>
      <c r="O38" s="242">
        <f t="shared" si="13"/>
        <v>0</v>
      </c>
      <c r="P38" s="242">
        <f t="shared" si="13"/>
        <v>0</v>
      </c>
      <c r="Q38" s="242">
        <f t="shared" si="13"/>
        <v>0</v>
      </c>
      <c r="R38" s="242">
        <f t="shared" si="13"/>
        <v>0</v>
      </c>
      <c r="S38" s="242">
        <f t="shared" si="13"/>
        <v>0</v>
      </c>
      <c r="T38" s="242">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2">
        <f t="shared" si="20"/>
        <v>0</v>
      </c>
      <c r="AH38" s="242">
        <f t="shared" si="15"/>
        <v>0</v>
      </c>
      <c r="AI38" s="242">
        <f t="shared" si="15"/>
        <v>0</v>
      </c>
      <c r="AJ38" s="242">
        <f t="shared" si="15"/>
        <v>0</v>
      </c>
      <c r="AK38" s="242">
        <f t="shared" si="15"/>
        <v>0</v>
      </c>
      <c r="AL38" s="242">
        <f t="shared" si="15"/>
        <v>0</v>
      </c>
      <c r="AM38" s="242">
        <f t="shared" si="15"/>
        <v>0</v>
      </c>
      <c r="AN38" s="70">
        <f t="shared" si="23"/>
        <v>0</v>
      </c>
      <c r="AQ38">
        <f>AQ37*7</f>
        <v>231</v>
      </c>
      <c r="AS38">
        <f>AS37*7</f>
        <v>105</v>
      </c>
      <c r="AT38">
        <f>AQ38+AS38</f>
        <v>336</v>
      </c>
    </row>
    <row r="39" spans="1:46" x14ac:dyDescent="0.25">
      <c r="A39" t="s">
        <v>43</v>
      </c>
      <c r="B39" s="16" t="s">
        <v>453</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2">
        <f t="shared" si="17"/>
        <v>0</v>
      </c>
      <c r="O39" s="242">
        <v>18</v>
      </c>
      <c r="P39" s="242">
        <v>33</v>
      </c>
      <c r="Q39" s="242">
        <f t="shared" si="13"/>
        <v>0</v>
      </c>
      <c r="R39" s="242">
        <f t="shared" si="13"/>
        <v>0</v>
      </c>
      <c r="S39" s="242">
        <f t="shared" si="13"/>
        <v>0</v>
      </c>
      <c r="T39" s="242">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2">
        <f t="shared" si="20"/>
        <v>0</v>
      </c>
      <c r="AH39" s="242">
        <f t="shared" si="15"/>
        <v>18</v>
      </c>
      <c r="AI39" s="242">
        <v>48</v>
      </c>
      <c r="AJ39" s="242">
        <f t="shared" si="15"/>
        <v>0</v>
      </c>
      <c r="AK39" s="242">
        <f t="shared" si="15"/>
        <v>0</v>
      </c>
      <c r="AL39" s="242">
        <v>33</v>
      </c>
      <c r="AM39" s="242">
        <f t="shared" si="15"/>
        <v>0</v>
      </c>
      <c r="AN39" s="70">
        <f t="shared" si="23"/>
        <v>99</v>
      </c>
      <c r="AQ39">
        <f>AQ38-112</f>
        <v>119</v>
      </c>
      <c r="AT39">
        <f>AT38-112</f>
        <v>224</v>
      </c>
    </row>
    <row r="40" spans="1:46" x14ac:dyDescent="0.25">
      <c r="A40" t="s">
        <v>37</v>
      </c>
      <c r="B40" s="16" t="s">
        <v>453</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2">
        <f t="shared" si="17"/>
        <v>0</v>
      </c>
      <c r="O40" s="242">
        <v>18</v>
      </c>
      <c r="P40" s="242">
        <v>33</v>
      </c>
      <c r="Q40" s="242">
        <f t="shared" si="13"/>
        <v>0</v>
      </c>
      <c r="R40" s="242">
        <f t="shared" si="13"/>
        <v>0</v>
      </c>
      <c r="S40" s="242">
        <f t="shared" si="13"/>
        <v>0</v>
      </c>
      <c r="T40" s="242">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2">
        <f t="shared" si="20"/>
        <v>0</v>
      </c>
      <c r="AH40" s="242">
        <f t="shared" si="15"/>
        <v>18</v>
      </c>
      <c r="AI40" s="242">
        <v>48</v>
      </c>
      <c r="AJ40" s="242">
        <f t="shared" si="15"/>
        <v>0</v>
      </c>
      <c r="AK40" s="242">
        <f t="shared" si="15"/>
        <v>0</v>
      </c>
      <c r="AL40" s="242">
        <v>33</v>
      </c>
      <c r="AM40" s="242">
        <f t="shared" si="15"/>
        <v>0</v>
      </c>
      <c r="AN40" s="70">
        <f t="shared" si="23"/>
        <v>99</v>
      </c>
      <c r="AQ40">
        <f>AQ39-112</f>
        <v>7</v>
      </c>
      <c r="AT40">
        <f>AT39-112</f>
        <v>112</v>
      </c>
    </row>
    <row r="41" spans="1:46" x14ac:dyDescent="0.25">
      <c r="A41" t="s">
        <v>36</v>
      </c>
      <c r="B41" s="16" t="s">
        <v>453</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2">
        <f t="shared" si="17"/>
        <v>0</v>
      </c>
      <c r="O41" s="242">
        <v>18</v>
      </c>
      <c r="P41" s="242">
        <v>33</v>
      </c>
      <c r="Q41" s="242">
        <f t="shared" si="13"/>
        <v>0</v>
      </c>
      <c r="R41" s="242">
        <f t="shared" si="13"/>
        <v>0</v>
      </c>
      <c r="S41" s="242">
        <f t="shared" si="13"/>
        <v>0</v>
      </c>
      <c r="T41" s="242">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2">
        <f t="shared" si="20"/>
        <v>0</v>
      </c>
      <c r="AH41" s="242">
        <f t="shared" si="15"/>
        <v>18</v>
      </c>
      <c r="AI41" s="242">
        <v>48</v>
      </c>
      <c r="AJ41" s="242">
        <f t="shared" si="15"/>
        <v>0</v>
      </c>
      <c r="AK41" s="242">
        <f t="shared" si="15"/>
        <v>0</v>
      </c>
      <c r="AL41" s="242">
        <v>33</v>
      </c>
      <c r="AM41" s="242">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2">
        <f t="shared" si="17"/>
        <v>0</v>
      </c>
      <c r="O42" s="242">
        <f t="shared" si="13"/>
        <v>0</v>
      </c>
      <c r="P42" s="242">
        <f t="shared" si="13"/>
        <v>11</v>
      </c>
      <c r="Q42" s="242">
        <f t="shared" si="13"/>
        <v>20.5</v>
      </c>
      <c r="R42" s="242">
        <f t="shared" si="13"/>
        <v>21</v>
      </c>
      <c r="S42" s="242">
        <f t="shared" si="13"/>
        <v>2</v>
      </c>
      <c r="T42" s="242">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2">
        <f t="shared" si="20"/>
        <v>0</v>
      </c>
      <c r="AH42" s="242">
        <f t="shared" si="15"/>
        <v>0</v>
      </c>
      <c r="AI42" s="242">
        <f>P42+15</f>
        <v>26</v>
      </c>
      <c r="AJ42" s="242">
        <f t="shared" si="15"/>
        <v>20.5</v>
      </c>
      <c r="AK42" s="242">
        <f t="shared" si="15"/>
        <v>21</v>
      </c>
      <c r="AL42" s="242">
        <f>2+33</f>
        <v>35</v>
      </c>
      <c r="AM42" s="242">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2">
        <f t="shared" si="17"/>
        <v>0</v>
      </c>
      <c r="O43" s="242">
        <f t="shared" si="13"/>
        <v>14</v>
      </c>
      <c r="P43" s="242">
        <f t="shared" si="13"/>
        <v>3</v>
      </c>
      <c r="Q43" s="242">
        <f t="shared" si="13"/>
        <v>15</v>
      </c>
      <c r="R43" s="242">
        <f t="shared" si="13"/>
        <v>21</v>
      </c>
      <c r="S43" s="242">
        <f t="shared" si="13"/>
        <v>0</v>
      </c>
      <c r="T43" s="242">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2">
        <f t="shared" si="20"/>
        <v>0</v>
      </c>
      <c r="AH43" s="242">
        <f t="shared" si="15"/>
        <v>14</v>
      </c>
      <c r="AI43" s="242">
        <f>P43+15</f>
        <v>18</v>
      </c>
      <c r="AJ43" s="242">
        <f t="shared" si="15"/>
        <v>15</v>
      </c>
      <c r="AK43" s="242">
        <f t="shared" si="15"/>
        <v>21</v>
      </c>
      <c r="AL43" s="242">
        <v>33</v>
      </c>
      <c r="AM43" s="242">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2">
        <f t="shared" si="17"/>
        <v>0</v>
      </c>
      <c r="O44" s="242">
        <f t="shared" si="13"/>
        <v>3</v>
      </c>
      <c r="P44" s="242">
        <f t="shared" si="13"/>
        <v>9</v>
      </c>
      <c r="Q44" s="242">
        <f t="shared" si="13"/>
        <v>17.5</v>
      </c>
      <c r="R44" s="242">
        <f t="shared" si="13"/>
        <v>18</v>
      </c>
      <c r="S44" s="242">
        <f t="shared" si="13"/>
        <v>2</v>
      </c>
      <c r="T44" s="242">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2">
        <f t="shared" si="20"/>
        <v>0</v>
      </c>
      <c r="AH44" s="242">
        <f t="shared" si="15"/>
        <v>3</v>
      </c>
      <c r="AI44" s="242">
        <f>P44+15</f>
        <v>24</v>
      </c>
      <c r="AJ44" s="242">
        <f t="shared" si="15"/>
        <v>17.5</v>
      </c>
      <c r="AK44" s="242">
        <f t="shared" si="15"/>
        <v>18</v>
      </c>
      <c r="AL44" s="242">
        <f>2+33</f>
        <v>35</v>
      </c>
      <c r="AM44" s="242">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2">
        <f t="shared" si="17"/>
        <v>0</v>
      </c>
      <c r="O45" s="242">
        <f t="shared" si="13"/>
        <v>0</v>
      </c>
      <c r="P45" s="242">
        <f t="shared" si="13"/>
        <v>0</v>
      </c>
      <c r="Q45" s="242">
        <f t="shared" si="13"/>
        <v>0</v>
      </c>
      <c r="R45" s="242">
        <f t="shared" si="13"/>
        <v>0</v>
      </c>
      <c r="S45" s="242">
        <f t="shared" si="13"/>
        <v>0</v>
      </c>
      <c r="T45" s="242">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2">
        <f t="shared" si="20"/>
        <v>0</v>
      </c>
      <c r="AH45" s="242">
        <f t="shared" si="15"/>
        <v>0</v>
      </c>
      <c r="AI45" s="242">
        <f t="shared" si="15"/>
        <v>0</v>
      </c>
      <c r="AJ45" s="242">
        <f t="shared" si="15"/>
        <v>0</v>
      </c>
      <c r="AK45" s="242">
        <f t="shared" si="15"/>
        <v>0</v>
      </c>
      <c r="AL45" s="242">
        <f t="shared" si="15"/>
        <v>0</v>
      </c>
      <c r="AM45" s="242">
        <f t="shared" si="15"/>
        <v>0</v>
      </c>
      <c r="AN45" s="70">
        <f t="shared" ref="AN45:AN46" si="29">SUM(AG45:AM45)</f>
        <v>0</v>
      </c>
    </row>
    <row r="46" spans="1:46" x14ac:dyDescent="0.25">
      <c r="A46" t="s">
        <v>452</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2">
        <f t="shared" si="17"/>
        <v>0</v>
      </c>
      <c r="O46" s="242">
        <f t="shared" si="13"/>
        <v>0</v>
      </c>
      <c r="P46" s="242">
        <f t="shared" si="13"/>
        <v>0</v>
      </c>
      <c r="Q46" s="242">
        <f t="shared" si="13"/>
        <v>0</v>
      </c>
      <c r="R46" s="242">
        <f t="shared" si="13"/>
        <v>0</v>
      </c>
      <c r="S46" s="242">
        <f t="shared" si="13"/>
        <v>0</v>
      </c>
      <c r="T46" s="242">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2">
        <f t="shared" si="20"/>
        <v>0</v>
      </c>
      <c r="AH46" s="242">
        <f t="shared" si="15"/>
        <v>0</v>
      </c>
      <c r="AI46" s="242">
        <f t="shared" si="15"/>
        <v>0</v>
      </c>
      <c r="AJ46" s="242">
        <f t="shared" si="15"/>
        <v>0</v>
      </c>
      <c r="AK46" s="242">
        <f t="shared" si="15"/>
        <v>0</v>
      </c>
      <c r="AL46" s="242">
        <f t="shared" si="15"/>
        <v>0</v>
      </c>
      <c r="AM46" s="242">
        <f t="shared" si="15"/>
        <v>0</v>
      </c>
      <c r="AN46" s="70">
        <f t="shared" si="29"/>
        <v>0</v>
      </c>
    </row>
    <row r="47" spans="1:46" x14ac:dyDescent="0.25">
      <c r="A47"/>
      <c r="B47"/>
      <c r="F47" s="242"/>
      <c r="G47" s="242"/>
      <c r="H47" s="242"/>
      <c r="I47" s="242"/>
      <c r="J47" s="242"/>
      <c r="K47" s="242"/>
      <c r="L47" s="242"/>
      <c r="M47" s="243">
        <f>SUM(M49:M63)</f>
        <v>64407.92</v>
      </c>
      <c r="N47" s="242"/>
      <c r="O47" s="242"/>
      <c r="P47" s="242"/>
      <c r="Q47" s="242"/>
      <c r="R47" s="242"/>
      <c r="S47" s="242"/>
      <c r="T47" s="242"/>
      <c r="U47" s="242"/>
      <c r="Y47" s="242"/>
      <c r="Z47" s="242"/>
      <c r="AA47" s="242"/>
      <c r="AB47" s="242"/>
      <c r="AC47" s="242"/>
      <c r="AD47" s="242"/>
      <c r="AE47" s="242"/>
      <c r="AF47" s="243">
        <f>SUM(AF49:AF63)</f>
        <v>89732.88</v>
      </c>
      <c r="AG47" s="242"/>
      <c r="AH47" s="242"/>
      <c r="AI47" s="242"/>
      <c r="AJ47" s="242"/>
      <c r="AK47" s="242"/>
      <c r="AL47" s="242"/>
      <c r="AM47" s="242"/>
      <c r="AN47" s="242"/>
    </row>
    <row r="48" spans="1:46" x14ac:dyDescent="0.25">
      <c r="A48" s="11" t="s">
        <v>181</v>
      </c>
      <c r="B48" s="11" t="s">
        <v>2</v>
      </c>
      <c r="C48" s="11" t="s">
        <v>88</v>
      </c>
      <c r="D48" s="11" t="s">
        <v>439</v>
      </c>
      <c r="E48" s="11" t="s">
        <v>440</v>
      </c>
      <c r="F48" s="11" t="s">
        <v>15</v>
      </c>
      <c r="G48" s="11" t="s">
        <v>16</v>
      </c>
      <c r="H48" s="11" t="s">
        <v>17</v>
      </c>
      <c r="I48" s="11" t="s">
        <v>18</v>
      </c>
      <c r="J48" s="11" t="s">
        <v>19</v>
      </c>
      <c r="K48" s="11" t="s">
        <v>20</v>
      </c>
      <c r="L48" s="11" t="s">
        <v>6</v>
      </c>
      <c r="M48" s="11" t="s">
        <v>70</v>
      </c>
      <c r="N48" s="11" t="s">
        <v>441</v>
      </c>
      <c r="O48" s="11" t="s">
        <v>442</v>
      </c>
      <c r="P48" s="11" t="s">
        <v>443</v>
      </c>
      <c r="Q48" s="11" t="s">
        <v>444</v>
      </c>
      <c r="R48" s="11" t="s">
        <v>445</v>
      </c>
      <c r="S48" s="11" t="s">
        <v>446</v>
      </c>
      <c r="T48" s="11" t="s">
        <v>447</v>
      </c>
      <c r="U48" s="11" t="s">
        <v>448</v>
      </c>
      <c r="W48" s="11" t="s">
        <v>439</v>
      </c>
      <c r="X48" s="11" t="s">
        <v>440</v>
      </c>
      <c r="Y48" s="11" t="s">
        <v>15</v>
      </c>
      <c r="Z48" s="11" t="s">
        <v>16</v>
      </c>
      <c r="AA48" s="11" t="s">
        <v>17</v>
      </c>
      <c r="AB48" s="11" t="s">
        <v>18</v>
      </c>
      <c r="AC48" s="11" t="s">
        <v>19</v>
      </c>
      <c r="AD48" s="11" t="s">
        <v>20</v>
      </c>
      <c r="AE48" s="11" t="s">
        <v>6</v>
      </c>
      <c r="AF48" s="11" t="s">
        <v>70</v>
      </c>
      <c r="AG48" s="11" t="s">
        <v>441</v>
      </c>
      <c r="AH48" s="11" t="s">
        <v>442</v>
      </c>
      <c r="AI48" s="11" t="s">
        <v>443</v>
      </c>
      <c r="AJ48" s="11" t="s">
        <v>444</v>
      </c>
      <c r="AK48" s="11" t="s">
        <v>445</v>
      </c>
      <c r="AL48" s="11" t="s">
        <v>446</v>
      </c>
      <c r="AM48" s="11" t="s">
        <v>447</v>
      </c>
      <c r="AN48" s="11" t="s">
        <v>448</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2">
        <f>AG31</f>
        <v>0</v>
      </c>
      <c r="O49" s="242">
        <f t="shared" ref="O49:T64" si="31">AH31</f>
        <v>0</v>
      </c>
      <c r="P49" s="242">
        <f t="shared" si="31"/>
        <v>0</v>
      </c>
      <c r="Q49" s="242">
        <f t="shared" si="31"/>
        <v>0</v>
      </c>
      <c r="R49" s="242">
        <f t="shared" si="31"/>
        <v>0</v>
      </c>
      <c r="S49" s="242">
        <f t="shared" si="31"/>
        <v>0</v>
      </c>
      <c r="T49" s="242">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2">
        <f>N49</f>
        <v>0</v>
      </c>
      <c r="AH49" s="242">
        <f t="shared" ref="AH49:AM64" si="33">O49</f>
        <v>0</v>
      </c>
      <c r="AI49" s="242">
        <f t="shared" si="33"/>
        <v>0</v>
      </c>
      <c r="AJ49" s="242">
        <f t="shared" si="33"/>
        <v>0</v>
      </c>
      <c r="AK49" s="242">
        <f t="shared" si="33"/>
        <v>0</v>
      </c>
      <c r="AL49" s="242">
        <f t="shared" si="33"/>
        <v>0</v>
      </c>
      <c r="AM49" s="242">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2">
        <f t="shared" si="30"/>
        <v>0</v>
      </c>
      <c r="O50" s="242">
        <f t="shared" si="31"/>
        <v>0</v>
      </c>
      <c r="P50" s="242">
        <f t="shared" si="31"/>
        <v>0</v>
      </c>
      <c r="Q50" s="242">
        <f t="shared" si="31"/>
        <v>0</v>
      </c>
      <c r="R50" s="242">
        <f t="shared" si="31"/>
        <v>0</v>
      </c>
      <c r="S50" s="242">
        <f t="shared" si="31"/>
        <v>0</v>
      </c>
      <c r="T50" s="242">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2">
        <f t="shared" ref="AG50:AG64" si="37">N50</f>
        <v>0</v>
      </c>
      <c r="AH50" s="242">
        <f t="shared" si="33"/>
        <v>0</v>
      </c>
      <c r="AI50" s="242">
        <f t="shared" si="33"/>
        <v>0</v>
      </c>
      <c r="AJ50" s="242">
        <f t="shared" si="33"/>
        <v>0</v>
      </c>
      <c r="AK50" s="242">
        <f t="shared" si="33"/>
        <v>0</v>
      </c>
      <c r="AL50" s="242">
        <f t="shared" si="33"/>
        <v>0</v>
      </c>
      <c r="AM50" s="242">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2">
        <f t="shared" si="30"/>
        <v>0</v>
      </c>
      <c r="O51" s="242">
        <f t="shared" si="31"/>
        <v>0</v>
      </c>
      <c r="P51" s="242">
        <f t="shared" si="31"/>
        <v>0</v>
      </c>
      <c r="Q51" s="242">
        <f t="shared" si="31"/>
        <v>0</v>
      </c>
      <c r="R51" s="242">
        <f t="shared" si="31"/>
        <v>0</v>
      </c>
      <c r="S51" s="242">
        <f t="shared" si="31"/>
        <v>0</v>
      </c>
      <c r="T51" s="242">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2">
        <f t="shared" si="37"/>
        <v>0</v>
      </c>
      <c r="AH51" s="242">
        <f t="shared" si="33"/>
        <v>0</v>
      </c>
      <c r="AI51" s="242">
        <f t="shared" si="33"/>
        <v>0</v>
      </c>
      <c r="AJ51" s="242">
        <f t="shared" si="33"/>
        <v>0</v>
      </c>
      <c r="AK51" s="242">
        <f t="shared" si="33"/>
        <v>0</v>
      </c>
      <c r="AL51" s="242">
        <f t="shared" si="33"/>
        <v>0</v>
      </c>
      <c r="AM51" s="242">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2">
        <f t="shared" si="30"/>
        <v>0</v>
      </c>
      <c r="O52" s="242">
        <f t="shared" si="31"/>
        <v>0</v>
      </c>
      <c r="P52" s="242">
        <f t="shared" si="31"/>
        <v>0</v>
      </c>
      <c r="Q52" s="242">
        <f t="shared" si="31"/>
        <v>0</v>
      </c>
      <c r="R52" s="242">
        <f t="shared" si="31"/>
        <v>0</v>
      </c>
      <c r="S52" s="242">
        <f t="shared" si="31"/>
        <v>0</v>
      </c>
      <c r="T52" s="242">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2">
        <f t="shared" si="37"/>
        <v>0</v>
      </c>
      <c r="AH52" s="242">
        <f t="shared" si="33"/>
        <v>0</v>
      </c>
      <c r="AI52" s="242">
        <f t="shared" si="33"/>
        <v>0</v>
      </c>
      <c r="AJ52" s="242">
        <f t="shared" si="33"/>
        <v>0</v>
      </c>
      <c r="AK52" s="242">
        <f t="shared" si="33"/>
        <v>0</v>
      </c>
      <c r="AL52" s="242">
        <f t="shared" si="33"/>
        <v>0</v>
      </c>
      <c r="AM52" s="242">
        <f t="shared" si="33"/>
        <v>0</v>
      </c>
      <c r="AN52" s="70">
        <f>SUM(AG52:AM52)</f>
        <v>0</v>
      </c>
    </row>
    <row r="53" spans="1:43" x14ac:dyDescent="0.25">
      <c r="A53" t="s">
        <v>41</v>
      </c>
      <c r="B53" s="16" t="s">
        <v>454</v>
      </c>
      <c r="C53" s="4" t="s">
        <v>190</v>
      </c>
      <c r="D53" s="4">
        <v>21</v>
      </c>
      <c r="E53" s="4">
        <v>70</v>
      </c>
      <c r="F53" s="121">
        <f t="shared" si="34"/>
        <v>0</v>
      </c>
      <c r="G53" s="121">
        <v>9</v>
      </c>
      <c r="H53" s="121">
        <v>10</v>
      </c>
      <c r="I53" s="121">
        <f t="shared" si="30"/>
        <v>2</v>
      </c>
      <c r="J53" s="121">
        <f t="shared" si="30"/>
        <v>2</v>
      </c>
      <c r="K53" s="121">
        <v>10</v>
      </c>
      <c r="L53" s="121">
        <f t="shared" si="30"/>
        <v>2</v>
      </c>
      <c r="M53" s="51">
        <f>(2910+1315+1165)*1.008</f>
        <v>5433.12</v>
      </c>
      <c r="N53" s="242">
        <f t="shared" si="30"/>
        <v>0</v>
      </c>
      <c r="O53" s="242">
        <v>30</v>
      </c>
      <c r="P53" s="242">
        <v>33</v>
      </c>
      <c r="Q53" s="242">
        <f t="shared" si="31"/>
        <v>0</v>
      </c>
      <c r="R53" s="242">
        <f t="shared" si="31"/>
        <v>0</v>
      </c>
      <c r="S53" s="242">
        <v>33</v>
      </c>
      <c r="T53" s="242">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2">
        <f t="shared" si="37"/>
        <v>0</v>
      </c>
      <c r="AH53" s="242">
        <f>O53+$AQ$54</f>
        <v>56</v>
      </c>
      <c r="AI53" s="242">
        <f t="shared" si="33"/>
        <v>33</v>
      </c>
      <c r="AJ53" s="242">
        <f t="shared" si="33"/>
        <v>0</v>
      </c>
      <c r="AK53" s="242">
        <f t="shared" si="33"/>
        <v>0</v>
      </c>
      <c r="AL53" s="242">
        <f t="shared" si="33"/>
        <v>33</v>
      </c>
      <c r="AM53" s="242">
        <f t="shared" si="33"/>
        <v>0</v>
      </c>
      <c r="AN53" s="70">
        <f t="shared" ref="AN53:AN60" si="40">SUM(AG53:AM53)</f>
        <v>122</v>
      </c>
    </row>
    <row r="54" spans="1:43" x14ac:dyDescent="0.25">
      <c r="A54" t="s">
        <v>38</v>
      </c>
      <c r="B54" s="16" t="s">
        <v>454</v>
      </c>
      <c r="C54" s="4" t="s">
        <v>190</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2">
        <f t="shared" si="30"/>
        <v>0</v>
      </c>
      <c r="O54" s="242">
        <v>30</v>
      </c>
      <c r="P54" s="242">
        <v>33</v>
      </c>
      <c r="Q54" s="242">
        <f t="shared" si="31"/>
        <v>0</v>
      </c>
      <c r="R54" s="242">
        <f t="shared" si="31"/>
        <v>0</v>
      </c>
      <c r="S54" s="242">
        <v>33</v>
      </c>
      <c r="T54" s="242">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2">
        <f t="shared" si="37"/>
        <v>0</v>
      </c>
      <c r="AH54" s="242">
        <f t="shared" ref="AH54:AH62" si="45">O54+$AQ$54</f>
        <v>56</v>
      </c>
      <c r="AI54" s="242">
        <f t="shared" si="33"/>
        <v>33</v>
      </c>
      <c r="AJ54" s="242">
        <f t="shared" si="33"/>
        <v>0</v>
      </c>
      <c r="AK54" s="242">
        <f t="shared" si="33"/>
        <v>0</v>
      </c>
      <c r="AL54" s="242">
        <f t="shared" si="33"/>
        <v>33</v>
      </c>
      <c r="AM54" s="242">
        <f t="shared" si="33"/>
        <v>0</v>
      </c>
      <c r="AN54" s="70">
        <f t="shared" si="40"/>
        <v>122</v>
      </c>
      <c r="AP54" s="246" t="s">
        <v>30</v>
      </c>
      <c r="AQ54" s="246">
        <v>26</v>
      </c>
    </row>
    <row r="55" spans="1:43" x14ac:dyDescent="0.25">
      <c r="A55" t="s">
        <v>35</v>
      </c>
      <c r="B55" s="16" t="s">
        <v>454</v>
      </c>
      <c r="C55" s="4" t="s">
        <v>402</v>
      </c>
      <c r="D55" s="4">
        <v>21</v>
      </c>
      <c r="E55" s="4">
        <v>70</v>
      </c>
      <c r="F55" s="121">
        <f t="shared" si="34"/>
        <v>0</v>
      </c>
      <c r="G55" s="121">
        <v>9</v>
      </c>
      <c r="H55" s="121">
        <v>10</v>
      </c>
      <c r="I55" s="121">
        <f t="shared" si="30"/>
        <v>2</v>
      </c>
      <c r="J55" s="121">
        <f t="shared" si="30"/>
        <v>2</v>
      </c>
      <c r="K55" s="121">
        <v>10</v>
      </c>
      <c r="L55" s="121">
        <f t="shared" si="30"/>
        <v>2</v>
      </c>
      <c r="M55" s="51">
        <f t="shared" si="41"/>
        <v>5433.12</v>
      </c>
      <c r="N55" s="242">
        <f t="shared" si="30"/>
        <v>0</v>
      </c>
      <c r="O55" s="242">
        <v>30</v>
      </c>
      <c r="P55" s="242">
        <v>33</v>
      </c>
      <c r="Q55" s="242">
        <f t="shared" si="31"/>
        <v>0</v>
      </c>
      <c r="R55" s="242">
        <f t="shared" si="31"/>
        <v>0</v>
      </c>
      <c r="S55" s="242">
        <v>33</v>
      </c>
      <c r="T55" s="242">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2">
        <f t="shared" si="37"/>
        <v>0</v>
      </c>
      <c r="AH55" s="242">
        <f t="shared" si="45"/>
        <v>56</v>
      </c>
      <c r="AI55" s="242">
        <f t="shared" si="33"/>
        <v>33</v>
      </c>
      <c r="AJ55" s="242">
        <f t="shared" si="33"/>
        <v>0</v>
      </c>
      <c r="AK55" s="242">
        <f t="shared" si="33"/>
        <v>0</v>
      </c>
      <c r="AL55" s="242">
        <f t="shared" si="33"/>
        <v>33</v>
      </c>
      <c r="AM55" s="242">
        <f t="shared" si="33"/>
        <v>0</v>
      </c>
      <c r="AN55" s="70">
        <f t="shared" si="40"/>
        <v>122</v>
      </c>
      <c r="AQ55">
        <f>AQ54*7</f>
        <v>182</v>
      </c>
    </row>
    <row r="56" spans="1:43" x14ac:dyDescent="0.25">
      <c r="A56" t="s">
        <v>31</v>
      </c>
      <c r="B56" s="16" t="s">
        <v>454</v>
      </c>
      <c r="C56" s="4" t="s">
        <v>402</v>
      </c>
      <c r="D56" s="4">
        <v>21</v>
      </c>
      <c r="E56" s="4">
        <v>70</v>
      </c>
      <c r="F56" s="121">
        <f t="shared" si="34"/>
        <v>0</v>
      </c>
      <c r="G56" s="121">
        <v>9</v>
      </c>
      <c r="H56" s="121">
        <v>10</v>
      </c>
      <c r="I56" s="121">
        <f t="shared" si="30"/>
        <v>2</v>
      </c>
      <c r="J56" s="121">
        <f t="shared" si="30"/>
        <v>2</v>
      </c>
      <c r="K56" s="121">
        <v>10</v>
      </c>
      <c r="L56" s="121">
        <f t="shared" si="30"/>
        <v>2</v>
      </c>
      <c r="M56" s="51">
        <f t="shared" si="41"/>
        <v>5433.12</v>
      </c>
      <c r="N56" s="242">
        <f t="shared" si="30"/>
        <v>0</v>
      </c>
      <c r="O56" s="242">
        <v>30</v>
      </c>
      <c r="P56" s="242">
        <v>33</v>
      </c>
      <c r="Q56" s="242">
        <f t="shared" si="31"/>
        <v>0</v>
      </c>
      <c r="R56" s="242">
        <f t="shared" si="31"/>
        <v>0</v>
      </c>
      <c r="S56" s="242">
        <v>33</v>
      </c>
      <c r="T56" s="242">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2">
        <f t="shared" si="37"/>
        <v>0</v>
      </c>
      <c r="AH56" s="242">
        <f t="shared" si="45"/>
        <v>56</v>
      </c>
      <c r="AI56" s="242">
        <f t="shared" si="33"/>
        <v>33</v>
      </c>
      <c r="AJ56" s="242">
        <f t="shared" si="33"/>
        <v>0</v>
      </c>
      <c r="AK56" s="242">
        <f t="shared" si="33"/>
        <v>0</v>
      </c>
      <c r="AL56" s="242">
        <f t="shared" si="33"/>
        <v>33</v>
      </c>
      <c r="AM56" s="242">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2">
        <f t="shared" si="30"/>
        <v>0</v>
      </c>
      <c r="O57" s="242">
        <f t="shared" si="31"/>
        <v>18</v>
      </c>
      <c r="P57" s="242">
        <f t="shared" si="31"/>
        <v>48</v>
      </c>
      <c r="Q57" s="242">
        <f t="shared" si="31"/>
        <v>0</v>
      </c>
      <c r="R57" s="242">
        <f t="shared" si="31"/>
        <v>0</v>
      </c>
      <c r="S57" s="242">
        <f t="shared" si="31"/>
        <v>33</v>
      </c>
      <c r="T57" s="242">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2">
        <f t="shared" si="37"/>
        <v>0</v>
      </c>
      <c r="AH57" s="242">
        <f t="shared" si="45"/>
        <v>44</v>
      </c>
      <c r="AI57" s="242">
        <f t="shared" si="33"/>
        <v>48</v>
      </c>
      <c r="AJ57" s="242">
        <f t="shared" si="33"/>
        <v>0</v>
      </c>
      <c r="AK57" s="242">
        <f t="shared" si="33"/>
        <v>0</v>
      </c>
      <c r="AL57" s="242">
        <f t="shared" si="33"/>
        <v>33</v>
      </c>
      <c r="AM57" s="242">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2">
        <f t="shared" si="30"/>
        <v>0</v>
      </c>
      <c r="O58" s="242">
        <f t="shared" si="31"/>
        <v>18</v>
      </c>
      <c r="P58" s="242">
        <f t="shared" si="31"/>
        <v>48</v>
      </c>
      <c r="Q58" s="242">
        <f t="shared" si="31"/>
        <v>0</v>
      </c>
      <c r="R58" s="242">
        <f t="shared" si="31"/>
        <v>0</v>
      </c>
      <c r="S58" s="242">
        <f t="shared" si="31"/>
        <v>33</v>
      </c>
      <c r="T58" s="242">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2">
        <f t="shared" si="37"/>
        <v>0</v>
      </c>
      <c r="AH58" s="242">
        <f t="shared" si="45"/>
        <v>44</v>
      </c>
      <c r="AI58" s="242">
        <f t="shared" si="33"/>
        <v>48</v>
      </c>
      <c r="AJ58" s="242">
        <f t="shared" si="33"/>
        <v>0</v>
      </c>
      <c r="AK58" s="242">
        <f t="shared" si="33"/>
        <v>0</v>
      </c>
      <c r="AL58" s="242">
        <f t="shared" si="33"/>
        <v>33</v>
      </c>
      <c r="AM58" s="242">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2">
        <f t="shared" si="30"/>
        <v>0</v>
      </c>
      <c r="O59" s="242">
        <f t="shared" si="31"/>
        <v>18</v>
      </c>
      <c r="P59" s="242">
        <f t="shared" si="31"/>
        <v>48</v>
      </c>
      <c r="Q59" s="242">
        <f t="shared" si="31"/>
        <v>0</v>
      </c>
      <c r="R59" s="242">
        <f t="shared" si="31"/>
        <v>0</v>
      </c>
      <c r="S59" s="242">
        <f t="shared" si="31"/>
        <v>33</v>
      </c>
      <c r="T59" s="242">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2">
        <f t="shared" si="37"/>
        <v>0</v>
      </c>
      <c r="AH59" s="242">
        <f t="shared" si="45"/>
        <v>44</v>
      </c>
      <c r="AI59" s="242">
        <f t="shared" si="33"/>
        <v>48</v>
      </c>
      <c r="AJ59" s="242">
        <f t="shared" si="33"/>
        <v>0</v>
      </c>
      <c r="AK59" s="242">
        <f t="shared" si="33"/>
        <v>0</v>
      </c>
      <c r="AL59" s="242">
        <f t="shared" si="33"/>
        <v>33</v>
      </c>
      <c r="AM59" s="242">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2">
        <f t="shared" si="30"/>
        <v>0</v>
      </c>
      <c r="O60" s="242">
        <f t="shared" si="31"/>
        <v>0</v>
      </c>
      <c r="P60" s="242">
        <f t="shared" si="31"/>
        <v>26</v>
      </c>
      <c r="Q60" s="242">
        <f t="shared" si="31"/>
        <v>20.5</v>
      </c>
      <c r="R60" s="242">
        <f t="shared" si="31"/>
        <v>21</v>
      </c>
      <c r="S60" s="242">
        <f t="shared" si="31"/>
        <v>35</v>
      </c>
      <c r="T60" s="242">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2">
        <f t="shared" si="37"/>
        <v>0</v>
      </c>
      <c r="AH60" s="242">
        <f t="shared" si="45"/>
        <v>26</v>
      </c>
      <c r="AI60" s="242">
        <f t="shared" si="33"/>
        <v>26</v>
      </c>
      <c r="AJ60" s="242">
        <f t="shared" si="33"/>
        <v>20.5</v>
      </c>
      <c r="AK60" s="242">
        <f t="shared" si="33"/>
        <v>21</v>
      </c>
      <c r="AL60" s="242">
        <f t="shared" si="33"/>
        <v>35</v>
      </c>
      <c r="AM60" s="242">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2">
        <f t="shared" si="30"/>
        <v>0</v>
      </c>
      <c r="O61" s="242">
        <f t="shared" si="31"/>
        <v>14</v>
      </c>
      <c r="P61" s="242">
        <f t="shared" si="31"/>
        <v>18</v>
      </c>
      <c r="Q61" s="242">
        <f t="shared" si="31"/>
        <v>15</v>
      </c>
      <c r="R61" s="242">
        <f t="shared" si="31"/>
        <v>21</v>
      </c>
      <c r="S61" s="242">
        <f t="shared" si="31"/>
        <v>33</v>
      </c>
      <c r="T61" s="242">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2">
        <f t="shared" si="37"/>
        <v>0</v>
      </c>
      <c r="AH61" s="242">
        <f t="shared" si="45"/>
        <v>40</v>
      </c>
      <c r="AI61" s="242">
        <f t="shared" si="33"/>
        <v>18</v>
      </c>
      <c r="AJ61" s="242">
        <f t="shared" si="33"/>
        <v>15</v>
      </c>
      <c r="AK61" s="242">
        <f t="shared" si="33"/>
        <v>21</v>
      </c>
      <c r="AL61" s="242">
        <f t="shared" si="33"/>
        <v>33</v>
      </c>
      <c r="AM61" s="242">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2">
        <f t="shared" si="30"/>
        <v>0</v>
      </c>
      <c r="O62" s="242">
        <f t="shared" si="31"/>
        <v>3</v>
      </c>
      <c r="P62" s="242">
        <f t="shared" si="31"/>
        <v>24</v>
      </c>
      <c r="Q62" s="242">
        <f t="shared" si="31"/>
        <v>17.5</v>
      </c>
      <c r="R62" s="242">
        <f t="shared" si="31"/>
        <v>18</v>
      </c>
      <c r="S62" s="242">
        <f t="shared" si="31"/>
        <v>35</v>
      </c>
      <c r="T62" s="242">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2">
        <f t="shared" si="37"/>
        <v>0</v>
      </c>
      <c r="AH62" s="242">
        <f t="shared" si="45"/>
        <v>29</v>
      </c>
      <c r="AI62" s="242">
        <f t="shared" si="33"/>
        <v>24</v>
      </c>
      <c r="AJ62" s="242">
        <f t="shared" si="33"/>
        <v>17.5</v>
      </c>
      <c r="AK62" s="242">
        <f t="shared" si="33"/>
        <v>18</v>
      </c>
      <c r="AL62" s="242">
        <f t="shared" si="33"/>
        <v>35</v>
      </c>
      <c r="AM62" s="242">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2">
        <f t="shared" si="30"/>
        <v>0</v>
      </c>
      <c r="O63" s="242">
        <f t="shared" si="31"/>
        <v>0</v>
      </c>
      <c r="P63" s="242">
        <f t="shared" si="31"/>
        <v>0</v>
      </c>
      <c r="Q63" s="242">
        <f t="shared" si="31"/>
        <v>0</v>
      </c>
      <c r="R63" s="242">
        <f t="shared" si="31"/>
        <v>0</v>
      </c>
      <c r="S63" s="242">
        <f t="shared" si="31"/>
        <v>0</v>
      </c>
      <c r="T63" s="242">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2">
        <f t="shared" si="37"/>
        <v>0</v>
      </c>
      <c r="AH63" s="242">
        <f t="shared" si="33"/>
        <v>0</v>
      </c>
      <c r="AI63" s="242">
        <f t="shared" si="33"/>
        <v>0</v>
      </c>
      <c r="AJ63" s="242">
        <f t="shared" si="33"/>
        <v>0</v>
      </c>
      <c r="AK63" s="242">
        <f t="shared" si="33"/>
        <v>0</v>
      </c>
      <c r="AL63" s="242">
        <f t="shared" si="33"/>
        <v>0</v>
      </c>
      <c r="AM63" s="242">
        <f t="shared" si="33"/>
        <v>0</v>
      </c>
      <c r="AN63" s="70">
        <f t="shared" ref="AN63:AN64" si="53">SUM(AG63:AM63)</f>
        <v>0</v>
      </c>
    </row>
    <row r="64" spans="1:43" x14ac:dyDescent="0.25">
      <c r="A64" t="s">
        <v>452</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2">
        <f t="shared" si="30"/>
        <v>0</v>
      </c>
      <c r="O64" s="242">
        <f t="shared" si="31"/>
        <v>0</v>
      </c>
      <c r="P64" s="242">
        <f t="shared" si="31"/>
        <v>0</v>
      </c>
      <c r="Q64" s="242">
        <f t="shared" si="31"/>
        <v>0</v>
      </c>
      <c r="R64" s="242">
        <f t="shared" si="31"/>
        <v>0</v>
      </c>
      <c r="S64" s="242">
        <f t="shared" si="31"/>
        <v>0</v>
      </c>
      <c r="T64" s="242">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2">
        <f t="shared" si="37"/>
        <v>0</v>
      </c>
      <c r="AH64" s="242">
        <f t="shared" si="33"/>
        <v>0</v>
      </c>
      <c r="AI64" s="242">
        <f t="shared" si="33"/>
        <v>0</v>
      </c>
      <c r="AJ64" s="242">
        <f t="shared" si="33"/>
        <v>0</v>
      </c>
      <c r="AK64" s="242">
        <f t="shared" si="33"/>
        <v>0</v>
      </c>
      <c r="AL64" s="242">
        <f t="shared" si="33"/>
        <v>0</v>
      </c>
      <c r="AM64" s="242">
        <f t="shared" si="33"/>
        <v>0</v>
      </c>
      <c r="AN64" s="70">
        <f t="shared" si="53"/>
        <v>0</v>
      </c>
    </row>
    <row r="65" spans="1:43" x14ac:dyDescent="0.25">
      <c r="A65"/>
      <c r="B65"/>
      <c r="F65" s="242"/>
      <c r="G65" s="242"/>
      <c r="H65" s="242"/>
      <c r="I65" s="242"/>
      <c r="J65" s="242"/>
      <c r="K65" s="242"/>
      <c r="L65" s="242"/>
      <c r="M65" s="243">
        <f>SUM(M67:M81)</f>
        <v>151807.20000000001</v>
      </c>
      <c r="N65" s="242"/>
      <c r="O65" s="242"/>
      <c r="P65" s="242"/>
      <c r="Q65" s="242"/>
      <c r="R65" s="242"/>
      <c r="S65" s="242"/>
      <c r="T65" s="242"/>
      <c r="U65" s="242"/>
      <c r="Y65" s="242"/>
      <c r="Z65" s="242"/>
      <c r="AA65" s="242"/>
      <c r="AB65" s="242"/>
      <c r="AC65" s="242"/>
      <c r="AD65" s="242"/>
      <c r="AE65" s="242"/>
      <c r="AF65" s="243">
        <f>SUM(AF67:AF81)</f>
        <v>157600.34499999997</v>
      </c>
      <c r="AG65" s="242"/>
      <c r="AH65" s="242"/>
      <c r="AI65" s="242"/>
      <c r="AJ65" s="242"/>
      <c r="AK65" s="242"/>
      <c r="AL65" s="242"/>
      <c r="AM65" s="242"/>
      <c r="AN65" s="242"/>
    </row>
    <row r="66" spans="1:43" x14ac:dyDescent="0.25">
      <c r="A66" s="11" t="s">
        <v>181</v>
      </c>
      <c r="B66" s="11" t="s">
        <v>2</v>
      </c>
      <c r="C66" s="11" t="s">
        <v>88</v>
      </c>
      <c r="D66" s="11" t="s">
        <v>439</v>
      </c>
      <c r="E66" s="11" t="s">
        <v>440</v>
      </c>
      <c r="F66" s="11" t="s">
        <v>15</v>
      </c>
      <c r="G66" s="11" t="s">
        <v>16</v>
      </c>
      <c r="H66" s="11" t="s">
        <v>17</v>
      </c>
      <c r="I66" s="11" t="s">
        <v>18</v>
      </c>
      <c r="J66" s="11" t="s">
        <v>19</v>
      </c>
      <c r="K66" s="11" t="s">
        <v>20</v>
      </c>
      <c r="L66" s="11" t="s">
        <v>6</v>
      </c>
      <c r="M66" s="11" t="s">
        <v>70</v>
      </c>
      <c r="N66" s="11" t="s">
        <v>441</v>
      </c>
      <c r="O66" s="11" t="s">
        <v>442</v>
      </c>
      <c r="P66" s="11" t="s">
        <v>443</v>
      </c>
      <c r="Q66" s="11" t="s">
        <v>444</v>
      </c>
      <c r="R66" s="11" t="s">
        <v>445</v>
      </c>
      <c r="S66" s="11" t="s">
        <v>446</v>
      </c>
      <c r="T66" s="11" t="s">
        <v>447</v>
      </c>
      <c r="U66" s="11" t="s">
        <v>448</v>
      </c>
      <c r="W66" s="11" t="s">
        <v>439</v>
      </c>
      <c r="X66" s="11" t="s">
        <v>440</v>
      </c>
      <c r="Y66" s="11" t="s">
        <v>15</v>
      </c>
      <c r="Z66" s="11" t="s">
        <v>16</v>
      </c>
      <c r="AA66" s="11" t="s">
        <v>17</v>
      </c>
      <c r="AB66" s="11" t="s">
        <v>18</v>
      </c>
      <c r="AC66" s="11" t="s">
        <v>19</v>
      </c>
      <c r="AD66" s="11" t="s">
        <v>20</v>
      </c>
      <c r="AE66" s="11" t="s">
        <v>6</v>
      </c>
      <c r="AF66" s="11" t="s">
        <v>70</v>
      </c>
      <c r="AG66" s="11" t="s">
        <v>441</v>
      </c>
      <c r="AH66" s="11" t="s">
        <v>442</v>
      </c>
      <c r="AI66" s="11" t="s">
        <v>443</v>
      </c>
      <c r="AJ66" s="11" t="s">
        <v>444</v>
      </c>
      <c r="AK66" s="11" t="s">
        <v>445</v>
      </c>
      <c r="AL66" s="11" t="s">
        <v>446</v>
      </c>
      <c r="AM66" s="11" t="s">
        <v>447</v>
      </c>
      <c r="AN66" s="11" t="s">
        <v>448</v>
      </c>
    </row>
    <row r="67" spans="1:43" x14ac:dyDescent="0.25">
      <c r="A67" t="s">
        <v>29</v>
      </c>
      <c r="B67" s="16" t="s">
        <v>76</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2">
        <v>52</v>
      </c>
      <c r="O67" s="242">
        <v>37</v>
      </c>
      <c r="P67" s="242">
        <f t="shared" ref="P67:S82" si="55">AI49</f>
        <v>0</v>
      </c>
      <c r="Q67" s="242">
        <f t="shared" si="55"/>
        <v>0</v>
      </c>
      <c r="R67" s="242">
        <f t="shared" si="55"/>
        <v>0</v>
      </c>
      <c r="S67" s="242">
        <f t="shared" si="55"/>
        <v>0</v>
      </c>
      <c r="T67" s="242">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2">
        <f>N67</f>
        <v>52</v>
      </c>
      <c r="AH67" s="242">
        <f t="shared" ref="AH67:AL82" si="57">O67</f>
        <v>37</v>
      </c>
      <c r="AI67" s="242">
        <f t="shared" si="57"/>
        <v>0</v>
      </c>
      <c r="AJ67" s="242">
        <f t="shared" si="57"/>
        <v>0</v>
      </c>
      <c r="AK67" s="242">
        <f t="shared" si="57"/>
        <v>0</v>
      </c>
      <c r="AL67" s="242">
        <f t="shared" si="57"/>
        <v>0</v>
      </c>
      <c r="AM67" s="242">
        <f>T67+$AQ$74</f>
        <v>30</v>
      </c>
      <c r="AN67" s="70">
        <f>SUM(AG67:AM67)</f>
        <v>119</v>
      </c>
    </row>
    <row r="68" spans="1:43" x14ac:dyDescent="0.25">
      <c r="A68" t="s">
        <v>32</v>
      </c>
      <c r="B68" s="16" t="s">
        <v>454</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2">
        <f t="shared" si="59"/>
        <v>0</v>
      </c>
      <c r="O68" s="242">
        <v>56</v>
      </c>
      <c r="P68" s="242">
        <v>16</v>
      </c>
      <c r="Q68" s="242">
        <f t="shared" si="55"/>
        <v>0</v>
      </c>
      <c r="R68" s="242">
        <f t="shared" si="55"/>
        <v>0</v>
      </c>
      <c r="S68" s="242">
        <v>33</v>
      </c>
      <c r="T68" s="242">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2">
        <f t="shared" ref="AG68:AG82" si="63">N68</f>
        <v>0</v>
      </c>
      <c r="AH68" s="242">
        <f t="shared" si="57"/>
        <v>56</v>
      </c>
      <c r="AI68" s="242">
        <f t="shared" si="57"/>
        <v>16</v>
      </c>
      <c r="AJ68" s="242">
        <f t="shared" si="57"/>
        <v>0</v>
      </c>
      <c r="AK68" s="242">
        <f t="shared" si="57"/>
        <v>0</v>
      </c>
      <c r="AL68" s="242">
        <f t="shared" si="57"/>
        <v>33</v>
      </c>
      <c r="AM68" s="242">
        <f t="shared" ref="AM68:AM82" si="64">T68+$AQ$74</f>
        <v>25</v>
      </c>
      <c r="AN68" s="70">
        <f t="shared" ref="AN68" si="65">SUM(AG68:AM68)</f>
        <v>130</v>
      </c>
    </row>
    <row r="69" spans="1:43" x14ac:dyDescent="0.25">
      <c r="A69" t="s">
        <v>33</v>
      </c>
      <c r="B69" s="16" t="s">
        <v>454</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2">
        <f t="shared" si="59"/>
        <v>0</v>
      </c>
      <c r="O69" s="242">
        <v>56</v>
      </c>
      <c r="P69" s="242">
        <v>16</v>
      </c>
      <c r="Q69" s="242">
        <f t="shared" si="55"/>
        <v>0</v>
      </c>
      <c r="R69" s="242">
        <f t="shared" si="55"/>
        <v>0</v>
      </c>
      <c r="S69" s="242">
        <v>33</v>
      </c>
      <c r="T69" s="242">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2">
        <f t="shared" si="63"/>
        <v>0</v>
      </c>
      <c r="AH69" s="242">
        <f t="shared" si="57"/>
        <v>56</v>
      </c>
      <c r="AI69" s="242">
        <f t="shared" si="57"/>
        <v>16</v>
      </c>
      <c r="AJ69" s="242">
        <f t="shared" si="57"/>
        <v>0</v>
      </c>
      <c r="AK69" s="242">
        <f t="shared" si="57"/>
        <v>0</v>
      </c>
      <c r="AL69" s="242">
        <f t="shared" si="57"/>
        <v>33</v>
      </c>
      <c r="AM69" s="242">
        <f t="shared" si="64"/>
        <v>25</v>
      </c>
      <c r="AN69" s="70">
        <f>SUM(AG69:AM69)</f>
        <v>130</v>
      </c>
    </row>
    <row r="70" spans="1:43" x14ac:dyDescent="0.25">
      <c r="A70" t="s">
        <v>39</v>
      </c>
      <c r="B70" s="16" t="s">
        <v>454</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2">
        <f t="shared" si="59"/>
        <v>0</v>
      </c>
      <c r="O70" s="242">
        <v>56</v>
      </c>
      <c r="P70" s="242">
        <v>16</v>
      </c>
      <c r="Q70" s="242">
        <f t="shared" si="55"/>
        <v>0</v>
      </c>
      <c r="R70" s="242">
        <f t="shared" si="55"/>
        <v>0</v>
      </c>
      <c r="S70" s="242">
        <v>33</v>
      </c>
      <c r="T70" s="242">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2">
        <f t="shared" si="63"/>
        <v>0</v>
      </c>
      <c r="AH70" s="242">
        <f t="shared" si="57"/>
        <v>56</v>
      </c>
      <c r="AI70" s="242">
        <f t="shared" si="57"/>
        <v>16</v>
      </c>
      <c r="AJ70" s="242">
        <f t="shared" si="57"/>
        <v>0</v>
      </c>
      <c r="AK70" s="242">
        <f t="shared" si="57"/>
        <v>0</v>
      </c>
      <c r="AL70" s="242">
        <f t="shared" si="57"/>
        <v>33</v>
      </c>
      <c r="AM70" s="242">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2">
        <f t="shared" si="59"/>
        <v>0</v>
      </c>
      <c r="O71" s="242">
        <f t="shared" si="59"/>
        <v>56</v>
      </c>
      <c r="P71" s="242">
        <f t="shared" si="59"/>
        <v>33</v>
      </c>
      <c r="Q71" s="242">
        <f t="shared" si="55"/>
        <v>0</v>
      </c>
      <c r="R71" s="242">
        <f t="shared" si="55"/>
        <v>0</v>
      </c>
      <c r="S71" s="242">
        <f t="shared" si="55"/>
        <v>33</v>
      </c>
      <c r="T71" s="242">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2">
        <f t="shared" si="63"/>
        <v>0</v>
      </c>
      <c r="AH71" s="242">
        <f t="shared" si="57"/>
        <v>56</v>
      </c>
      <c r="AI71" s="242">
        <f t="shared" si="57"/>
        <v>33</v>
      </c>
      <c r="AJ71" s="242">
        <f t="shared" si="57"/>
        <v>0</v>
      </c>
      <c r="AK71" s="242">
        <f t="shared" si="57"/>
        <v>0</v>
      </c>
      <c r="AL71" s="242">
        <f t="shared" si="57"/>
        <v>33</v>
      </c>
      <c r="AM71" s="242">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2">
        <f t="shared" si="59"/>
        <v>0</v>
      </c>
      <c r="O72" s="242">
        <f t="shared" si="59"/>
        <v>56</v>
      </c>
      <c r="P72" s="242">
        <f t="shared" si="59"/>
        <v>33</v>
      </c>
      <c r="Q72" s="242">
        <f t="shared" si="55"/>
        <v>0</v>
      </c>
      <c r="R72" s="242">
        <f t="shared" si="55"/>
        <v>0</v>
      </c>
      <c r="S72" s="242">
        <f t="shared" si="55"/>
        <v>33</v>
      </c>
      <c r="T72" s="242">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2">
        <f t="shared" si="63"/>
        <v>0</v>
      </c>
      <c r="AH72" s="242">
        <f t="shared" si="57"/>
        <v>56</v>
      </c>
      <c r="AI72" s="242">
        <f t="shared" si="57"/>
        <v>33</v>
      </c>
      <c r="AJ72" s="242">
        <f t="shared" si="57"/>
        <v>0</v>
      </c>
      <c r="AK72" s="242">
        <f t="shared" si="57"/>
        <v>0</v>
      </c>
      <c r="AL72" s="242">
        <f t="shared" si="57"/>
        <v>33</v>
      </c>
      <c r="AM72" s="242">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2">
        <f t="shared" si="59"/>
        <v>0</v>
      </c>
      <c r="O73" s="242">
        <f t="shared" si="59"/>
        <v>56</v>
      </c>
      <c r="P73" s="242">
        <f t="shared" si="59"/>
        <v>33</v>
      </c>
      <c r="Q73" s="242">
        <f t="shared" si="55"/>
        <v>0</v>
      </c>
      <c r="R73" s="242">
        <f t="shared" si="55"/>
        <v>0</v>
      </c>
      <c r="S73" s="242">
        <f t="shared" si="55"/>
        <v>33</v>
      </c>
      <c r="T73" s="242">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2">
        <f t="shared" si="63"/>
        <v>0</v>
      </c>
      <c r="AH73" s="242">
        <f t="shared" si="57"/>
        <v>56</v>
      </c>
      <c r="AI73" s="242">
        <f t="shared" si="57"/>
        <v>33</v>
      </c>
      <c r="AJ73" s="242">
        <f t="shared" si="57"/>
        <v>0</v>
      </c>
      <c r="AK73" s="242">
        <f t="shared" si="57"/>
        <v>0</v>
      </c>
      <c r="AL73" s="242">
        <f t="shared" si="57"/>
        <v>33</v>
      </c>
      <c r="AM73" s="242">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2">
        <f t="shared" si="59"/>
        <v>0</v>
      </c>
      <c r="O74" s="242">
        <f t="shared" si="59"/>
        <v>56</v>
      </c>
      <c r="P74" s="242">
        <f t="shared" si="59"/>
        <v>33</v>
      </c>
      <c r="Q74" s="242">
        <f t="shared" si="55"/>
        <v>0</v>
      </c>
      <c r="R74" s="242">
        <f t="shared" si="55"/>
        <v>0</v>
      </c>
      <c r="S74" s="242">
        <f t="shared" si="55"/>
        <v>33</v>
      </c>
      <c r="T74" s="242">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2">
        <f t="shared" si="63"/>
        <v>0</v>
      </c>
      <c r="AH74" s="242">
        <f t="shared" si="57"/>
        <v>56</v>
      </c>
      <c r="AI74" s="242">
        <f t="shared" si="57"/>
        <v>33</v>
      </c>
      <c r="AJ74" s="242">
        <f t="shared" si="57"/>
        <v>0</v>
      </c>
      <c r="AK74" s="242">
        <f t="shared" si="57"/>
        <v>0</v>
      </c>
      <c r="AL74" s="242">
        <f t="shared" si="57"/>
        <v>33</v>
      </c>
      <c r="AM74" s="242">
        <f t="shared" si="64"/>
        <v>25</v>
      </c>
      <c r="AN74" s="70">
        <f t="shared" si="74"/>
        <v>147</v>
      </c>
      <c r="AP74" s="246" t="s">
        <v>48</v>
      </c>
      <c r="AQ74" s="246">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2">
        <f t="shared" si="59"/>
        <v>0</v>
      </c>
      <c r="O75" s="242">
        <f t="shared" si="59"/>
        <v>44</v>
      </c>
      <c r="P75" s="242">
        <f t="shared" si="59"/>
        <v>48</v>
      </c>
      <c r="Q75" s="242">
        <f t="shared" si="55"/>
        <v>0</v>
      </c>
      <c r="R75" s="242">
        <f t="shared" si="55"/>
        <v>0</v>
      </c>
      <c r="S75" s="242">
        <f t="shared" si="55"/>
        <v>33</v>
      </c>
      <c r="T75" s="242">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2">
        <f t="shared" si="63"/>
        <v>0</v>
      </c>
      <c r="AH75" s="242">
        <f t="shared" si="57"/>
        <v>44</v>
      </c>
      <c r="AI75" s="242">
        <f t="shared" si="57"/>
        <v>48</v>
      </c>
      <c r="AJ75" s="242">
        <f t="shared" si="57"/>
        <v>0</v>
      </c>
      <c r="AK75" s="242">
        <f t="shared" si="57"/>
        <v>0</v>
      </c>
      <c r="AL75" s="242">
        <f t="shared" si="57"/>
        <v>33</v>
      </c>
      <c r="AM75" s="242">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2">
        <f t="shared" si="59"/>
        <v>0</v>
      </c>
      <c r="O76" s="242">
        <f t="shared" si="59"/>
        <v>44</v>
      </c>
      <c r="P76" s="242">
        <f t="shared" si="59"/>
        <v>48</v>
      </c>
      <c r="Q76" s="242">
        <f t="shared" si="55"/>
        <v>0</v>
      </c>
      <c r="R76" s="242">
        <f t="shared" si="55"/>
        <v>0</v>
      </c>
      <c r="S76" s="242">
        <f t="shared" si="55"/>
        <v>33</v>
      </c>
      <c r="T76" s="242">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2">
        <f t="shared" si="63"/>
        <v>0</v>
      </c>
      <c r="AH76" s="242">
        <f t="shared" si="57"/>
        <v>44</v>
      </c>
      <c r="AI76" s="242">
        <f t="shared" si="57"/>
        <v>48</v>
      </c>
      <c r="AJ76" s="242">
        <f t="shared" si="57"/>
        <v>0</v>
      </c>
      <c r="AK76" s="242">
        <f t="shared" si="57"/>
        <v>0</v>
      </c>
      <c r="AL76" s="242">
        <f t="shared" si="57"/>
        <v>33</v>
      </c>
      <c r="AM76" s="242">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2">
        <f t="shared" si="59"/>
        <v>0</v>
      </c>
      <c r="O77" s="242">
        <f t="shared" si="59"/>
        <v>44</v>
      </c>
      <c r="P77" s="242">
        <f t="shared" si="59"/>
        <v>48</v>
      </c>
      <c r="Q77" s="242">
        <f t="shared" si="55"/>
        <v>0</v>
      </c>
      <c r="R77" s="242">
        <f t="shared" si="55"/>
        <v>0</v>
      </c>
      <c r="S77" s="242">
        <f t="shared" si="55"/>
        <v>33</v>
      </c>
      <c r="T77" s="242">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2">
        <f t="shared" si="63"/>
        <v>0</v>
      </c>
      <c r="AH77" s="242">
        <f t="shared" si="57"/>
        <v>44</v>
      </c>
      <c r="AI77" s="242">
        <f t="shared" si="57"/>
        <v>48</v>
      </c>
      <c r="AJ77" s="242">
        <f t="shared" si="57"/>
        <v>0</v>
      </c>
      <c r="AK77" s="242">
        <f t="shared" si="57"/>
        <v>0</v>
      </c>
      <c r="AL77" s="242">
        <f t="shared" si="57"/>
        <v>33</v>
      </c>
      <c r="AM77" s="242">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2">
        <f t="shared" si="59"/>
        <v>0</v>
      </c>
      <c r="O78" s="242">
        <f t="shared" si="59"/>
        <v>26</v>
      </c>
      <c r="P78" s="242">
        <f t="shared" si="59"/>
        <v>26</v>
      </c>
      <c r="Q78" s="242">
        <f t="shared" si="55"/>
        <v>20.5</v>
      </c>
      <c r="R78" s="242">
        <f t="shared" si="55"/>
        <v>21</v>
      </c>
      <c r="S78" s="242">
        <f t="shared" si="55"/>
        <v>35</v>
      </c>
      <c r="T78" s="242">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2">
        <f t="shared" si="63"/>
        <v>0</v>
      </c>
      <c r="AH78" s="242">
        <f t="shared" si="57"/>
        <v>26</v>
      </c>
      <c r="AI78" s="242">
        <f t="shared" si="57"/>
        <v>26</v>
      </c>
      <c r="AJ78" s="242">
        <f t="shared" si="57"/>
        <v>20.5</v>
      </c>
      <c r="AK78" s="242">
        <f t="shared" si="57"/>
        <v>21</v>
      </c>
      <c r="AL78" s="242">
        <f t="shared" si="57"/>
        <v>35</v>
      </c>
      <c r="AM78" s="242">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2">
        <f t="shared" si="59"/>
        <v>0</v>
      </c>
      <c r="O79" s="242">
        <f t="shared" si="59"/>
        <v>40</v>
      </c>
      <c r="P79" s="242">
        <f t="shared" si="59"/>
        <v>18</v>
      </c>
      <c r="Q79" s="242">
        <f t="shared" si="55"/>
        <v>15</v>
      </c>
      <c r="R79" s="242">
        <f t="shared" si="55"/>
        <v>21</v>
      </c>
      <c r="S79" s="242">
        <f t="shared" si="55"/>
        <v>33</v>
      </c>
      <c r="T79" s="242">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2">
        <f t="shared" si="63"/>
        <v>0</v>
      </c>
      <c r="AH79" s="242">
        <f t="shared" si="57"/>
        <v>40</v>
      </c>
      <c r="AI79" s="242">
        <f t="shared" si="57"/>
        <v>18</v>
      </c>
      <c r="AJ79" s="242">
        <f t="shared" si="57"/>
        <v>15</v>
      </c>
      <c r="AK79" s="242">
        <f t="shared" si="57"/>
        <v>21</v>
      </c>
      <c r="AL79" s="242">
        <f t="shared" si="57"/>
        <v>33</v>
      </c>
      <c r="AM79" s="242">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2">
        <f t="shared" si="59"/>
        <v>0</v>
      </c>
      <c r="O80" s="242">
        <f t="shared" si="59"/>
        <v>29</v>
      </c>
      <c r="P80" s="242">
        <f t="shared" si="59"/>
        <v>24</v>
      </c>
      <c r="Q80" s="242">
        <f t="shared" si="55"/>
        <v>17.5</v>
      </c>
      <c r="R80" s="242">
        <f t="shared" si="55"/>
        <v>18</v>
      </c>
      <c r="S80" s="242">
        <f t="shared" si="55"/>
        <v>35</v>
      </c>
      <c r="T80" s="242">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2">
        <f t="shared" si="63"/>
        <v>0</v>
      </c>
      <c r="AH80" s="242">
        <f t="shared" si="57"/>
        <v>29</v>
      </c>
      <c r="AI80" s="242">
        <f t="shared" si="57"/>
        <v>24</v>
      </c>
      <c r="AJ80" s="242">
        <f t="shared" si="57"/>
        <v>17.5</v>
      </c>
      <c r="AK80" s="242">
        <f t="shared" si="57"/>
        <v>18</v>
      </c>
      <c r="AL80" s="242">
        <f t="shared" si="57"/>
        <v>35</v>
      </c>
      <c r="AM80" s="242">
        <f t="shared" si="64"/>
        <v>23</v>
      </c>
      <c r="AN80" s="70">
        <f>SUM(AG80:AM80)</f>
        <v>146.5</v>
      </c>
    </row>
    <row r="81" spans="1:40" x14ac:dyDescent="0.25">
      <c r="A81" t="s">
        <v>46</v>
      </c>
      <c r="B81" s="16" t="s">
        <v>455</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2">
        <f t="shared" si="59"/>
        <v>0</v>
      </c>
      <c r="O81" s="242">
        <f t="shared" si="59"/>
        <v>0</v>
      </c>
      <c r="P81" s="242">
        <v>48</v>
      </c>
      <c r="Q81" s="242">
        <f t="shared" si="55"/>
        <v>0</v>
      </c>
      <c r="R81" s="242">
        <f t="shared" si="55"/>
        <v>0</v>
      </c>
      <c r="S81" s="242">
        <v>33</v>
      </c>
      <c r="T81" s="242">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2">
        <f t="shared" si="63"/>
        <v>0</v>
      </c>
      <c r="AH81" s="242">
        <f t="shared" si="57"/>
        <v>0</v>
      </c>
      <c r="AI81" s="242">
        <f t="shared" si="57"/>
        <v>48</v>
      </c>
      <c r="AJ81" s="242">
        <f t="shared" si="57"/>
        <v>0</v>
      </c>
      <c r="AK81" s="242">
        <f t="shared" si="57"/>
        <v>0</v>
      </c>
      <c r="AL81" s="242">
        <f t="shared" si="57"/>
        <v>33</v>
      </c>
      <c r="AM81" s="242">
        <f t="shared" si="64"/>
        <v>30</v>
      </c>
      <c r="AN81" s="70">
        <f t="shared" ref="AN81:AN82" si="78">SUM(AG81:AM81)</f>
        <v>111</v>
      </c>
    </row>
    <row r="82" spans="1:40" x14ac:dyDescent="0.25">
      <c r="A82" t="s">
        <v>452</v>
      </c>
      <c r="B82" s="16" t="s">
        <v>455</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2">
        <f t="shared" si="59"/>
        <v>0</v>
      </c>
      <c r="O82" s="242">
        <f t="shared" si="59"/>
        <v>0</v>
      </c>
      <c r="P82" s="242">
        <v>48</v>
      </c>
      <c r="Q82" s="242">
        <f t="shared" si="55"/>
        <v>0</v>
      </c>
      <c r="R82" s="242">
        <f t="shared" si="55"/>
        <v>0</v>
      </c>
      <c r="S82" s="242">
        <v>33</v>
      </c>
      <c r="T82" s="242">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2">
        <f t="shared" si="63"/>
        <v>0</v>
      </c>
      <c r="AH82" s="242">
        <f t="shared" si="57"/>
        <v>0</v>
      </c>
      <c r="AI82" s="242">
        <f t="shared" si="57"/>
        <v>48</v>
      </c>
      <c r="AJ82" s="242">
        <f t="shared" si="57"/>
        <v>0</v>
      </c>
      <c r="AK82" s="242">
        <f t="shared" si="57"/>
        <v>0</v>
      </c>
      <c r="AL82" s="242">
        <f t="shared" si="57"/>
        <v>33</v>
      </c>
      <c r="AM82" s="242">
        <f t="shared" si="64"/>
        <v>30</v>
      </c>
      <c r="AN82" s="70">
        <f t="shared" si="78"/>
        <v>111</v>
      </c>
    </row>
    <row r="83" spans="1:40" x14ac:dyDescent="0.25">
      <c r="A83"/>
      <c r="B83"/>
      <c r="M83" s="245"/>
    </row>
    <row r="84" spans="1:40" x14ac:dyDescent="0.25">
      <c r="A84"/>
      <c r="B84"/>
      <c r="M84" s="245"/>
    </row>
    <row r="85" spans="1:40" x14ac:dyDescent="0.25">
      <c r="A85"/>
      <c r="B85"/>
      <c r="M85" s="245"/>
    </row>
    <row r="86" spans="1:40" x14ac:dyDescent="0.25">
      <c r="A86"/>
      <c r="B86"/>
      <c r="M86" s="245"/>
    </row>
    <row r="87" spans="1:40" x14ac:dyDescent="0.25">
      <c r="A87"/>
      <c r="B87"/>
      <c r="M87" s="245"/>
    </row>
    <row r="88" spans="1:40" x14ac:dyDescent="0.25">
      <c r="A88"/>
      <c r="B88"/>
      <c r="M88" s="245"/>
    </row>
    <row r="89" spans="1:40" x14ac:dyDescent="0.25">
      <c r="A89"/>
      <c r="B89"/>
      <c r="M89" s="245"/>
    </row>
    <row r="90" spans="1:40" x14ac:dyDescent="0.25">
      <c r="A90"/>
      <c r="B90"/>
      <c r="M90" s="245"/>
    </row>
    <row r="91" spans="1:40" x14ac:dyDescent="0.25">
      <c r="A91"/>
      <c r="B91"/>
      <c r="M91" s="245"/>
    </row>
    <row r="92" spans="1:40" x14ac:dyDescent="0.25">
      <c r="A92"/>
      <c r="B92"/>
      <c r="M92" s="245"/>
    </row>
    <row r="93" spans="1:40" x14ac:dyDescent="0.25">
      <c r="A93"/>
      <c r="B93"/>
      <c r="M93" s="245"/>
    </row>
    <row r="94" spans="1:40" x14ac:dyDescent="0.25">
      <c r="A94"/>
      <c r="B94"/>
      <c r="M94" s="245"/>
    </row>
    <row r="95" spans="1:40" x14ac:dyDescent="0.25">
      <c r="A95"/>
      <c r="B95"/>
      <c r="M95" s="245"/>
    </row>
    <row r="96" spans="1:40" x14ac:dyDescent="0.25">
      <c r="A96"/>
      <c r="B96"/>
      <c r="R96" s="245"/>
    </row>
    <row r="97" spans="1:18" x14ac:dyDescent="0.25">
      <c r="A97"/>
      <c r="B97"/>
      <c r="R97" s="245"/>
    </row>
    <row r="98" spans="1:18" x14ac:dyDescent="0.25">
      <c r="A98"/>
      <c r="B98"/>
      <c r="R98" s="245"/>
    </row>
    <row r="99" spans="1:18" x14ac:dyDescent="0.25">
      <c r="A99"/>
      <c r="B99"/>
      <c r="R99" s="245"/>
    </row>
    <row r="100" spans="1:18" x14ac:dyDescent="0.25">
      <c r="A100"/>
      <c r="B100"/>
      <c r="R100" s="245"/>
    </row>
    <row r="101" spans="1:18" x14ac:dyDescent="0.25">
      <c r="A101"/>
      <c r="B101"/>
      <c r="R101" s="245"/>
    </row>
    <row r="102" spans="1:18" x14ac:dyDescent="0.25">
      <c r="A102"/>
      <c r="B102"/>
      <c r="R102" s="245"/>
    </row>
    <row r="103" spans="1:18" x14ac:dyDescent="0.25">
      <c r="A103"/>
      <c r="B103"/>
      <c r="R103" s="245"/>
    </row>
    <row r="104" spans="1:18" x14ac:dyDescent="0.25">
      <c r="A104"/>
      <c r="B104"/>
      <c r="R104" s="245"/>
    </row>
    <row r="105" spans="1:18" x14ac:dyDescent="0.25">
      <c r="A105"/>
      <c r="B105"/>
      <c r="R105" s="245"/>
    </row>
    <row r="106" spans="1:18" x14ac:dyDescent="0.25">
      <c r="A106"/>
      <c r="B106"/>
      <c r="R106" s="245"/>
    </row>
    <row r="107" spans="1:18" x14ac:dyDescent="0.25">
      <c r="A107"/>
      <c r="B107"/>
      <c r="R107" s="245"/>
    </row>
    <row r="108" spans="1:18" x14ac:dyDescent="0.25">
      <c r="A108"/>
      <c r="B108"/>
      <c r="R108" s="245"/>
    </row>
    <row r="109" spans="1:18" x14ac:dyDescent="0.25">
      <c r="A109"/>
      <c r="B109"/>
      <c r="R109" s="245"/>
    </row>
    <row r="110" spans="1:18" x14ac:dyDescent="0.25">
      <c r="A110"/>
      <c r="B110"/>
      <c r="R110" s="245"/>
    </row>
    <row r="111" spans="1:18" x14ac:dyDescent="0.25">
      <c r="A111"/>
      <c r="B111"/>
      <c r="R111" s="245"/>
    </row>
    <row r="112" spans="1:18" x14ac:dyDescent="0.25">
      <c r="A112"/>
      <c r="B112"/>
      <c r="R112" s="245"/>
    </row>
    <row r="113" spans="1:18" x14ac:dyDescent="0.25">
      <c r="A113"/>
      <c r="B113"/>
      <c r="R113" s="245"/>
    </row>
    <row r="114" spans="1:18" x14ac:dyDescent="0.25">
      <c r="A114"/>
      <c r="B114"/>
      <c r="R114" s="245"/>
    </row>
    <row r="115" spans="1:18" x14ac:dyDescent="0.25">
      <c r="A115"/>
      <c r="B115"/>
      <c r="R115" s="245"/>
    </row>
    <row r="116" spans="1:18" x14ac:dyDescent="0.25">
      <c r="A116"/>
      <c r="B116"/>
      <c r="R116" s="245"/>
    </row>
    <row r="117" spans="1:18" x14ac:dyDescent="0.25">
      <c r="A117"/>
      <c r="B117"/>
      <c r="R117" s="245"/>
    </row>
    <row r="118" spans="1:18" x14ac:dyDescent="0.25">
      <c r="A118"/>
      <c r="B118"/>
      <c r="R118" s="245"/>
    </row>
    <row r="119" spans="1:18" x14ac:dyDescent="0.25">
      <c r="A119"/>
      <c r="B119"/>
      <c r="R119" s="245"/>
    </row>
    <row r="120" spans="1:18" x14ac:dyDescent="0.25">
      <c r="A120"/>
      <c r="B120"/>
      <c r="R120" s="245"/>
    </row>
    <row r="121" spans="1:18" x14ac:dyDescent="0.25">
      <c r="A121"/>
      <c r="B121"/>
      <c r="R121" s="245"/>
    </row>
    <row r="122" spans="1:18" x14ac:dyDescent="0.25">
      <c r="A122"/>
      <c r="B122"/>
      <c r="R122" s="245"/>
    </row>
    <row r="123" spans="1:18" x14ac:dyDescent="0.25">
      <c r="A123"/>
      <c r="B123"/>
      <c r="R123" s="245"/>
    </row>
    <row r="124" spans="1:18" x14ac:dyDescent="0.25">
      <c r="A124"/>
      <c r="B124"/>
      <c r="R124" s="245"/>
    </row>
    <row r="125" spans="1:18" x14ac:dyDescent="0.25">
      <c r="A125"/>
      <c r="B125"/>
      <c r="R125" s="245"/>
    </row>
    <row r="126" spans="1:18" x14ac:dyDescent="0.25">
      <c r="A126"/>
      <c r="B126"/>
      <c r="R126" s="245"/>
    </row>
    <row r="127" spans="1:18" x14ac:dyDescent="0.25">
      <c r="A127"/>
      <c r="B127"/>
      <c r="R127" s="245"/>
    </row>
    <row r="128" spans="1:18" x14ac:dyDescent="0.25">
      <c r="A128"/>
      <c r="B128"/>
      <c r="R128" s="245"/>
    </row>
    <row r="129" spans="1:18" x14ac:dyDescent="0.25">
      <c r="A129"/>
      <c r="B129"/>
      <c r="R129" s="245"/>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RowHeight="15" x14ac:dyDescent="0.25"/>
  <cols>
    <col min="1" max="1" width="7.7109375" style="237" bestFit="1" customWidth="1"/>
    <col min="2" max="2" width="7.7109375" style="237" customWidth="1"/>
    <col min="3" max="3" width="17.85546875" style="237" bestFit="1" customWidth="1"/>
    <col min="4" max="4" width="18.28515625" style="237" bestFit="1" customWidth="1"/>
    <col min="5" max="5" width="11.42578125" style="237"/>
    <col min="6" max="6" width="13" style="237" bestFit="1" customWidth="1"/>
    <col min="7" max="8" width="10.28515625" style="237" bestFit="1" customWidth="1"/>
  </cols>
  <sheetData>
    <row r="1" spans="1:11" ht="15.75" x14ac:dyDescent="0.25">
      <c r="A1" s="238" t="s">
        <v>341</v>
      </c>
      <c r="B1" s="238" t="s">
        <v>347</v>
      </c>
      <c r="C1" s="238" t="s">
        <v>342</v>
      </c>
      <c r="D1" s="238" t="s">
        <v>346</v>
      </c>
      <c r="E1" s="238" t="s">
        <v>343</v>
      </c>
      <c r="F1" s="238" t="s">
        <v>338</v>
      </c>
      <c r="G1" s="238" t="s">
        <v>339</v>
      </c>
      <c r="H1" s="238" t="s">
        <v>340</v>
      </c>
    </row>
    <row r="2" spans="1:11" x14ac:dyDescent="0.25">
      <c r="A2" s="237">
        <v>54</v>
      </c>
      <c r="B2" s="237" t="s">
        <v>348</v>
      </c>
      <c r="C2" s="237" t="s">
        <v>344</v>
      </c>
      <c r="D2" s="239">
        <v>0.17499999999999999</v>
      </c>
      <c r="E2" s="71">
        <v>0.3</v>
      </c>
      <c r="F2" s="237">
        <f>Empleados!L5</f>
        <v>-0.31299999999999994</v>
      </c>
      <c r="G2" s="50">
        <f>Empleados!M5</f>
        <v>-5.0079999999999991</v>
      </c>
      <c r="H2" s="50">
        <f>Empleados!N5</f>
        <v>-35.055999999999997</v>
      </c>
    </row>
    <row r="3" spans="1:11" x14ac:dyDescent="0.25">
      <c r="A3" s="237">
        <v>55</v>
      </c>
      <c r="B3" s="237" t="s">
        <v>349</v>
      </c>
      <c r="C3" s="237" t="s">
        <v>344</v>
      </c>
      <c r="D3" s="71">
        <v>0.35</v>
      </c>
      <c r="E3" s="71">
        <v>0.05</v>
      </c>
      <c r="F3" s="237">
        <f>Empleados!L9</f>
        <v>0.1120000000000001</v>
      </c>
      <c r="G3" s="50">
        <f>Empleados!M9</f>
        <v>1.7920000000000016</v>
      </c>
      <c r="H3" s="50">
        <f>Empleados!N9</f>
        <v>12.544000000000011</v>
      </c>
      <c r="K3" s="40">
        <f>SUM(H3:H13)</f>
        <v>163.744</v>
      </c>
    </row>
    <row r="4" spans="1:11" x14ac:dyDescent="0.25">
      <c r="A4" s="237">
        <v>56</v>
      </c>
      <c r="B4" s="237" t="s">
        <v>350</v>
      </c>
      <c r="C4" s="237" t="s">
        <v>345</v>
      </c>
      <c r="D4" s="71">
        <v>0.35</v>
      </c>
      <c r="E4" s="71">
        <v>0.05</v>
      </c>
      <c r="F4" s="237">
        <f>Empleados!L6</f>
        <v>0.16500000000000004</v>
      </c>
      <c r="G4" s="50">
        <f>Empleados!M6</f>
        <v>2.6400000000000006</v>
      </c>
      <c r="H4" s="50">
        <f>Empleados!N6</f>
        <v>18.480000000000004</v>
      </c>
      <c r="J4" s="40">
        <f>SUM(H4:H13)</f>
        <v>151.19999999999999</v>
      </c>
    </row>
    <row r="5" spans="1:11" x14ac:dyDescent="0.25">
      <c r="A5" s="237">
        <v>57</v>
      </c>
      <c r="B5" s="237" t="s">
        <v>351</v>
      </c>
      <c r="C5" s="237" t="s">
        <v>345</v>
      </c>
      <c r="D5" s="71">
        <v>0.35</v>
      </c>
      <c r="E5" s="71">
        <v>0.05</v>
      </c>
      <c r="F5" s="237">
        <f>F4</f>
        <v>0.16500000000000004</v>
      </c>
      <c r="G5" s="50">
        <f t="shared" ref="G5:H5" si="0">G4</f>
        <v>2.6400000000000006</v>
      </c>
      <c r="H5" s="50">
        <f t="shared" si="0"/>
        <v>18.480000000000004</v>
      </c>
      <c r="I5" s="40">
        <f>SUM(H5:H13)</f>
        <v>132.72</v>
      </c>
    </row>
    <row r="6" spans="1:11" x14ac:dyDescent="0.25">
      <c r="A6" s="237">
        <v>58</v>
      </c>
      <c r="B6" s="237" t="s">
        <v>352</v>
      </c>
      <c r="C6" s="237" t="s">
        <v>345</v>
      </c>
      <c r="D6" s="71">
        <v>0.35</v>
      </c>
      <c r="E6" s="71">
        <v>0.05</v>
      </c>
      <c r="F6" s="237">
        <f t="shared" ref="F6:F7" si="1">F5</f>
        <v>0.16500000000000004</v>
      </c>
      <c r="G6" s="50">
        <f t="shared" ref="G6:G7" si="2">G5</f>
        <v>2.6400000000000006</v>
      </c>
      <c r="H6" s="50">
        <f t="shared" ref="H6:H7" si="3">H5</f>
        <v>18.480000000000004</v>
      </c>
    </row>
    <row r="7" spans="1:11" x14ac:dyDescent="0.25">
      <c r="A7" s="237">
        <v>59</v>
      </c>
      <c r="B7" s="237" t="s">
        <v>353</v>
      </c>
      <c r="C7" s="237" t="s">
        <v>345</v>
      </c>
      <c r="D7" s="71">
        <v>0.35</v>
      </c>
      <c r="E7" s="71">
        <v>0.05</v>
      </c>
      <c r="F7" s="237">
        <f t="shared" si="1"/>
        <v>0.16500000000000004</v>
      </c>
      <c r="G7" s="50">
        <f t="shared" si="2"/>
        <v>2.6400000000000006</v>
      </c>
      <c r="H7" s="50">
        <f t="shared" si="3"/>
        <v>18.480000000000004</v>
      </c>
    </row>
    <row r="8" spans="1:11" x14ac:dyDescent="0.25">
      <c r="A8" s="237">
        <v>60</v>
      </c>
      <c r="B8" s="237" t="s">
        <v>354</v>
      </c>
      <c r="C8" s="237" t="s">
        <v>345</v>
      </c>
      <c r="D8" s="71">
        <v>0.35</v>
      </c>
      <c r="E8" s="71">
        <v>0.1</v>
      </c>
      <c r="F8" s="237">
        <f>Empleados!L8</f>
        <v>0.11499999999999999</v>
      </c>
      <c r="G8" s="237">
        <f>Empleados!M8</f>
        <v>1.8399999999999999</v>
      </c>
      <c r="H8" s="237">
        <f>Empleados!N8</f>
        <v>12.879999999999999</v>
      </c>
    </row>
    <row r="9" spans="1:11" x14ac:dyDescent="0.25">
      <c r="A9" s="237">
        <v>61</v>
      </c>
      <c r="B9" s="237" t="s">
        <v>355</v>
      </c>
      <c r="C9" s="237" t="s">
        <v>345</v>
      </c>
      <c r="D9" s="71">
        <v>0.35</v>
      </c>
      <c r="E9" s="71">
        <v>0.1</v>
      </c>
      <c r="F9" s="237">
        <f>F8</f>
        <v>0.11499999999999999</v>
      </c>
      <c r="G9" s="237">
        <f t="shared" ref="G9:H9" si="4">G8</f>
        <v>1.8399999999999999</v>
      </c>
      <c r="H9" s="237">
        <f t="shared" si="4"/>
        <v>12.879999999999999</v>
      </c>
    </row>
    <row r="10" spans="1:11" x14ac:dyDescent="0.25">
      <c r="A10" s="237">
        <v>62</v>
      </c>
      <c r="B10" s="237" t="s">
        <v>356</v>
      </c>
      <c r="C10" s="237" t="s">
        <v>345</v>
      </c>
      <c r="D10" s="71">
        <v>0.35</v>
      </c>
      <c r="E10" s="71">
        <v>0.1</v>
      </c>
      <c r="F10" s="237">
        <f t="shared" ref="F10:F13" si="5">F9</f>
        <v>0.11499999999999999</v>
      </c>
      <c r="G10" s="237">
        <f t="shared" ref="G10:G13" si="6">G9</f>
        <v>1.8399999999999999</v>
      </c>
      <c r="H10" s="237">
        <f t="shared" ref="H10:H13" si="7">H9</f>
        <v>12.879999999999999</v>
      </c>
    </row>
    <row r="11" spans="1:11" x14ac:dyDescent="0.25">
      <c r="A11" s="237">
        <v>63</v>
      </c>
      <c r="B11" s="237" t="s">
        <v>357</v>
      </c>
      <c r="C11" s="237" t="s">
        <v>345</v>
      </c>
      <c r="D11" s="71">
        <v>0.35</v>
      </c>
      <c r="E11" s="71">
        <v>0.1</v>
      </c>
      <c r="F11" s="237">
        <f t="shared" si="5"/>
        <v>0.11499999999999999</v>
      </c>
      <c r="G11" s="237">
        <f t="shared" si="6"/>
        <v>1.8399999999999999</v>
      </c>
      <c r="H11" s="237">
        <f t="shared" si="7"/>
        <v>12.879999999999999</v>
      </c>
    </row>
    <row r="12" spans="1:11" x14ac:dyDescent="0.25">
      <c r="A12" s="237">
        <v>64</v>
      </c>
      <c r="B12" s="237" t="s">
        <v>358</v>
      </c>
      <c r="C12" s="237" t="s">
        <v>345</v>
      </c>
      <c r="D12" s="71">
        <v>0.35</v>
      </c>
      <c r="E12" s="71">
        <v>0.1</v>
      </c>
      <c r="F12" s="237">
        <f t="shared" si="5"/>
        <v>0.11499999999999999</v>
      </c>
      <c r="G12" s="237">
        <f t="shared" si="6"/>
        <v>1.8399999999999999</v>
      </c>
      <c r="H12" s="237">
        <f t="shared" si="7"/>
        <v>12.879999999999999</v>
      </c>
    </row>
    <row r="13" spans="1:11" x14ac:dyDescent="0.25">
      <c r="A13" s="237">
        <v>65</v>
      </c>
      <c r="B13" s="237" t="s">
        <v>359</v>
      </c>
      <c r="C13" s="237" t="s">
        <v>345</v>
      </c>
      <c r="D13" s="71">
        <v>0.35</v>
      </c>
      <c r="E13" s="71">
        <v>0.1</v>
      </c>
      <c r="F13" s="237">
        <f t="shared" si="5"/>
        <v>0.11499999999999999</v>
      </c>
      <c r="G13" s="237">
        <f t="shared" si="6"/>
        <v>1.8399999999999999</v>
      </c>
      <c r="H13" s="237">
        <f t="shared" si="7"/>
        <v>12.879999999999999</v>
      </c>
    </row>
    <row r="14" spans="1:11" x14ac:dyDescent="0.25">
      <c r="A14" s="237">
        <v>66</v>
      </c>
      <c r="B14" s="237" t="s">
        <v>360</v>
      </c>
      <c r="C14" s="237" t="s">
        <v>345</v>
      </c>
      <c r="D14" s="239">
        <v>0.17499999999999999</v>
      </c>
      <c r="E14" s="71">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35"/>
  <sheetViews>
    <sheetView tabSelected="1" zoomScaleNormal="100" workbookViewId="0">
      <pane xSplit="4" ySplit="3" topLeftCell="E4" activePane="bottomRight" state="frozen"/>
      <selection pane="topRight" activeCell="E1" sqref="E1"/>
      <selection pane="bottomLeft" activeCell="A4" sqref="A4"/>
      <selection pane="bottomRight" activeCell="P15" sqref="P15"/>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197</v>
      </c>
    </row>
    <row r="2" spans="1:45" x14ac:dyDescent="0.25">
      <c r="D2" s="33">
        <f ca="1">TODAY()</f>
        <v>43063</v>
      </c>
      <c r="I2" s="35">
        <f>AVERAGE(I4:I18)</f>
        <v>9.2799999999999994</v>
      </c>
      <c r="J2" s="35"/>
      <c r="N2" s="40">
        <f ca="1">AVERAGE(N4:N18)</f>
        <v>0.84289425688910802</v>
      </c>
      <c r="O2" s="35">
        <f>AVERAGE(O4:O18)</f>
        <v>7.2533333333333347</v>
      </c>
      <c r="Q2" s="35">
        <f>AVERAGE(Q4:Q18)</f>
        <v>5.333333333333333</v>
      </c>
      <c r="R2" s="127">
        <f>AVERAGE(R4:R18)</f>
        <v>0.86989858068888348</v>
      </c>
      <c r="S2" s="127">
        <f>AVERAGE(S4:S18)</f>
        <v>0.94359200619164918</v>
      </c>
      <c r="T2" s="41">
        <f>SUM(T4:T18)</f>
        <v>1803240</v>
      </c>
      <c r="U2" s="41">
        <f>SUM(U4:U18)</f>
        <v>-44360</v>
      </c>
      <c r="V2" s="41">
        <f>SUM(V4:V18)</f>
        <v>342894</v>
      </c>
      <c r="W2" s="42">
        <f>T2/V2</f>
        <v>5.2588846698979861</v>
      </c>
      <c r="AD2" s="40">
        <f>AVERAGE(AD4:AD18)</f>
        <v>12.848814814814814</v>
      </c>
      <c r="AE2" s="36">
        <f>AVERAGE(AE4:AE18)</f>
        <v>1607.5333333333333</v>
      </c>
      <c r="AF2" s="36"/>
      <c r="AK2" s="35"/>
      <c r="AL2" s="35"/>
      <c r="AM2" s="35"/>
      <c r="AN2" s="35"/>
      <c r="AO2" s="35">
        <f>AVERAGE(AO4:AO32)</f>
        <v>1.9310344827586208</v>
      </c>
      <c r="AP2" s="35"/>
      <c r="AQ2" s="35">
        <f>AVERAGE(AQ4:AQ32)</f>
        <v>1.896551724137931</v>
      </c>
    </row>
    <row r="3" spans="1:45" x14ac:dyDescent="0.25">
      <c r="A3" s="11" t="s">
        <v>1</v>
      </c>
      <c r="B3" s="11" t="s">
        <v>2</v>
      </c>
      <c r="C3" s="12" t="s">
        <v>198</v>
      </c>
      <c r="D3" s="13" t="s">
        <v>182</v>
      </c>
      <c r="E3" s="11" t="s">
        <v>4</v>
      </c>
      <c r="F3" s="11" t="s">
        <v>5</v>
      </c>
      <c r="G3" s="11" t="s">
        <v>6</v>
      </c>
      <c r="H3" s="11" t="s">
        <v>7</v>
      </c>
      <c r="I3" s="11" t="s">
        <v>8</v>
      </c>
      <c r="J3" s="11" t="s">
        <v>185</v>
      </c>
      <c r="K3" s="14" t="s">
        <v>52</v>
      </c>
      <c r="L3" s="14" t="s">
        <v>51</v>
      </c>
      <c r="M3" s="11" t="s">
        <v>194</v>
      </c>
      <c r="N3" s="11" t="s">
        <v>104</v>
      </c>
      <c r="O3" s="11" t="s">
        <v>9</v>
      </c>
      <c r="P3" s="11" t="s">
        <v>10</v>
      </c>
      <c r="Q3" s="11" t="s">
        <v>11</v>
      </c>
      <c r="R3" s="53" t="s">
        <v>102</v>
      </c>
      <c r="S3" s="53" t="s">
        <v>103</v>
      </c>
      <c r="T3" s="11" t="s">
        <v>12</v>
      </c>
      <c r="U3" s="11" t="s">
        <v>223</v>
      </c>
      <c r="V3" s="11" t="s">
        <v>13</v>
      </c>
      <c r="W3" s="11" t="s">
        <v>14</v>
      </c>
      <c r="X3" s="11" t="s">
        <v>15</v>
      </c>
      <c r="Y3" s="11" t="s">
        <v>16</v>
      </c>
      <c r="Z3" s="11" t="s">
        <v>17</v>
      </c>
      <c r="AA3" s="11" t="s">
        <v>18</v>
      </c>
      <c r="AB3" s="11" t="s">
        <v>19</v>
      </c>
      <c r="AC3" s="11" t="s">
        <v>20</v>
      </c>
      <c r="AD3" s="11" t="s">
        <v>6</v>
      </c>
      <c r="AE3" s="11" t="s">
        <v>21</v>
      </c>
      <c r="AF3" s="11" t="s">
        <v>403</v>
      </c>
      <c r="AG3" s="15" t="s">
        <v>26</v>
      </c>
      <c r="AH3" s="15" t="s">
        <v>27</v>
      </c>
      <c r="AI3" s="15" t="s">
        <v>186</v>
      </c>
      <c r="AJ3" s="15" t="s">
        <v>187</v>
      </c>
      <c r="AK3" s="15" t="s">
        <v>22</v>
      </c>
      <c r="AL3" s="15" t="s">
        <v>23</v>
      </c>
      <c r="AM3" s="15" t="s">
        <v>24</v>
      </c>
      <c r="AN3" s="15" t="s">
        <v>25</v>
      </c>
      <c r="AO3" s="11" t="s">
        <v>195</v>
      </c>
      <c r="AP3" s="11" t="s">
        <v>191</v>
      </c>
      <c r="AQ3" s="11" t="s">
        <v>192</v>
      </c>
      <c r="AR3" s="11" t="s">
        <v>193</v>
      </c>
      <c r="AS3" s="37" t="s">
        <v>368</v>
      </c>
    </row>
    <row r="4" spans="1:45" x14ac:dyDescent="0.25">
      <c r="A4" s="16" t="s">
        <v>29</v>
      </c>
      <c r="B4" s="16" t="s">
        <v>28</v>
      </c>
      <c r="C4" s="132">
        <f ca="1">((33*112)-(E4*112)-(F4))/112</f>
        <v>2.75</v>
      </c>
      <c r="D4" s="31" t="s">
        <v>47</v>
      </c>
      <c r="E4" s="18">
        <v>30</v>
      </c>
      <c r="F4" s="19">
        <f ca="1">17+D2-D1-112-112-112-112-112-112-112</f>
        <v>28</v>
      </c>
      <c r="G4" s="20"/>
      <c r="H4" s="5">
        <v>2</v>
      </c>
      <c r="I4" s="30">
        <v>10.6</v>
      </c>
      <c r="J4" s="24">
        <f>LOG(I4)*4/3</f>
        <v>1.3670744870196936</v>
      </c>
      <c r="K4" s="7">
        <f t="shared" ref="K4:K14" si="0">(H4)*(H4)*(I4)</f>
        <v>42.4</v>
      </c>
      <c r="L4" s="7">
        <f t="shared" ref="L4:L14" si="1">(H4+1)*(H4+1)*I4</f>
        <v>95.399999999999991</v>
      </c>
      <c r="M4" s="146">
        <v>42200</v>
      </c>
      <c r="N4" s="147">
        <f ca="1">IF((TODAY()-M4)&gt;335,1,((TODAY()-M4)^0.64)/(336^0.64))</f>
        <v>1</v>
      </c>
      <c r="O4" s="21">
        <v>7.9</v>
      </c>
      <c r="P4" s="22">
        <f>O4*10+19</f>
        <v>98</v>
      </c>
      <c r="Q4" s="22">
        <v>6</v>
      </c>
      <c r="R4" s="126">
        <f>(Q4/7)^0.5</f>
        <v>0.92582009977255142</v>
      </c>
      <c r="S4" s="126">
        <f>IF(Q4=7,1,((Q4+0.99)/7)^0.5)</f>
        <v>0.99928545900129484</v>
      </c>
      <c r="T4" s="32">
        <v>55850</v>
      </c>
      <c r="U4" s="32">
        <f>T4-AS4</f>
        <v>1830</v>
      </c>
      <c r="V4" s="32">
        <v>16820</v>
      </c>
      <c r="W4" s="9">
        <f t="shared" ref="W4:W8" si="2">T4/V4</f>
        <v>3.3204518430439953</v>
      </c>
      <c r="X4" s="23">
        <v>13.95</v>
      </c>
      <c r="Y4" s="24">
        <f>11+1/15</f>
        <v>11.066666666666666</v>
      </c>
      <c r="Z4" s="23">
        <f>0+0.05+0.04+0.03+0.02+0.02+0.02</f>
        <v>0.17999999999999997</v>
      </c>
      <c r="AA4" s="24">
        <f>0+0.01</f>
        <v>0.01</v>
      </c>
      <c r="AB4" s="23">
        <f>0.74+0.09+0.09+0.09+0.09+0.09+0.08+0.08+0.05+0.05+0.05+0.05+0.05+0.05+0.05+0.05+0.05+0.05+0.05+0.05+0.05+0.05+0.05+0.05+0.03+0.03+0.02+0.02+0.02+0.02+0.02+0.01+0.01</f>
        <v>2.3299999999999996</v>
      </c>
      <c r="AC4" s="24">
        <f>0.12+0.08+0.08+0.08+0.08+0.08+0.08+0.08+0.08+0.08+0.08+0.08+0.08+0.08+0.08+0.08+0.08+0.05+0.05+0.05+0.05+0.05+0.03+0.03+0.03+0.03+0.03+0.01</f>
        <v>1.8100000000000005</v>
      </c>
      <c r="AD4" s="23">
        <f>19+0.15+0.15</f>
        <v>19.299999999999997</v>
      </c>
      <c r="AE4" s="10">
        <v>1284</v>
      </c>
      <c r="AF4" s="10"/>
      <c r="AG4" s="25">
        <f ca="1">(AD4+1+(LOG(I4)*4/3)+N4)*(Q4/7)^0.5</f>
        <v>20.985633163124422</v>
      </c>
      <c r="AH4" s="25">
        <f ca="1">(AD4+1+N4+(LOG(I4)*4/3))*(IF(Q4=7, (Q4/7)^0.5, ((Q4+1)/7)^0.5))</f>
        <v>22.66707448701969</v>
      </c>
      <c r="AI4" s="131">
        <f ca="1">(Z4+N4+(LOG(I4)*4/3))*(Q4/7)^0.5</f>
        <v>2.3581327557006926</v>
      </c>
      <c r="AJ4" s="131">
        <f ca="1">(Z4+N4+(LOG(I4)*4/3))*(IF(Q4=7, (Q4/7)^0.5, ((Q4+1)/7)^0.5))</f>
        <v>2.5470744870196933</v>
      </c>
      <c r="AK4" s="9">
        <f ca="1">(((Y4+LOG(I4)*4/3+N4)+(AB4+LOG(I4)*4/3+N4)*2)/8)*(Q4/7)^0.5</f>
        <v>2.6418149394559864</v>
      </c>
      <c r="AL4" s="9">
        <f ca="1">(AD4+LOG(I4)*4/3+N4)*0.7+(AC4+LOG(I4)*4/3+N4)*0.3</f>
        <v>16.42007448701969</v>
      </c>
      <c r="AM4" s="9">
        <f ca="1">(0.5*(AC4+LOG(I4)*4/3+N4)+ 0.3*(AD4+LOG(I4)*4/3+N4))/10</f>
        <v>0.85886595896157536</v>
      </c>
      <c r="AN4" s="9">
        <f ca="1">(0.4*(Y4+LOG(I4)*4/3+N4)+0.3*(AD4+LOG(I4)*4/3+N4))/10</f>
        <v>1.1873618807580451</v>
      </c>
      <c r="AO4" s="22">
        <v>2</v>
      </c>
      <c r="AP4" s="22">
        <v>2</v>
      </c>
      <c r="AQ4" s="22">
        <v>3</v>
      </c>
      <c r="AR4" s="145">
        <f>IF(AP4=4,IF(AQ4=0,0.137+0.0697,0.137+0.02),IF(AP4=3,IF(AQ4=0,0.0958+0.0697,0.0958+0.02),IF(AP4=2,IF(AQ4=0,0.0415+0.0697,0.0415+0.02),IF(AP4=1,IF(AQ4=0,0.0294+0.0697,0.0294+0.02),IF(AP4=0,IF(AQ4=0,0.0063+0.0697,0.0063+0.02))))))</f>
        <v>6.1499999999999999E-2</v>
      </c>
      <c r="AS4">
        <v>54020</v>
      </c>
    </row>
    <row r="5" spans="1:45" x14ac:dyDescent="0.25">
      <c r="A5" s="16" t="s">
        <v>32</v>
      </c>
      <c r="B5" s="16" t="s">
        <v>30</v>
      </c>
      <c r="C5" s="132">
        <f t="shared" ref="C5:C18" ca="1" si="3">((33*112)-(E5*112)-(F5))/112</f>
        <v>1.0178571428571428</v>
      </c>
      <c r="D5" s="31" t="s">
        <v>245</v>
      </c>
      <c r="E5" s="18">
        <v>31</v>
      </c>
      <c r="F5" s="19">
        <f ca="1">72+D2-D1-112-112-112-112-112+17-112-112+10</f>
        <v>110</v>
      </c>
      <c r="G5" s="20" t="s">
        <v>74</v>
      </c>
      <c r="H5" s="5">
        <v>3</v>
      </c>
      <c r="I5" s="30">
        <v>9.6999999999999993</v>
      </c>
      <c r="J5" s="24">
        <f t="shared" ref="J5:J18" si="4">LOG(I5)*4/3</f>
        <v>1.3156956456883264</v>
      </c>
      <c r="K5" s="7">
        <f t="shared" si="0"/>
        <v>87.3</v>
      </c>
      <c r="L5" s="7">
        <f t="shared" si="1"/>
        <v>155.19999999999999</v>
      </c>
      <c r="M5" s="146">
        <v>42828</v>
      </c>
      <c r="N5" s="147">
        <f t="shared" ref="N5:N18" ca="1" si="5">IF((TODAY()-M5)&gt;335,1,((TODAY()-M5)^0.64)/(336^0.64))</f>
        <v>0.79547455863046146</v>
      </c>
      <c r="O5" s="21">
        <v>7.2</v>
      </c>
      <c r="P5" s="22">
        <f t="shared" ref="P5:P6" si="6">O5*10+19</f>
        <v>91</v>
      </c>
      <c r="Q5" s="22">
        <v>5</v>
      </c>
      <c r="R5" s="126">
        <f t="shared" ref="R5:R18" si="7">(Q5/7)^0.5</f>
        <v>0.84515425472851657</v>
      </c>
      <c r="S5" s="126">
        <f t="shared" ref="S5:S18" si="8">IF(Q5=7,1,((Q5+0.99)/7)^0.5)</f>
        <v>0.92504826128926143</v>
      </c>
      <c r="T5" s="32">
        <v>78850</v>
      </c>
      <c r="U5" s="32">
        <f t="shared" ref="U5:U18" si="9">T5-AS5</f>
        <v>-770</v>
      </c>
      <c r="V5" s="32">
        <v>18012</v>
      </c>
      <c r="W5" s="9">
        <f t="shared" si="2"/>
        <v>4.3776371308016877</v>
      </c>
      <c r="X5" s="23">
        <v>0</v>
      </c>
      <c r="Y5" s="24">
        <v>14</v>
      </c>
      <c r="Z5" s="23">
        <f>7+0.1+0.01</f>
        <v>7.1099999999999994</v>
      </c>
      <c r="AA5" s="24">
        <f>11+1/14*0.5</f>
        <v>11.035714285714286</v>
      </c>
      <c r="AB5" s="23">
        <f>7+0.01+0.01+0.01+0.01+0.01</f>
        <v>7.0499999999999989</v>
      </c>
      <c r="AC5" s="24">
        <f>2+0.01</f>
        <v>2.0099999999999998</v>
      </c>
      <c r="AD5" s="23">
        <f>15+1/6+1/6+1/6</f>
        <v>15.499999999999998</v>
      </c>
      <c r="AE5" s="10">
        <v>1650</v>
      </c>
      <c r="AF5" s="10"/>
      <c r="AG5" s="25">
        <f t="shared" ref="AG5:AG18" ca="1" si="10">(AD5+1+(LOG(I5)*4/3)+N5)*(Q5/7)^0.5</f>
        <v>15.72930968365662</v>
      </c>
      <c r="AH5" s="25">
        <f t="shared" ref="AH5:AH18" ca="1" si="11">(AD5+1+N5+(LOG(I5)*4/3))*(IF(Q5=7, (Q5/7)^0.5, ((Q5+1)/7)^0.5))</f>
        <v>17.230595455446355</v>
      </c>
      <c r="AI5" s="131">
        <f t="shared" ref="AI5:AI18" ca="1" si="12">(Z5+N5+(LOG(I5)*4/3))*(Q5/7)^0.5</f>
        <v>7.7933112317558466</v>
      </c>
      <c r="AJ5" s="131">
        <f t="shared" ref="AJ5:AJ18" ca="1" si="13">(Z5+N5+(LOG(I5)*4/3))*(IF(Q5=7, (Q5/7)^0.5, ((Q5+1)/7)^0.5))</f>
        <v>8.5371447185820966</v>
      </c>
      <c r="AK5" s="9">
        <f t="shared" ref="AK5:AK18" ca="1" si="14">(((Y5+LOG(I5)*4/3+N5)+(AB5+LOG(I5)*4/3+N5)*2)/8)*(Q5/7)^0.5</f>
        <v>3.6377034999724498</v>
      </c>
      <c r="AL5" s="9">
        <f t="shared" ref="AL5:AL18" ca="1" si="15">(AD5+LOG(I5)*4/3+N5)*0.7+(AC5+LOG(I5)*4/3+N5)*0.3</f>
        <v>13.564170204318788</v>
      </c>
      <c r="AM5" s="9">
        <f t="shared" ref="AM5:AM18" ca="1" si="16">(0.5*(AC5+LOG(I5)*4/3+N5)+ 0.3*(AD5+LOG(I5)*4/3+N5))/10</f>
        <v>0.73439361634550304</v>
      </c>
      <c r="AN5" s="9">
        <f t="shared" ref="AN5:AN18" ca="1" si="17">(0.4*(Y5+LOG(I5)*4/3+N5)+0.3*(AD5+LOG(I5)*4/3+N5))/10</f>
        <v>1.1727819143023153</v>
      </c>
      <c r="AO5" s="22">
        <v>2</v>
      </c>
      <c r="AP5" s="22">
        <v>1</v>
      </c>
      <c r="AQ5" s="22">
        <v>3</v>
      </c>
      <c r="AR5" s="145">
        <f t="shared" ref="AR5:AR19" si="18">IF(AP5=4,IF(AQ5=0,0.137+0.0697,0.137+0.02),IF(AP5=3,IF(AQ5=0,0.0958+0.0697,0.0958+0.02),IF(AP5=2,IF(AQ5=0,0.0415+0.0697,0.0415+0.02),IF(AP5=1,IF(AQ5=0,0.0294+0.0697,0.0294+0.02),IF(AP5=0,IF(AQ5=0,0.0063+0.0697,0.0063+0.02))))))</f>
        <v>4.9399999999999999E-2</v>
      </c>
      <c r="AS5">
        <v>79620</v>
      </c>
    </row>
    <row r="6" spans="1:45" x14ac:dyDescent="0.25">
      <c r="A6" s="16" t="s">
        <v>33</v>
      </c>
      <c r="B6" s="26" t="s">
        <v>30</v>
      </c>
      <c r="C6" s="132">
        <f t="shared" ca="1" si="3"/>
        <v>1.2142857142857142</v>
      </c>
      <c r="D6" s="1" t="s">
        <v>244</v>
      </c>
      <c r="E6" s="2">
        <v>31</v>
      </c>
      <c r="F6" s="3">
        <f ca="1">16+D2-D1-112-51-112-112-112-112-112</f>
        <v>88</v>
      </c>
      <c r="G6" s="4"/>
      <c r="H6" s="5">
        <v>3</v>
      </c>
      <c r="I6" s="6">
        <v>9.1</v>
      </c>
      <c r="J6" s="24">
        <f t="shared" si="4"/>
        <v>1.2787218564281246</v>
      </c>
      <c r="K6" s="7">
        <f t="shared" si="0"/>
        <v>81.899999999999991</v>
      </c>
      <c r="L6" s="7">
        <f t="shared" si="1"/>
        <v>145.6</v>
      </c>
      <c r="M6" s="146">
        <v>42799</v>
      </c>
      <c r="N6" s="147">
        <f t="shared" ca="1" si="5"/>
        <v>0.8569774132241168</v>
      </c>
      <c r="O6" s="27">
        <v>7.1</v>
      </c>
      <c r="P6" s="22">
        <f t="shared" si="6"/>
        <v>90</v>
      </c>
      <c r="Q6" s="28">
        <v>6</v>
      </c>
      <c r="R6" s="126">
        <f t="shared" si="7"/>
        <v>0.92582009977255142</v>
      </c>
      <c r="S6" s="126">
        <f t="shared" si="8"/>
        <v>0.99928545900129484</v>
      </c>
      <c r="T6" s="32">
        <v>78210</v>
      </c>
      <c r="U6" s="32">
        <f t="shared" si="9"/>
        <v>-4730</v>
      </c>
      <c r="V6" s="8">
        <v>13584</v>
      </c>
      <c r="W6" s="9">
        <f t="shared" si="2"/>
        <v>5.7575088339222615</v>
      </c>
      <c r="X6" s="23">
        <v>0</v>
      </c>
      <c r="Y6" s="24">
        <f>13+1/20</f>
        <v>13.05</v>
      </c>
      <c r="Z6" s="23">
        <f>3+0.12+0.12*0.5</f>
        <v>3.18</v>
      </c>
      <c r="AA6" s="24">
        <f>12+1/15*0.5</f>
        <v>12.033333333333333</v>
      </c>
      <c r="AB6" s="23">
        <f>9+0.01+0.01+0.01+0.01</f>
        <v>9.0399999999999991</v>
      </c>
      <c r="AC6" s="24">
        <f>4+0.01</f>
        <v>4.01</v>
      </c>
      <c r="AD6" s="23">
        <f>10+1/3</f>
        <v>10.333333333333334</v>
      </c>
      <c r="AE6" s="10">
        <v>1507</v>
      </c>
      <c r="AF6" s="10"/>
      <c r="AG6" s="25">
        <f t="shared" ca="1" si="10"/>
        <v>12.469901108335852</v>
      </c>
      <c r="AH6" s="25">
        <f t="shared" ca="1" si="11"/>
        <v>13.469032602985575</v>
      </c>
      <c r="AI6" s="131">
        <f t="shared" ca="1" si="12"/>
        <v>4.9213812281903166</v>
      </c>
      <c r="AJ6" s="131">
        <f t="shared" ca="1" si="13"/>
        <v>5.3156992696522414</v>
      </c>
      <c r="AK6" s="9">
        <f t="shared" ca="1" si="14"/>
        <v>4.3440749548325419</v>
      </c>
      <c r="AL6" s="9">
        <f t="shared" ca="1" si="15"/>
        <v>10.572032602985574</v>
      </c>
      <c r="AM6" s="9">
        <f t="shared" ca="1" si="16"/>
        <v>0.68135594157217927</v>
      </c>
      <c r="AN6" s="9">
        <f t="shared" ca="1" si="17"/>
        <v>0.98149894887565703</v>
      </c>
      <c r="AO6" s="22">
        <v>3</v>
      </c>
      <c r="AP6" s="22">
        <v>0</v>
      </c>
      <c r="AQ6" s="22">
        <v>3</v>
      </c>
      <c r="AR6" s="145">
        <f t="shared" si="18"/>
        <v>2.63E-2</v>
      </c>
      <c r="AS6">
        <v>82940</v>
      </c>
    </row>
    <row r="7" spans="1:45" x14ac:dyDescent="0.25">
      <c r="A7" s="16" t="s">
        <v>41</v>
      </c>
      <c r="B7" s="16" t="s">
        <v>30</v>
      </c>
      <c r="C7" s="132">
        <f t="shared" ca="1" si="3"/>
        <v>1.7142857142857142</v>
      </c>
      <c r="D7" s="1" t="s">
        <v>247</v>
      </c>
      <c r="E7" s="2">
        <v>31</v>
      </c>
      <c r="F7" s="3">
        <f ca="1">8-659+D2-D1-112</f>
        <v>32</v>
      </c>
      <c r="G7" s="4"/>
      <c r="H7" s="5">
        <v>2</v>
      </c>
      <c r="I7" s="6">
        <v>8.9</v>
      </c>
      <c r="J7" s="24">
        <f t="shared" si="4"/>
        <v>1.265853342193217</v>
      </c>
      <c r="K7" s="7">
        <f t="shared" ref="K7" si="19">(H7)*(H7)*(I7)</f>
        <v>35.6</v>
      </c>
      <c r="L7" s="7">
        <f t="shared" ref="L7" si="20">(H7+1)*(H7+1)*I7</f>
        <v>80.100000000000009</v>
      </c>
      <c r="M7" s="146">
        <v>42948</v>
      </c>
      <c r="N7" s="147">
        <f t="shared" ca="1" si="5"/>
        <v>0.50348841288620305</v>
      </c>
      <c r="O7" s="27">
        <v>7</v>
      </c>
      <c r="P7" s="22">
        <f t="shared" ref="P7:P8" si="21">O7*10+19</f>
        <v>89</v>
      </c>
      <c r="Q7" s="28">
        <v>6</v>
      </c>
      <c r="R7" s="126">
        <f t="shared" ref="R7" si="22">(Q7/7)^0.5</f>
        <v>0.92582009977255142</v>
      </c>
      <c r="S7" s="126">
        <f t="shared" ref="S7" si="23">IF(Q7=7,1,((Q7+0.99)/7)^0.5)</f>
        <v>0.99928545900129484</v>
      </c>
      <c r="T7" s="32">
        <v>91540</v>
      </c>
      <c r="U7" s="32">
        <f t="shared" si="9"/>
        <v>2300</v>
      </c>
      <c r="V7" s="8">
        <v>21540</v>
      </c>
      <c r="W7" s="9">
        <f t="shared" si="2"/>
        <v>4.2497678737233056</v>
      </c>
      <c r="X7" s="23">
        <v>0</v>
      </c>
      <c r="Y7" s="24">
        <v>14</v>
      </c>
      <c r="Z7" s="23">
        <f>5+0.02</f>
        <v>5.0199999999999996</v>
      </c>
      <c r="AA7" s="24">
        <f>10+0.01</f>
        <v>10.01</v>
      </c>
      <c r="AB7" s="23">
        <f>9+0.01+0.01+0.01+0.01</f>
        <v>9.0399999999999991</v>
      </c>
      <c r="AC7" s="24">
        <f>1+0.01</f>
        <v>1.01</v>
      </c>
      <c r="AD7" s="23">
        <f>13.6+0.2+0.2</f>
        <v>13.999999999999998</v>
      </c>
      <c r="AE7" s="10">
        <v>1570</v>
      </c>
      <c r="AF7" s="10"/>
      <c r="AG7" s="25">
        <f t="shared" ca="1" si="10"/>
        <v>15.525393656807639</v>
      </c>
      <c r="AH7" s="25">
        <f t="shared" ca="1" si="11"/>
        <v>16.769341755079417</v>
      </c>
      <c r="AI7" s="131">
        <f t="shared" ca="1" si="12"/>
        <v>6.2857090610775774</v>
      </c>
      <c r="AJ7" s="131">
        <f t="shared" ca="1" si="13"/>
        <v>6.7893417550794197</v>
      </c>
      <c r="AK7" s="9">
        <f t="shared" ca="1" si="14"/>
        <v>4.3268231601701945</v>
      </c>
      <c r="AL7" s="9">
        <f t="shared" ca="1" si="15"/>
        <v>11.872341755079418</v>
      </c>
      <c r="AM7" s="9">
        <f t="shared" ca="1" si="16"/>
        <v>0.61204734040635356</v>
      </c>
      <c r="AN7" s="9">
        <f t="shared" ca="1" si="17"/>
        <v>1.1038539228555593</v>
      </c>
      <c r="AO7" s="22">
        <v>2</v>
      </c>
      <c r="AP7" s="22">
        <v>3</v>
      </c>
      <c r="AQ7" s="22">
        <v>2</v>
      </c>
      <c r="AR7" s="145">
        <f t="shared" ref="AR7:AR13" si="24">IF(AP7=4,IF(AQ7=0,0.137+0.0697,0.137+0.02),IF(AP7=3,IF(AQ7=0,0.0958+0.0697,0.0958+0.02),IF(AP7=2,IF(AQ7=0,0.0415+0.0697,0.0415+0.02),IF(AP7=1,IF(AQ7=0,0.0294+0.0697,0.0294+0.02),IF(AP7=0,IF(AQ7=0,0.0063+0.0697,0.0063+0.02))))))</f>
        <v>0.1158</v>
      </c>
      <c r="AS7">
        <v>89240</v>
      </c>
    </row>
    <row r="8" spans="1:45" x14ac:dyDescent="0.25">
      <c r="A8" s="16" t="s">
        <v>31</v>
      </c>
      <c r="B8" s="26" t="s">
        <v>30</v>
      </c>
      <c r="C8" s="132">
        <f t="shared" ca="1" si="3"/>
        <v>1.8660714285714286</v>
      </c>
      <c r="D8" s="1" t="s">
        <v>246</v>
      </c>
      <c r="E8" s="2">
        <v>31</v>
      </c>
      <c r="F8" s="3">
        <f ca="1">8-659-17+D2-D1-112</f>
        <v>15</v>
      </c>
      <c r="G8" s="4"/>
      <c r="H8" s="5">
        <v>3</v>
      </c>
      <c r="I8" s="6">
        <v>8.3000000000000007</v>
      </c>
      <c r="J8" s="24">
        <f t="shared" si="4"/>
        <v>1.2254374565014319</v>
      </c>
      <c r="K8" s="7">
        <f t="shared" ref="K8" si="25">(H8)*(H8)*(I8)</f>
        <v>74.7</v>
      </c>
      <c r="L8" s="7">
        <f t="shared" ref="L8" si="26">(H8+1)*(H8+1)*I8</f>
        <v>132.80000000000001</v>
      </c>
      <c r="M8" s="146">
        <v>42869</v>
      </c>
      <c r="N8" s="147">
        <f t="shared" ca="1" si="5"/>
        <v>0.70361642611566089</v>
      </c>
      <c r="O8" s="27">
        <v>7</v>
      </c>
      <c r="P8" s="22">
        <f t="shared" si="21"/>
        <v>89</v>
      </c>
      <c r="Q8" s="28">
        <v>6</v>
      </c>
      <c r="R8" s="126">
        <f t="shared" ref="R8" si="27">(Q8/7)^0.5</f>
        <v>0.92582009977255142</v>
      </c>
      <c r="S8" s="126">
        <f t="shared" ref="S8" si="28">IF(Q8=7,1,((Q8+0.99)/7)^0.5)</f>
        <v>0.99928545900129484</v>
      </c>
      <c r="T8" s="32">
        <v>65980</v>
      </c>
      <c r="U8" s="32">
        <f t="shared" si="9"/>
        <v>2120</v>
      </c>
      <c r="V8" s="8">
        <v>20832</v>
      </c>
      <c r="W8" s="9">
        <f t="shared" si="2"/>
        <v>3.1672427035330259</v>
      </c>
      <c r="X8" s="23">
        <v>0</v>
      </c>
      <c r="Y8" s="24">
        <v>14</v>
      </c>
      <c r="Z8" s="23">
        <f>3+0.02</f>
        <v>3.02</v>
      </c>
      <c r="AA8" s="24">
        <f>3+0.01</f>
        <v>3.01</v>
      </c>
      <c r="AB8" s="23">
        <f>10+0.01</f>
        <v>10.01</v>
      </c>
      <c r="AC8" s="24">
        <v>3</v>
      </c>
      <c r="AD8" s="23">
        <f>17+1/6</f>
        <v>17.166666666666668</v>
      </c>
      <c r="AE8" s="10">
        <v>1493</v>
      </c>
      <c r="AF8" s="10"/>
      <c r="AG8" s="25">
        <f t="shared" ca="1" si="10"/>
        <v>18.605022003939204</v>
      </c>
      <c r="AH8" s="25">
        <f t="shared" ca="1" si="11"/>
        <v>20.095720549283762</v>
      </c>
      <c r="AI8" s="131">
        <f t="shared" ca="1" si="12"/>
        <v>4.5819335593842894</v>
      </c>
      <c r="AJ8" s="131">
        <f t="shared" ca="1" si="13"/>
        <v>4.9490538826170924</v>
      </c>
      <c r="AK8" s="9">
        <f t="shared" ca="1" si="14"/>
        <v>4.6067837960594682</v>
      </c>
      <c r="AL8" s="9">
        <f t="shared" ca="1" si="15"/>
        <v>14.84572054928376</v>
      </c>
      <c r="AM8" s="9">
        <f t="shared" ca="1" si="16"/>
        <v>0.8193243106093675</v>
      </c>
      <c r="AN8" s="9">
        <f t="shared" ca="1" si="17"/>
        <v>1.2100337717831966</v>
      </c>
      <c r="AO8" s="22">
        <v>1</v>
      </c>
      <c r="AP8" s="22">
        <v>2</v>
      </c>
      <c r="AQ8" s="22">
        <v>3</v>
      </c>
      <c r="AR8" s="145">
        <f t="shared" si="24"/>
        <v>6.1499999999999999E-2</v>
      </c>
      <c r="AS8">
        <v>63860</v>
      </c>
    </row>
    <row r="9" spans="1:45" x14ac:dyDescent="0.25">
      <c r="A9" s="16" t="s">
        <v>35</v>
      </c>
      <c r="B9" s="26" t="s">
        <v>30</v>
      </c>
      <c r="C9" s="132">
        <f t="shared" ca="1" si="3"/>
        <v>0.4017857142857143</v>
      </c>
      <c r="D9" s="1" t="s">
        <v>243</v>
      </c>
      <c r="E9" s="2">
        <v>32</v>
      </c>
      <c r="F9" s="3">
        <f ca="1">51+D2-D1-112-27-112+36+37-112-112-41-112-112-112</f>
        <v>67</v>
      </c>
      <c r="G9" s="4" t="s">
        <v>0</v>
      </c>
      <c r="H9" s="5">
        <v>3</v>
      </c>
      <c r="I9" s="6">
        <v>10.9</v>
      </c>
      <c r="J9" s="24">
        <f t="shared" ref="J9" si="29">LOG(I9)*4/3</f>
        <v>1.383235330587498</v>
      </c>
      <c r="K9" s="7">
        <f>(H9)*(H9)*(I9)</f>
        <v>98.100000000000009</v>
      </c>
      <c r="L9" s="7">
        <f>(H9+1)*(H9+1)*I9</f>
        <v>174.4</v>
      </c>
      <c r="M9" s="146">
        <v>42742</v>
      </c>
      <c r="N9" s="147">
        <f ca="1">IF((TODAY()-M9)&gt;335,1,((TODAY()-M9)^0.64)/(336^0.64))</f>
        <v>0.97119420690995484</v>
      </c>
      <c r="O9" s="27">
        <v>6.9</v>
      </c>
      <c r="P9" s="22">
        <f>O9*10+19</f>
        <v>88</v>
      </c>
      <c r="Q9" s="28">
        <v>4</v>
      </c>
      <c r="R9" s="126">
        <f t="shared" ref="R9" si="30">(Q9/7)^0.5</f>
        <v>0.7559289460184544</v>
      </c>
      <c r="S9" s="126">
        <f t="shared" ref="S9" si="31">IF(Q9=7,1,((Q9+0.99)/7)^0.5)</f>
        <v>0.84430867747355465</v>
      </c>
      <c r="T9" s="32">
        <v>79050</v>
      </c>
      <c r="U9" s="32">
        <f t="shared" si="9"/>
        <v>-2340</v>
      </c>
      <c r="V9" s="8">
        <v>21960</v>
      </c>
      <c r="W9" s="9">
        <f>T9/V9</f>
        <v>3.5997267759562841</v>
      </c>
      <c r="X9" s="23">
        <v>0</v>
      </c>
      <c r="Y9" s="24">
        <f>15+1/35</f>
        <v>15.028571428571428</v>
      </c>
      <c r="Z9" s="23">
        <v>12</v>
      </c>
      <c r="AA9" s="24">
        <f>2+0.01</f>
        <v>2.0099999999999998</v>
      </c>
      <c r="AB9" s="23">
        <f>7+1/7+0.01+0.01+0.01+0.01</f>
        <v>7.1828571428571424</v>
      </c>
      <c r="AC9" s="24">
        <v>3.99</v>
      </c>
      <c r="AD9" s="23">
        <f>14+0.2+0.2+0.2</f>
        <v>14.599999999999998</v>
      </c>
      <c r="AE9" s="10">
        <v>1825</v>
      </c>
      <c r="AF9" s="10"/>
      <c r="AG9" s="25">
        <f t="shared" ca="1" si="10"/>
        <v>13.572272996643056</v>
      </c>
      <c r="AH9" s="25">
        <f t="shared" ca="1" si="11"/>
        <v>15.174262514839326</v>
      </c>
      <c r="AI9" s="131">
        <f t="shared" ca="1" si="12"/>
        <v>10.850928790976619</v>
      </c>
      <c r="AJ9" s="131">
        <f t="shared" ca="1" si="13"/>
        <v>12.131707197816665</v>
      </c>
      <c r="AK9" s="9">
        <f t="shared" ca="1" si="14"/>
        <v>3.4449169669038513</v>
      </c>
      <c r="AL9" s="9">
        <f t="shared" ca="1" si="15"/>
        <v>13.77142953749745</v>
      </c>
      <c r="AM9" s="9">
        <f t="shared" ca="1" si="16"/>
        <v>0.82585436299979609</v>
      </c>
      <c r="AN9" s="9">
        <f t="shared" ca="1" si="17"/>
        <v>1.203952924767679</v>
      </c>
      <c r="AO9" s="22">
        <v>3</v>
      </c>
      <c r="AP9" s="22">
        <v>2</v>
      </c>
      <c r="AQ9" s="22">
        <v>2</v>
      </c>
      <c r="AR9" s="145">
        <f t="shared" si="24"/>
        <v>6.1499999999999999E-2</v>
      </c>
      <c r="AS9">
        <v>81390</v>
      </c>
    </row>
    <row r="10" spans="1:45" x14ac:dyDescent="0.25">
      <c r="A10" s="16" t="s">
        <v>39</v>
      </c>
      <c r="B10" s="16" t="s">
        <v>30</v>
      </c>
      <c r="C10" s="132">
        <f ca="1">((33*112)-(E10*112)-(F10))/112</f>
        <v>1.0892857142857142</v>
      </c>
      <c r="D10" s="31" t="s">
        <v>416</v>
      </c>
      <c r="E10" s="18">
        <v>31</v>
      </c>
      <c r="F10" s="3">
        <f ca="1">51+D2-D1-112-27-112+36+37-112-112+24-112-112-30-112</f>
        <v>102</v>
      </c>
      <c r="G10" s="20" t="s">
        <v>190</v>
      </c>
      <c r="H10" s="5">
        <v>2</v>
      </c>
      <c r="I10" s="30">
        <v>9.1999999999999993</v>
      </c>
      <c r="J10" s="24">
        <f>LOG(I10)*4/3</f>
        <v>1.2850504364607402</v>
      </c>
      <c r="K10" s="7">
        <f>(H10)*(H10)*(I10)</f>
        <v>36.799999999999997</v>
      </c>
      <c r="L10" s="7">
        <f>(H10+1)*(H10+1)*I10</f>
        <v>82.8</v>
      </c>
      <c r="M10" s="146">
        <v>42865</v>
      </c>
      <c r="N10" s="147">
        <f ca="1">IF((TODAY()-M10)&gt;335,1,((TODAY()-M10)^0.64)/(336^0.64))</f>
        <v>0.7128671204746958</v>
      </c>
      <c r="O10" s="21">
        <v>7</v>
      </c>
      <c r="P10" s="22">
        <f>O10*10+19</f>
        <v>89</v>
      </c>
      <c r="Q10" s="28">
        <v>5</v>
      </c>
      <c r="R10" s="126">
        <f t="shared" ref="R10:R11" si="32">(Q10/7)^0.5</f>
        <v>0.84515425472851657</v>
      </c>
      <c r="S10" s="126">
        <f t="shared" ref="S10:S11" si="33">IF(Q10=7,1,((Q10+0.99)/7)^0.5)</f>
        <v>0.92504826128926143</v>
      </c>
      <c r="T10" s="32">
        <v>123630</v>
      </c>
      <c r="U10" s="32">
        <f t="shared" si="9"/>
        <v>1380</v>
      </c>
      <c r="V10" s="32">
        <v>32700</v>
      </c>
      <c r="W10" s="9">
        <f>T10/V10</f>
        <v>3.7807339449541284</v>
      </c>
      <c r="X10" s="23">
        <v>0</v>
      </c>
      <c r="Y10" s="24">
        <v>12</v>
      </c>
      <c r="Z10" s="23">
        <f>15+1/25</f>
        <v>15.04</v>
      </c>
      <c r="AA10" s="24">
        <f>2+0.01</f>
        <v>2.0099999999999998</v>
      </c>
      <c r="AB10" s="23">
        <f>8+0.1+0.1+0.1+0.1*44/90</f>
        <v>8.3488888888888884</v>
      </c>
      <c r="AC10" s="24">
        <f>2+1/6</f>
        <v>2.1666666666666665</v>
      </c>
      <c r="AD10" s="23">
        <f>8+0.4+0.4*11/90</f>
        <v>8.4488888888888898</v>
      </c>
      <c r="AE10" s="10">
        <v>1700</v>
      </c>
      <c r="AF10" s="10"/>
      <c r="AG10" s="25">
        <f t="shared" ca="1" si="10"/>
        <v>9.6743171707422366</v>
      </c>
      <c r="AH10" s="25">
        <f t="shared" ca="1" si="11"/>
        <v>10.597683485750162</v>
      </c>
      <c r="AI10" s="131">
        <f t="shared" ca="1" si="12"/>
        <v>14.399668514957677</v>
      </c>
      <c r="AJ10" s="131">
        <f t="shared" ca="1" si="13"/>
        <v>15.774046532478472</v>
      </c>
      <c r="AK10" s="9">
        <f t="shared" ca="1" si="14"/>
        <v>3.6649618202080898</v>
      </c>
      <c r="AL10" s="9">
        <f t="shared" ca="1" si="15"/>
        <v>8.5621397791576577</v>
      </c>
      <c r="AM10" s="9">
        <f t="shared" ca="1" si="16"/>
        <v>0.52163340455483487</v>
      </c>
      <c r="AN10" s="9">
        <f t="shared" ca="1" si="17"/>
        <v>0.87332089565214732</v>
      </c>
      <c r="AO10" s="22">
        <v>2</v>
      </c>
      <c r="AP10" s="22">
        <v>3</v>
      </c>
      <c r="AQ10" s="22">
        <v>1</v>
      </c>
      <c r="AR10" s="145">
        <f t="shared" si="24"/>
        <v>0.1158</v>
      </c>
      <c r="AS10">
        <v>122250</v>
      </c>
    </row>
    <row r="11" spans="1:45" x14ac:dyDescent="0.25">
      <c r="A11" s="16" t="s">
        <v>34</v>
      </c>
      <c r="B11" s="26" t="s">
        <v>99</v>
      </c>
      <c r="C11" s="132">
        <f ca="1">((33*112)-(E11*112)-(F11))/112</f>
        <v>0.8303571428571429</v>
      </c>
      <c r="D11" s="1" t="s">
        <v>242</v>
      </c>
      <c r="E11" s="2">
        <v>32</v>
      </c>
      <c r="F11" s="3">
        <f ca="1">51+D2-D1-112-27-112+36+37-112-112+24-112-1-112-112-112</f>
        <v>19</v>
      </c>
      <c r="G11" s="4" t="s">
        <v>45</v>
      </c>
      <c r="H11" s="5">
        <v>1</v>
      </c>
      <c r="I11" s="6">
        <v>10.5</v>
      </c>
      <c r="J11" s="24">
        <f t="shared" ref="J11" si="34">LOG(I11)*4/3</f>
        <v>1.3615857320932507</v>
      </c>
      <c r="K11" s="7">
        <f>(H11)*(H11)*(I11)</f>
        <v>10.5</v>
      </c>
      <c r="L11" s="7">
        <f>(H11+1)*(H11+1)*I11</f>
        <v>42</v>
      </c>
      <c r="M11" s="146">
        <v>42738</v>
      </c>
      <c r="N11" s="147">
        <f ca="1">IF((TODAY()-M11)&gt;335,1,((TODAY()-M11)^0.64)/(336^0.64))</f>
        <v>0.97892228102518331</v>
      </c>
      <c r="O11" s="27">
        <v>6.9</v>
      </c>
      <c r="P11" s="22">
        <f>O11*10+19</f>
        <v>88</v>
      </c>
      <c r="Q11" s="28">
        <v>5</v>
      </c>
      <c r="R11" s="126">
        <f t="shared" si="32"/>
        <v>0.84515425472851657</v>
      </c>
      <c r="S11" s="126">
        <f t="shared" si="33"/>
        <v>0.92504826128926143</v>
      </c>
      <c r="T11" s="32">
        <v>72440</v>
      </c>
      <c r="U11" s="32">
        <f t="shared" si="9"/>
        <v>2860</v>
      </c>
      <c r="V11" s="8">
        <v>21792</v>
      </c>
      <c r="W11" s="9">
        <f>T11/V11</f>
        <v>3.3241556534508074</v>
      </c>
      <c r="X11" s="23">
        <v>0</v>
      </c>
      <c r="Y11" s="24">
        <f>5+1/51</f>
        <v>5.0196078431372548</v>
      </c>
      <c r="Z11" s="23">
        <f>14+1/20+1/20+1/20+0.01+1/20</f>
        <v>14.210000000000003</v>
      </c>
      <c r="AA11" s="24">
        <f>5</f>
        <v>5</v>
      </c>
      <c r="AB11" s="23">
        <f>12+1/14+1/14+1/14+1/14*30/90+1/14+1/14+1/14*44/90+1/14</f>
        <v>12.487301587301586</v>
      </c>
      <c r="AC11" s="24">
        <f>3+1/5+1/5+0.01</f>
        <v>3.41</v>
      </c>
      <c r="AD11" s="23">
        <f>15+1/6+1/6+1/6</f>
        <v>15.499999999999998</v>
      </c>
      <c r="AE11" s="10">
        <v>1571</v>
      </c>
      <c r="AF11" s="10"/>
      <c r="AG11" s="25">
        <f t="shared" ca="1" si="10"/>
        <v>15.923135508533754</v>
      </c>
      <c r="AH11" s="25">
        <f t="shared" ca="1" si="11"/>
        <v>17.442921008470861</v>
      </c>
      <c r="AI11" s="131">
        <f t="shared" ca="1" si="12"/>
        <v>13.987732265205453</v>
      </c>
      <c r="AJ11" s="131">
        <f t="shared" ca="1" si="13"/>
        <v>15.322792979991721</v>
      </c>
      <c r="AK11" s="9">
        <f t="shared" ca="1" si="14"/>
        <v>3.9105007469259951</v>
      </c>
      <c r="AL11" s="9">
        <f t="shared" ca="1" si="15"/>
        <v>14.213508013118433</v>
      </c>
      <c r="AM11" s="9">
        <f t="shared" ca="1" si="16"/>
        <v>0.82274064104947475</v>
      </c>
      <c r="AN11" s="9">
        <f t="shared" ca="1" si="17"/>
        <v>0.82961987464378062</v>
      </c>
      <c r="AO11" s="22">
        <v>1</v>
      </c>
      <c r="AP11" s="22">
        <v>3</v>
      </c>
      <c r="AQ11" s="22">
        <v>2</v>
      </c>
      <c r="AR11" s="145">
        <f t="shared" si="24"/>
        <v>0.1158</v>
      </c>
      <c r="AS11">
        <v>69580</v>
      </c>
    </row>
    <row r="12" spans="1:45" x14ac:dyDescent="0.25">
      <c r="A12" s="16" t="s">
        <v>38</v>
      </c>
      <c r="B12" s="16" t="s">
        <v>44</v>
      </c>
      <c r="C12" s="132">
        <f ca="1">((33*112)-(E12*112)-(F12))/112</f>
        <v>3</v>
      </c>
      <c r="D12" s="1" t="s">
        <v>248</v>
      </c>
      <c r="E12" s="2">
        <v>30</v>
      </c>
      <c r="F12" s="3">
        <f ca="1">8-659-32+D2-D1-112</f>
        <v>0</v>
      </c>
      <c r="G12" s="4" t="s">
        <v>45</v>
      </c>
      <c r="H12" s="5">
        <v>2</v>
      </c>
      <c r="I12" s="6">
        <v>6.1</v>
      </c>
      <c r="J12" s="24">
        <f>LOG(I12)*4/3</f>
        <v>1.0471064466810227</v>
      </c>
      <c r="K12" s="7">
        <f>(H12)*(H12)*(I12)</f>
        <v>24.4</v>
      </c>
      <c r="L12" s="7">
        <f>(H12+1)*(H12+1)*I12</f>
        <v>54.9</v>
      </c>
      <c r="M12" s="146">
        <v>42975</v>
      </c>
      <c r="N12" s="147">
        <f t="shared" ca="1" si="5"/>
        <v>0.42424015486581296</v>
      </c>
      <c r="O12" s="27">
        <v>7</v>
      </c>
      <c r="P12" s="22">
        <f>O12*10+19</f>
        <v>89</v>
      </c>
      <c r="Q12" s="28">
        <v>4</v>
      </c>
      <c r="R12" s="126">
        <f>(Q12/7)^0.5</f>
        <v>0.7559289460184544</v>
      </c>
      <c r="S12" s="126">
        <f>IF(Q12=7,1,((Q12+0.99)/7)^0.5)</f>
        <v>0.84430867747355465</v>
      </c>
      <c r="T12" s="32">
        <v>101700</v>
      </c>
      <c r="U12" s="32">
        <f t="shared" si="9"/>
        <v>-25560</v>
      </c>
      <c r="V12" s="8">
        <v>20652</v>
      </c>
      <c r="W12" s="9">
        <f>T12/V12</f>
        <v>4.9244625217896569</v>
      </c>
      <c r="X12" s="23">
        <v>0</v>
      </c>
      <c r="Y12" s="24">
        <v>2</v>
      </c>
      <c r="Z12" s="23">
        <f>13+1/22*0.5</f>
        <v>13.022727272727273</v>
      </c>
      <c r="AA12" s="24">
        <f>14+1/18*11/90</f>
        <v>14.00679012345679</v>
      </c>
      <c r="AB12" s="23">
        <f>6.4+(1/8*65/90)+1/8+1/8+1/8+(1/8*6/90)+1/8</f>
        <v>6.9986111111111118</v>
      </c>
      <c r="AC12" s="24">
        <f>5+0.01</f>
        <v>5.01</v>
      </c>
      <c r="AD12" s="23">
        <v>1</v>
      </c>
      <c r="AE12" s="10">
        <v>1397</v>
      </c>
      <c r="AF12" s="10"/>
      <c r="AG12" s="25">
        <f t="shared" ca="1" si="10"/>
        <v>2.6240913777720429</v>
      </c>
      <c r="AH12" s="25">
        <f t="shared" ca="1" si="11"/>
        <v>2.9338233499346846</v>
      </c>
      <c r="AI12" s="131">
        <f t="shared" ca="1" si="12"/>
        <v>10.956489987293644</v>
      </c>
      <c r="AJ12" s="131">
        <f t="shared" ca="1" si="13"/>
        <v>12.249728203192198</v>
      </c>
      <c r="AK12" s="9">
        <f t="shared" ca="1" si="14"/>
        <v>1.9286829738591056</v>
      </c>
      <c r="AL12" s="9">
        <f t="shared" ca="1" si="15"/>
        <v>3.6743466015468353</v>
      </c>
      <c r="AM12" s="9">
        <f t="shared" ca="1" si="16"/>
        <v>0.39820772812374683</v>
      </c>
      <c r="AN12" s="9">
        <f t="shared" ca="1" si="17"/>
        <v>0.21299426210827849</v>
      </c>
      <c r="AO12" s="22">
        <v>1</v>
      </c>
      <c r="AP12" s="22">
        <v>2</v>
      </c>
      <c r="AQ12" s="22">
        <v>2</v>
      </c>
      <c r="AR12" s="145">
        <f t="shared" si="24"/>
        <v>6.1499999999999999E-2</v>
      </c>
      <c r="AS12">
        <v>127260</v>
      </c>
    </row>
    <row r="13" spans="1:45" x14ac:dyDescent="0.25">
      <c r="A13" s="16" t="s">
        <v>31</v>
      </c>
      <c r="B13" s="26" t="s">
        <v>75</v>
      </c>
      <c r="C13" s="132">
        <f ca="1">((33*112)-(E13*112)-(F13))/112</f>
        <v>1.2589285714285714</v>
      </c>
      <c r="D13" s="1" t="s">
        <v>249</v>
      </c>
      <c r="E13" s="2">
        <v>31</v>
      </c>
      <c r="F13" s="3">
        <f ca="1">8-159+16-570-5+D2-D1-2</f>
        <v>83</v>
      </c>
      <c r="G13" s="4"/>
      <c r="H13" s="5">
        <v>2</v>
      </c>
      <c r="I13" s="6">
        <v>8.6999999999999993</v>
      </c>
      <c r="J13" s="24">
        <f>LOG(I13)*4/3</f>
        <v>1.2526923368248246</v>
      </c>
      <c r="K13" s="7">
        <f>(H13)*(H13)*(I13)</f>
        <v>34.799999999999997</v>
      </c>
      <c r="L13" s="7">
        <f>(H13+1)*(H13+1)*I13</f>
        <v>78.3</v>
      </c>
      <c r="M13" s="146">
        <v>42872</v>
      </c>
      <c r="N13" s="147">
        <f t="shared" ca="1" si="5"/>
        <v>0.69663327920453078</v>
      </c>
      <c r="O13" s="27">
        <v>7</v>
      </c>
      <c r="P13" s="22">
        <f>O13*10+19</f>
        <v>89</v>
      </c>
      <c r="Q13" s="28">
        <v>7</v>
      </c>
      <c r="R13" s="126">
        <f>(Q13/7)^0.5</f>
        <v>1</v>
      </c>
      <c r="S13" s="126">
        <f>IF(Q13=7,1,((Q13+0.99)/7)^0.5)</f>
        <v>1</v>
      </c>
      <c r="T13" s="8">
        <v>100010</v>
      </c>
      <c r="U13" s="32">
        <f t="shared" si="9"/>
        <v>-310</v>
      </c>
      <c r="V13" s="8">
        <v>16668</v>
      </c>
      <c r="W13" s="9">
        <f>T13/V13</f>
        <v>6.0001199904007683</v>
      </c>
      <c r="X13" s="23">
        <v>0</v>
      </c>
      <c r="Y13" s="24">
        <v>4</v>
      </c>
      <c r="Z13" s="23">
        <f>12+1/22*0.5</f>
        <v>12.022727272727273</v>
      </c>
      <c r="AA13" s="24">
        <f>14+1/15</f>
        <v>14.066666666666666</v>
      </c>
      <c r="AB13" s="23">
        <f>8+0.1+0.1+0.1+0.1+0.1+0.1</f>
        <v>8.5999999999999979</v>
      </c>
      <c r="AC13" s="24">
        <f>3+0.01</f>
        <v>3.01</v>
      </c>
      <c r="AD13" s="23">
        <f>5+0.5+0.5</f>
        <v>6</v>
      </c>
      <c r="AE13" s="10">
        <v>1371</v>
      </c>
      <c r="AF13" s="10"/>
      <c r="AG13" s="25">
        <f t="shared" ca="1" si="10"/>
        <v>8.9493256160293555</v>
      </c>
      <c r="AH13" s="25">
        <f t="shared" ca="1" si="11"/>
        <v>8.9493256160293555</v>
      </c>
      <c r="AI13" s="131">
        <f t="shared" ca="1" si="12"/>
        <v>13.972052888756629</v>
      </c>
      <c r="AJ13" s="131">
        <f t="shared" ca="1" si="13"/>
        <v>13.972052888756629</v>
      </c>
      <c r="AK13" s="9">
        <f t="shared" ca="1" si="14"/>
        <v>3.3809971060110078</v>
      </c>
      <c r="AL13" s="9">
        <f t="shared" ca="1" si="15"/>
        <v>7.0523256160293553</v>
      </c>
      <c r="AM13" s="9">
        <f t="shared" ca="1" si="16"/>
        <v>0.48644604928234847</v>
      </c>
      <c r="AN13" s="9">
        <f t="shared" ca="1" si="17"/>
        <v>0.47645279312205491</v>
      </c>
      <c r="AO13" s="22">
        <v>3</v>
      </c>
      <c r="AP13" s="22">
        <v>4</v>
      </c>
      <c r="AQ13" s="22">
        <v>2</v>
      </c>
      <c r="AR13" s="145">
        <f t="shared" si="24"/>
        <v>0.157</v>
      </c>
      <c r="AS13">
        <v>100320</v>
      </c>
    </row>
    <row r="14" spans="1:45" x14ac:dyDescent="0.25">
      <c r="A14" s="16" t="s">
        <v>37</v>
      </c>
      <c r="B14" s="16" t="s">
        <v>75</v>
      </c>
      <c r="C14" s="132">
        <f t="shared" ca="1" si="3"/>
        <v>3.5714285714285712E-2</v>
      </c>
      <c r="D14" s="31" t="s">
        <v>241</v>
      </c>
      <c r="E14" s="18">
        <v>32</v>
      </c>
      <c r="F14" s="3">
        <f ca="1">-35+D2-D1-67-112-112-112+87-112-112-112</f>
        <v>108</v>
      </c>
      <c r="G14" s="20" t="s">
        <v>0</v>
      </c>
      <c r="H14" s="5">
        <v>1</v>
      </c>
      <c r="I14" s="30">
        <v>10.199999999999999</v>
      </c>
      <c r="J14" s="24">
        <f t="shared" si="4"/>
        <v>1.34480022901589</v>
      </c>
      <c r="K14" s="7">
        <f t="shared" si="0"/>
        <v>10.199999999999999</v>
      </c>
      <c r="L14" s="7">
        <f t="shared" si="1"/>
        <v>40.799999999999997</v>
      </c>
      <c r="M14" s="146">
        <v>42712</v>
      </c>
      <c r="N14" s="147">
        <f t="shared" ca="1" si="5"/>
        <v>1</v>
      </c>
      <c r="O14" s="27">
        <v>6.9</v>
      </c>
      <c r="P14" s="22">
        <f t="shared" ref="P14" si="35">O14*10+19</f>
        <v>88</v>
      </c>
      <c r="Q14" s="22">
        <v>4</v>
      </c>
      <c r="R14" s="126">
        <f t="shared" si="7"/>
        <v>0.7559289460184544</v>
      </c>
      <c r="S14" s="126">
        <f t="shared" si="8"/>
        <v>0.84430867747355465</v>
      </c>
      <c r="T14" s="32">
        <v>80610</v>
      </c>
      <c r="U14" s="32">
        <f t="shared" si="9"/>
        <v>-3300</v>
      </c>
      <c r="V14" s="32">
        <v>17724</v>
      </c>
      <c r="W14" s="9">
        <f t="shared" ref="W14" si="36">T14/V14</f>
        <v>4.5480704129993228</v>
      </c>
      <c r="X14" s="23">
        <v>0</v>
      </c>
      <c r="Y14" s="24">
        <f>1+1/27</f>
        <v>1.037037037037037</v>
      </c>
      <c r="Z14" s="23">
        <f>13+1/15*0.5+1/15*0.5+1/15*0.5+1/15*0.6+1/22/0.5</f>
        <v>13.230909090909091</v>
      </c>
      <c r="AA14" s="24">
        <f>14+1/15*79/90</f>
        <v>14.058518518518518</v>
      </c>
      <c r="AB14" s="23">
        <f>10+1/8+1/8+1/8+1/8+0.1+0.1*40/90+0.1*20/90+0.1+0.09+0.08</f>
        <v>10.936666666666666</v>
      </c>
      <c r="AC14" s="24">
        <v>2.95</v>
      </c>
      <c r="AD14" s="23">
        <f>10+1/3</f>
        <v>10.333333333333334</v>
      </c>
      <c r="AE14" s="10">
        <v>1501</v>
      </c>
      <c r="AF14" s="10"/>
      <c r="AG14" s="25">
        <f t="shared" ca="1" si="10"/>
        <v>10.339697087286297</v>
      </c>
      <c r="AH14" s="25">
        <f t="shared" ca="1" si="11"/>
        <v>11.560132776964368</v>
      </c>
      <c r="AI14" s="131">
        <f t="shared" ca="1" si="12"/>
        <v>11.774129529700708</v>
      </c>
      <c r="AJ14" s="131">
        <f t="shared" ca="1" si="13"/>
        <v>13.163877002149206</v>
      </c>
      <c r="AK14" s="9">
        <f t="shared" ca="1" si="14"/>
        <v>2.8295149030247417</v>
      </c>
      <c r="AL14" s="9">
        <f t="shared" ca="1" si="15"/>
        <v>10.463133562349222</v>
      </c>
      <c r="AM14" s="9">
        <f t="shared" ca="1" si="16"/>
        <v>0.64508401832127116</v>
      </c>
      <c r="AN14" s="9">
        <f t="shared" ca="1" si="17"/>
        <v>0.51561749751259378</v>
      </c>
      <c r="AO14" s="22">
        <v>3</v>
      </c>
      <c r="AP14" s="22">
        <v>2</v>
      </c>
      <c r="AQ14" s="22">
        <v>0</v>
      </c>
      <c r="AR14" s="145">
        <f t="shared" si="18"/>
        <v>0.11119999999999999</v>
      </c>
      <c r="AS14">
        <v>83910</v>
      </c>
    </row>
    <row r="15" spans="1:45" x14ac:dyDescent="0.25">
      <c r="A15" s="16" t="s">
        <v>43</v>
      </c>
      <c r="B15" s="16" t="s">
        <v>44</v>
      </c>
      <c r="C15" s="132">
        <f t="shared" ca="1" si="3"/>
        <v>2.9107142857142856</v>
      </c>
      <c r="D15" s="31" t="s">
        <v>188</v>
      </c>
      <c r="E15" s="18">
        <v>30</v>
      </c>
      <c r="F15" s="3">
        <f ca="1">-35+D2-D1-67-11-112-112-112-112-112-112</f>
        <v>10</v>
      </c>
      <c r="G15" s="20" t="s">
        <v>0</v>
      </c>
      <c r="H15" s="5">
        <v>4</v>
      </c>
      <c r="I15" s="30">
        <v>9.3000000000000007</v>
      </c>
      <c r="J15" s="24">
        <f t="shared" si="4"/>
        <v>1.2913105980719135</v>
      </c>
      <c r="K15" s="7">
        <f t="shared" ref="K15:K18" si="37">(H15)*(H15)*(I15)</f>
        <v>148.80000000000001</v>
      </c>
      <c r="L15" s="7">
        <f t="shared" ref="L15:L18" si="38">(H15+1)*(H15+1)*I15</f>
        <v>232.50000000000003</v>
      </c>
      <c r="M15" s="146">
        <v>42411</v>
      </c>
      <c r="N15" s="147">
        <f t="shared" ca="1" si="5"/>
        <v>1</v>
      </c>
      <c r="O15" s="21">
        <v>7.9</v>
      </c>
      <c r="P15" s="22">
        <f t="shared" ref="P15" si="39">O15*10+19</f>
        <v>98</v>
      </c>
      <c r="Q15" s="22">
        <v>5</v>
      </c>
      <c r="R15" s="126">
        <f t="shared" si="7"/>
        <v>0.84515425472851657</v>
      </c>
      <c r="S15" s="126">
        <f t="shared" si="8"/>
        <v>0.92504826128926143</v>
      </c>
      <c r="T15" s="32">
        <v>185660</v>
      </c>
      <c r="U15" s="32">
        <f t="shared" si="9"/>
        <v>7230</v>
      </c>
      <c r="V15" s="32">
        <v>30204</v>
      </c>
      <c r="W15" s="9">
        <f t="shared" ref="W15" si="40">T15/V15</f>
        <v>6.1468679645080124</v>
      </c>
      <c r="X15" s="23">
        <v>0</v>
      </c>
      <c r="Y15" s="24">
        <v>2</v>
      </c>
      <c r="Z15" s="23">
        <f>14+1/15</f>
        <v>14.066666666666666</v>
      </c>
      <c r="AA15" s="24">
        <f>2+1/4*0.5</f>
        <v>2.125</v>
      </c>
      <c r="AB15" s="23">
        <f>12+0.1+0.1+0.09+0.09+0.09+0.09+0.09+0.09+0.09+0.09+0.09+0.09+0.09+0.09+0.09+0.08+0.08+0.08+0.08+0.08+0.07+0.07+0.07+0.06+0.06+0.06+0.05+0.05+0.05+0.05+0.05+0.05</f>
        <v>14.460000000000004</v>
      </c>
      <c r="AC15" s="24">
        <f>4.9+0.22+0.22+0.22+0.22+0.22+0.22+0.22+(0.22*76/90)+0.22+0.21+0.21+0.21+0.15+0.15+0.12+0.11+0.1</f>
        <v>8.1057777777777762</v>
      </c>
      <c r="AD15" s="23">
        <f>14+1/4</f>
        <v>14.25</v>
      </c>
      <c r="AE15" s="10">
        <v>1756</v>
      </c>
      <c r="AF15" s="10"/>
      <c r="AG15" s="25">
        <f t="shared" ca="1" si="10"/>
        <v>14.825113285474897</v>
      </c>
      <c r="AH15" s="25">
        <f t="shared" ca="1" si="11"/>
        <v>16.240097928048254</v>
      </c>
      <c r="AI15" s="131">
        <f t="shared" ca="1" si="12"/>
        <v>13.825014084046153</v>
      </c>
      <c r="AJ15" s="131">
        <f t="shared" ca="1" si="13"/>
        <v>15.144544143317399</v>
      </c>
      <c r="AK15" s="9">
        <f t="shared" ca="1" si="14"/>
        <v>3.9927127823501003</v>
      </c>
      <c r="AL15" s="9">
        <f t="shared" ca="1" si="15"/>
        <v>14.698043931405245</v>
      </c>
      <c r="AM15" s="9">
        <f t="shared" ca="1" si="16"/>
        <v>1.0160937367346419</v>
      </c>
      <c r="AN15" s="9">
        <f t="shared" ca="1" si="17"/>
        <v>0.66789174186503397</v>
      </c>
      <c r="AO15" s="22">
        <v>1</v>
      </c>
      <c r="AP15" s="22">
        <v>3</v>
      </c>
      <c r="AQ15" s="22">
        <v>3</v>
      </c>
      <c r="AR15" s="145">
        <f t="shared" si="18"/>
        <v>0.1158</v>
      </c>
      <c r="AS15">
        <v>178430</v>
      </c>
    </row>
    <row r="16" spans="1:45" x14ac:dyDescent="0.25">
      <c r="A16" s="16" t="s">
        <v>36</v>
      </c>
      <c r="B16" s="16" t="s">
        <v>44</v>
      </c>
      <c r="C16" s="132">
        <f t="shared" ca="1" si="3"/>
        <v>3.3482142857142856</v>
      </c>
      <c r="D16" s="31" t="s">
        <v>73</v>
      </c>
      <c r="E16" s="18">
        <v>29</v>
      </c>
      <c r="F16" s="3">
        <f ca="1">62+D2-D1-112-112-112-112-112-112-112</f>
        <v>73</v>
      </c>
      <c r="G16" s="20" t="s">
        <v>74</v>
      </c>
      <c r="H16" s="43">
        <v>6</v>
      </c>
      <c r="I16" s="30">
        <v>8.4</v>
      </c>
      <c r="J16" s="24">
        <f t="shared" si="4"/>
        <v>1.2323723814158423</v>
      </c>
      <c r="K16" s="7">
        <f t="shared" si="37"/>
        <v>302.40000000000003</v>
      </c>
      <c r="L16" s="7">
        <f t="shared" si="38"/>
        <v>411.6</v>
      </c>
      <c r="M16" s="146">
        <v>42297</v>
      </c>
      <c r="N16" s="147">
        <f t="shared" ca="1" si="5"/>
        <v>1</v>
      </c>
      <c r="O16" s="21">
        <v>7.9</v>
      </c>
      <c r="P16" s="22">
        <f t="shared" ref="P16" si="41">O16*10+19</f>
        <v>98</v>
      </c>
      <c r="Q16" s="22">
        <v>5</v>
      </c>
      <c r="R16" s="126">
        <f t="shared" si="7"/>
        <v>0.84515425472851657</v>
      </c>
      <c r="S16" s="126">
        <f t="shared" si="8"/>
        <v>0.92504826128926143</v>
      </c>
      <c r="T16" s="32">
        <v>230040</v>
      </c>
      <c r="U16" s="32">
        <f t="shared" si="9"/>
        <v>-26300</v>
      </c>
      <c r="V16" s="32">
        <v>28090</v>
      </c>
      <c r="W16" s="9">
        <f t="shared" ref="W16:W18" si="42">T16/V16</f>
        <v>8.1893912424350308</v>
      </c>
      <c r="X16" s="23">
        <v>0</v>
      </c>
      <c r="Y16" s="24">
        <f>2+1/5</f>
        <v>2.2000000000000002</v>
      </c>
      <c r="Z16" s="23">
        <f>14+(1/15)+1/15+1/15+1/15+1/15+1/15</f>
        <v>14.399999999999999</v>
      </c>
      <c r="AA16" s="24">
        <f>1+0.33</f>
        <v>1.33</v>
      </c>
      <c r="AB16" s="23">
        <f>11.05+0.11+0.11+0.11+0.11+0.11+0.11+0.11+0.11+0.11+0.11+0.11+0.11+0.1+0.1+0.1+0.1+0.1+0.1+0.1+0.1+0.09+0.09+0.09+0.09+0.08+0.08*82/90+0.08+0.08+0.08+0.07+0.05+0.05+0.05</f>
        <v>14.142888888888882</v>
      </c>
      <c r="AC16" s="24">
        <f>4.25+0.25+0.25+0.25+0.24+0.24+0.23+0.22+0.22+0.21+0.21+0.21+0.21+0.21+0.21+0.2+0.2+0.2+0.18+0.18+0.17+0.17+0.17+0.13+0.12+0.11+0.1</f>
        <v>9.3399999999999981</v>
      </c>
      <c r="AD16" s="23">
        <f>15+0.2+0.2</f>
        <v>15.399999999999999</v>
      </c>
      <c r="AE16" s="10">
        <v>1829</v>
      </c>
      <c r="AF16" s="10"/>
      <c r="AG16" s="25">
        <f t="shared" ca="1" si="10"/>
        <v>15.747228793839701</v>
      </c>
      <c r="AH16" s="25">
        <f t="shared" ca="1" si="11"/>
        <v>17.250224857161747</v>
      </c>
      <c r="AI16" s="131">
        <f t="shared" ca="1" si="12"/>
        <v>14.056920284382668</v>
      </c>
      <c r="AJ16" s="131">
        <f t="shared" ca="1" si="13"/>
        <v>15.398584657616643</v>
      </c>
      <c r="AK16" s="9">
        <f t="shared" ca="1" si="14"/>
        <v>3.9281602308091292</v>
      </c>
      <c r="AL16" s="9">
        <f t="shared" ca="1" si="15"/>
        <v>15.81437238141584</v>
      </c>
      <c r="AM16" s="9">
        <f t="shared" ca="1" si="16"/>
        <v>1.1075897905132672</v>
      </c>
      <c r="AN16" s="9">
        <f t="shared" ca="1" si="17"/>
        <v>0.70626606669910896</v>
      </c>
      <c r="AO16" s="22">
        <v>1</v>
      </c>
      <c r="AP16" s="22">
        <v>2</v>
      </c>
      <c r="AQ16" s="22">
        <v>1</v>
      </c>
      <c r="AR16" s="145">
        <f t="shared" si="18"/>
        <v>6.1499999999999999E-2</v>
      </c>
      <c r="AS16">
        <v>256340</v>
      </c>
    </row>
    <row r="17" spans="1:45" x14ac:dyDescent="0.25">
      <c r="A17" s="16" t="s">
        <v>40</v>
      </c>
      <c r="B17" s="26" t="s">
        <v>44</v>
      </c>
      <c r="C17" s="132">
        <f t="shared" ca="1" si="3"/>
        <v>2.8928571428571428</v>
      </c>
      <c r="D17" s="1" t="s">
        <v>72</v>
      </c>
      <c r="E17" s="2">
        <v>30</v>
      </c>
      <c r="F17" s="3">
        <f ca="1">1+D2-D1-112-112-112-112-112-112-112</f>
        <v>12</v>
      </c>
      <c r="G17" s="20" t="s">
        <v>45</v>
      </c>
      <c r="H17" s="5">
        <v>1</v>
      </c>
      <c r="I17" s="6">
        <v>9.8000000000000007</v>
      </c>
      <c r="J17" s="24">
        <f t="shared" si="4"/>
        <v>1.3216347675899931</v>
      </c>
      <c r="K17" s="7">
        <f t="shared" si="37"/>
        <v>9.8000000000000007</v>
      </c>
      <c r="L17" s="7">
        <f t="shared" si="38"/>
        <v>39.200000000000003</v>
      </c>
      <c r="M17" s="146">
        <v>42278</v>
      </c>
      <c r="N17" s="147">
        <f t="shared" ca="1" si="5"/>
        <v>1</v>
      </c>
      <c r="O17" s="27">
        <v>7.2</v>
      </c>
      <c r="P17" s="22">
        <f t="shared" ref="P17:P18" si="43">O17*10+19</f>
        <v>91</v>
      </c>
      <c r="Q17" s="28">
        <v>6</v>
      </c>
      <c r="R17" s="126">
        <f t="shared" si="7"/>
        <v>0.92582009977255142</v>
      </c>
      <c r="S17" s="126">
        <f t="shared" si="8"/>
        <v>0.99928545900129484</v>
      </c>
      <c r="T17" s="32">
        <v>205000</v>
      </c>
      <c r="U17" s="32">
        <f t="shared" si="9"/>
        <v>-2820</v>
      </c>
      <c r="V17" s="8">
        <v>30996</v>
      </c>
      <c r="W17" s="9">
        <f t="shared" si="42"/>
        <v>6.6137566137566139</v>
      </c>
      <c r="X17" s="23">
        <v>0</v>
      </c>
      <c r="Y17" s="24">
        <f>3+1/5</f>
        <v>3.2</v>
      </c>
      <c r="Z17" s="23">
        <f>14+(1/15)+1/15+1/15+1/15+1/15+1/15</f>
        <v>14.399999999999999</v>
      </c>
      <c r="AA17" s="24">
        <f>2+0.3</f>
        <v>2.2999999999999998</v>
      </c>
      <c r="AB17" s="23">
        <f>11.3+0.11+0.11+0.11+0.11+(0.11*54/90)+0.11+0.11+0.1+0.1+0.1+0.1+0.1+0.09+0.09+0.09+0.08+0.08+0.08+0.08+0.08+0.08+0.08+0.08+0.08+0.08+0.08+0.08+0.08+0.08+0.08+0.06+0.06+0.05+0.05+0.05</f>
        <v>14.266</v>
      </c>
      <c r="AC17" s="24">
        <f>4.1+0.25+0.25+0.25+0.25+0.24+0.24+0.24+0.23+0.23+(0.05*36/90)+0.22+0.2+0.2+0.2+0.18+0.18+0.18+0.18+0.18+0.18+0.18+0.14+0.12+0.12+0.12+0.12+0.1</f>
        <v>9.0999999999999961</v>
      </c>
      <c r="AD17" s="23">
        <f>15.7+0.2</f>
        <v>15.899999999999999</v>
      </c>
      <c r="AE17" s="10">
        <v>1855</v>
      </c>
      <c r="AF17" s="10"/>
      <c r="AG17" s="25">
        <f t="shared" ca="1" si="10"/>
        <v>17.795775818321712</v>
      </c>
      <c r="AH17" s="25">
        <f t="shared" ca="1" si="11"/>
        <v>19.221634767589993</v>
      </c>
      <c r="AI17" s="131">
        <f t="shared" ca="1" si="12"/>
        <v>15.481225568890332</v>
      </c>
      <c r="AJ17" s="131">
        <f t="shared" ca="1" si="13"/>
        <v>16.721634767589993</v>
      </c>
      <c r="AK17" s="9">
        <f t="shared" ca="1" si="14"/>
        <v>4.4782964753099224</v>
      </c>
      <c r="AL17" s="9">
        <f t="shared" ca="1" si="15"/>
        <v>16.181634767589991</v>
      </c>
      <c r="AM17" s="9">
        <f t="shared" ca="1" si="16"/>
        <v>1.1177307814071991</v>
      </c>
      <c r="AN17" s="9">
        <f t="shared" ca="1" si="17"/>
        <v>0.76751443373129946</v>
      </c>
      <c r="AO17" s="22">
        <v>2</v>
      </c>
      <c r="AP17" s="22">
        <v>2</v>
      </c>
      <c r="AQ17" s="22">
        <v>2</v>
      </c>
      <c r="AR17" s="145">
        <f t="shared" si="18"/>
        <v>6.1499999999999999E-2</v>
      </c>
      <c r="AS17">
        <v>207820</v>
      </c>
    </row>
    <row r="18" spans="1:45" x14ac:dyDescent="0.25">
      <c r="A18" s="16" t="s">
        <v>42</v>
      </c>
      <c r="B18" s="16" t="s">
        <v>44</v>
      </c>
      <c r="C18" s="132">
        <f t="shared" ca="1" si="3"/>
        <v>3.3839285714285716</v>
      </c>
      <c r="D18" s="1" t="s">
        <v>50</v>
      </c>
      <c r="E18" s="2">
        <v>29</v>
      </c>
      <c r="F18" s="3">
        <f ca="1">58++D2-D1-112-112-112-112-112-112-112</f>
        <v>69</v>
      </c>
      <c r="G18" s="4" t="s">
        <v>45</v>
      </c>
      <c r="H18" s="5">
        <v>1</v>
      </c>
      <c r="I18" s="6">
        <v>9.5</v>
      </c>
      <c r="J18" s="24">
        <f t="shared" si="4"/>
        <v>1.3036314737184636</v>
      </c>
      <c r="K18" s="7">
        <f t="shared" si="37"/>
        <v>9.5</v>
      </c>
      <c r="L18" s="7">
        <f t="shared" si="38"/>
        <v>38</v>
      </c>
      <c r="M18" s="146">
        <v>42267</v>
      </c>
      <c r="N18" s="147">
        <f t="shared" ca="1" si="5"/>
        <v>1</v>
      </c>
      <c r="O18" s="27">
        <v>7.9</v>
      </c>
      <c r="P18" s="22">
        <f t="shared" si="43"/>
        <v>98</v>
      </c>
      <c r="Q18" s="28">
        <v>6</v>
      </c>
      <c r="R18" s="126">
        <f t="shared" si="7"/>
        <v>0.92582009977255142</v>
      </c>
      <c r="S18" s="126">
        <f t="shared" si="8"/>
        <v>0.99928545900129484</v>
      </c>
      <c r="T18" s="32">
        <v>254670</v>
      </c>
      <c r="U18" s="32">
        <f t="shared" si="9"/>
        <v>4050</v>
      </c>
      <c r="V18" s="8">
        <v>31320</v>
      </c>
      <c r="W18" s="9">
        <f t="shared" si="42"/>
        <v>8.1312260536398462</v>
      </c>
      <c r="X18" s="23">
        <v>0</v>
      </c>
      <c r="Y18" s="24">
        <f>2+1/26</f>
        <v>2.0384615384615383</v>
      </c>
      <c r="Z18" s="23">
        <f>13+(1/13)+1/13+1/13+1/13+1/13+1/13+1/13*0.5</f>
        <v>13.499999999999998</v>
      </c>
      <c r="AA18" s="24">
        <f>4+1/5*0.5</f>
        <v>4.0999999999999996</v>
      </c>
      <c r="AB18" s="23">
        <f>11.45+0.11+0.11+0.11+0.11+0.11+0.11+0.11+0.1+0.1+0.1+0.1+0.1+0.1+0.1+0.1+0.08+0.08+0.08+0.08+0.07+0.07+0.07+0.07*80/90+0.07+0.07+0.07+0.07+0.07+0.06+0.06+0.06+0.06+0.05+0.05+0.05</f>
        <v>14.352222222222222</v>
      </c>
      <c r="AC18" s="24">
        <f>5.21+(72/90)*0.24+0.23+0.23+0.23+0.23+0.23+0.23+0.22+0.22+0.2+0.2+0.19+0.19+0.18+0.18+0.18+0.17+0.17+0.16+0.14+0.14+0.14+0.11+0.11+0.11+0.11+0.11+1/12</f>
        <v>10.095333333333334</v>
      </c>
      <c r="AD18" s="23">
        <f>14+0.25+0.25+0.25+0.25</f>
        <v>15</v>
      </c>
      <c r="AE18" s="10">
        <v>1804</v>
      </c>
      <c r="AF18" s="10"/>
      <c r="AG18" s="25">
        <f t="shared" ca="1" si="10"/>
        <v>16.945869917198042</v>
      </c>
      <c r="AH18" s="25">
        <f t="shared" ca="1" si="11"/>
        <v>18.303631473718465</v>
      </c>
      <c r="AI18" s="131">
        <f t="shared" ca="1" si="12"/>
        <v>14.631319667766659</v>
      </c>
      <c r="AJ18" s="131">
        <f t="shared" ca="1" si="13"/>
        <v>15.803631473718461</v>
      </c>
      <c r="AK18" s="9">
        <f t="shared" ca="1" si="14"/>
        <v>4.3575806558629795</v>
      </c>
      <c r="AL18" s="9">
        <f t="shared" ca="1" si="15"/>
        <v>15.832231473718464</v>
      </c>
      <c r="AM18" s="9">
        <f t="shared" ca="1" si="16"/>
        <v>1.139057184564144</v>
      </c>
      <c r="AN18" s="9">
        <f t="shared" ca="1" si="17"/>
        <v>0.692792664698754</v>
      </c>
      <c r="AO18" s="22">
        <v>1</v>
      </c>
      <c r="AP18" s="22">
        <v>1</v>
      </c>
      <c r="AQ18" s="22">
        <v>2</v>
      </c>
      <c r="AR18" s="145">
        <f t="shared" si="18"/>
        <v>4.9399999999999999E-2</v>
      </c>
      <c r="AS18">
        <v>250620</v>
      </c>
    </row>
    <row r="19" spans="1:45" x14ac:dyDescent="0.25">
      <c r="A19" s="16" t="s">
        <v>399</v>
      </c>
      <c r="B19" s="16" t="s">
        <v>75</v>
      </c>
      <c r="C19" s="132">
        <f ca="1">((33*112)-(E19*112)-(F19))/112</f>
        <v>15.794642857142858</v>
      </c>
      <c r="D19" s="31" t="s">
        <v>400</v>
      </c>
      <c r="E19" s="18">
        <v>17</v>
      </c>
      <c r="F19" s="19">
        <f ca="1">8-159+16-570-5+D2-D1-62</f>
        <v>23</v>
      </c>
      <c r="G19" s="20" t="s">
        <v>45</v>
      </c>
      <c r="H19" s="5">
        <v>1</v>
      </c>
      <c r="I19" s="30">
        <v>1</v>
      </c>
      <c r="J19" s="24">
        <f>LOG(I19)*4/3</f>
        <v>0</v>
      </c>
      <c r="K19" s="7">
        <f>(H19)*(H19)*(I19)</f>
        <v>1</v>
      </c>
      <c r="L19" s="7">
        <f>(H19+1)*(H19+1)*I19</f>
        <v>4</v>
      </c>
      <c r="M19" s="146">
        <v>43046</v>
      </c>
      <c r="N19" s="147">
        <v>1.5</v>
      </c>
      <c r="O19" s="21">
        <v>5.3</v>
      </c>
      <c r="P19" s="22">
        <f>O19*10+19</f>
        <v>72</v>
      </c>
      <c r="Q19" s="22">
        <v>5</v>
      </c>
      <c r="R19" s="126">
        <f>(Q19/7)^0.5</f>
        <v>0.84515425472851657</v>
      </c>
      <c r="S19" s="126">
        <f>IF(Q19=7,1,((Q19+0.99)/7)^0.5)</f>
        <v>0.92504826128926143</v>
      </c>
      <c r="T19" s="32">
        <v>1820</v>
      </c>
      <c r="U19" s="32">
        <f t="shared" ref="U19" si="44">T19-AS19</f>
        <v>100</v>
      </c>
      <c r="V19" s="32">
        <v>350</v>
      </c>
      <c r="W19" s="9">
        <f>T19/V19</f>
        <v>5.2</v>
      </c>
      <c r="X19" s="23">
        <v>0</v>
      </c>
      <c r="Y19" s="24">
        <v>2</v>
      </c>
      <c r="Z19" s="23">
        <v>5.7</v>
      </c>
      <c r="AA19" s="24">
        <v>5.5</v>
      </c>
      <c r="AB19" s="23">
        <f>4.75+0.25+0.25</f>
        <v>5.25</v>
      </c>
      <c r="AC19" s="24">
        <v>3</v>
      </c>
      <c r="AD19" s="23">
        <v>3</v>
      </c>
      <c r="AE19" s="10">
        <v>408</v>
      </c>
      <c r="AF19" s="10">
        <v>2017</v>
      </c>
      <c r="AG19" s="25">
        <f t="shared" ref="AG19" si="45">(AD19+1+(LOG(I19)*4/3)+N19)*(Q19/7)^0.5</f>
        <v>4.6483484010068414</v>
      </c>
      <c r="AH19" s="25">
        <f t="shared" ref="AH19" si="46">(AD19+1+N19+(LOG(I19)*4/3))*(IF(Q19=7, (Q19/7)^0.5, ((Q19+1)/7)^0.5))</f>
        <v>5.092010548749033</v>
      </c>
      <c r="AI19" s="131">
        <f t="shared" ref="AI19" si="47">(Z19+N19+(LOG(I19)*4/3))*(Q19/7)^0.5</f>
        <v>6.0851106340453196</v>
      </c>
      <c r="AJ19" s="131">
        <f t="shared" ref="AJ19" si="48">(Z19+N19+(LOG(I19)*4/3))*(IF(Q19=7, (Q19/7)^0.5, ((Q19+1)/7)^0.5))</f>
        <v>6.6659047183623708</v>
      </c>
      <c r="AK19" s="9">
        <f t="shared" ref="AK19" si="49">(((Y19+LOG(I19)*4/3+N19)+(AB19+LOG(I19)*4/3+N19)*2)/8)*(Q19/7)^0.5</f>
        <v>1.7959527912980977</v>
      </c>
      <c r="AL19" s="9">
        <f t="shared" ref="AL19" si="50">(AD19+LOG(I19)*4/3+N19)*0.7+(AC19+LOG(I19)*4/3+N19)*0.3</f>
        <v>4.5</v>
      </c>
      <c r="AM19" s="9">
        <f t="shared" ref="AM19" si="51">(0.5*(AC19+LOG(I19)*4/3+N19)+ 0.3*(AD19+LOG(I19)*4/3+N19))/10</f>
        <v>0.36</v>
      </c>
      <c r="AN19" s="9">
        <f t="shared" ref="AN19" si="52">(0.4*(Y19+LOG(I19)*4/3+N19)+0.3*(AD19+LOG(I19)*4/3+N19))/10</f>
        <v>0.27500000000000002</v>
      </c>
      <c r="AO19" s="22">
        <v>4</v>
      </c>
      <c r="AP19" s="22">
        <v>3</v>
      </c>
      <c r="AQ19" s="22">
        <v>2</v>
      </c>
      <c r="AR19" s="145">
        <f t="shared" si="18"/>
        <v>0.1158</v>
      </c>
      <c r="AS19">
        <v>1720</v>
      </c>
    </row>
    <row r="20" spans="1:45" x14ac:dyDescent="0.25">
      <c r="A20" s="16" t="s">
        <v>418</v>
      </c>
      <c r="B20" s="16" t="s">
        <v>75</v>
      </c>
      <c r="C20" s="132">
        <f ca="1">((33*112)-(E20*112)-(F20))/112</f>
        <v>15.758928571428571</v>
      </c>
      <c r="D20" s="31" t="s">
        <v>419</v>
      </c>
      <c r="E20" s="18">
        <v>17</v>
      </c>
      <c r="F20" s="3">
        <f ca="1">8-159+16-570-5+D2-D1-2-31-25</f>
        <v>27</v>
      </c>
      <c r="G20" s="20" t="s">
        <v>402</v>
      </c>
      <c r="H20" s="43">
        <v>6</v>
      </c>
      <c r="I20" s="30">
        <v>1</v>
      </c>
      <c r="J20" s="24">
        <f>LOG(I20)*4/3</f>
        <v>0</v>
      </c>
      <c r="K20" s="7">
        <f>(H20)*(H20)*(I20)</f>
        <v>36</v>
      </c>
      <c r="L20" s="7">
        <f>(H20+1)*(H20+1)*I20</f>
        <v>49</v>
      </c>
      <c r="M20" s="146">
        <v>43051</v>
      </c>
      <c r="N20" s="147">
        <f ca="1">IF((TODAY()-M20)&gt;335,1,((TODAY()-M20)^0.64)/(336^0.64))</f>
        <v>0.11852742785325386</v>
      </c>
      <c r="O20" s="21">
        <v>5</v>
      </c>
      <c r="P20" s="22">
        <f>O20*10+19</f>
        <v>69</v>
      </c>
      <c r="Q20" s="28">
        <v>5</v>
      </c>
      <c r="R20" s="126">
        <f>(Q20/7)^0.5</f>
        <v>0.84515425472851657</v>
      </c>
      <c r="S20" s="126">
        <f>IF(Q20=7,1,((Q20+0.99)/7)^0.5)</f>
        <v>0.92504826128926143</v>
      </c>
      <c r="T20" s="32">
        <v>1440</v>
      </c>
      <c r="U20" s="32">
        <f>T20-AS20</f>
        <v>140</v>
      </c>
      <c r="V20" s="32">
        <v>330</v>
      </c>
      <c r="W20" s="9">
        <f>T20/V20</f>
        <v>4.3636363636363633</v>
      </c>
      <c r="X20" s="23">
        <v>0</v>
      </c>
      <c r="Y20" s="24">
        <v>6</v>
      </c>
      <c r="Z20" s="23">
        <v>3</v>
      </c>
      <c r="AA20" s="24">
        <v>3</v>
      </c>
      <c r="AB20" s="23">
        <f>5+0.2</f>
        <v>5.2</v>
      </c>
      <c r="AC20" s="24">
        <v>2</v>
      </c>
      <c r="AD20" s="23">
        <v>1</v>
      </c>
      <c r="AE20" s="10">
        <v>417</v>
      </c>
      <c r="AF20" s="10">
        <v>2020</v>
      </c>
      <c r="AG20" s="25">
        <f t="shared" ref="AG20:AG21" ca="1" si="53">(AD20+1+(LOG(I20)*4/3)+N20)*(Q20/7)^0.5</f>
        <v>1.7904824694092381</v>
      </c>
      <c r="AH20" s="25">
        <f t="shared" ref="AH20:AH21" ca="1" si="54">(AD20+1+N20+(LOG(I20)*4/3))*(IF(Q20=7, (Q20/7)^0.5, ((Q20+1)/7)^0.5))</f>
        <v>1.9613752746259863</v>
      </c>
      <c r="AI20" s="131">
        <f t="shared" ref="AI20" ca="1" si="55">(Z20+N20+(LOG(I20)*4/3))*(Q20/7)^0.5</f>
        <v>2.6356367241377545</v>
      </c>
      <c r="AJ20" s="131">
        <f t="shared" ref="AJ20" ca="1" si="56">(Z20+N20+(LOG(I20)*4/3))*(IF(Q20=7, (Q20/7)^0.5, ((Q20+1)/7)^0.5))</f>
        <v>2.8871953743985377</v>
      </c>
      <c r="AK20" s="9">
        <f t="shared" ref="AK20" ca="1" si="57">(((Y20+LOG(I20)*4/3+N20)+(AB20+LOG(I20)*4/3+N20)*2)/8)*(Q20/7)^0.5</f>
        <v>1.7701314571755358</v>
      </c>
      <c r="AL20" s="9">
        <f t="shared" ref="AL20:AL21" ca="1" si="58">(AD20+LOG(I20)*4/3+N20)*0.7+(AC20+LOG(I20)*4/3+N20)*0.3</f>
        <v>1.4185274278532538</v>
      </c>
      <c r="AM20" s="9">
        <f t="shared" ref="AM20:AM21" ca="1" si="59">(0.5*(AC20+LOG(I20)*4/3+N20)+ 0.3*(AD20+LOG(I20)*4/3+N20))/10</f>
        <v>0.1394821942282603</v>
      </c>
      <c r="AN20" s="9">
        <f t="shared" ref="AN20:AN21" ca="1" si="60">(0.4*(Y20+LOG(I20)*4/3+N20)+0.3*(AD20+LOG(I20)*4/3+N20))/10</f>
        <v>0.27829691994972777</v>
      </c>
      <c r="AO20" s="22">
        <v>2</v>
      </c>
      <c r="AP20" s="22">
        <v>2</v>
      </c>
      <c r="AQ20" s="22">
        <v>1</v>
      </c>
      <c r="AR20" s="145">
        <f>IF(AP20=4,IF(AQ20=0,0.137+0.0697,0.137+0.02),IF(AP20=3,IF(AQ20=0,0.0958+0.0697,0.0958+0.02),IF(AP20=2,IF(AQ20=0,0.0415+0.0697,0.0415+0.02),IF(AP20=1,IF(AQ20=0,0.0294+0.0697,0.0294+0.02),IF(AP20=0,IF(AQ20=0,0.0063+0.0697,0.0063+0.02))))))</f>
        <v>6.1499999999999999E-2</v>
      </c>
      <c r="AS20">
        <v>1300</v>
      </c>
    </row>
    <row r="21" spans="1:45" x14ac:dyDescent="0.25">
      <c r="A21" s="16" t="s">
        <v>426</v>
      </c>
      <c r="B21" s="16" t="s">
        <v>75</v>
      </c>
      <c r="C21" s="132">
        <f ca="1">((33*112)-(E21*112)-(F21))/112</f>
        <v>15.794642857142858</v>
      </c>
      <c r="D21" s="31" t="s">
        <v>427</v>
      </c>
      <c r="E21" s="18">
        <v>17</v>
      </c>
      <c r="F21" s="3">
        <f ca="1">8-159+16-570-5+D2-D1-2-31-25-4</f>
        <v>23</v>
      </c>
      <c r="G21" s="20" t="s">
        <v>402</v>
      </c>
      <c r="H21" s="43">
        <v>6</v>
      </c>
      <c r="I21" s="30">
        <v>0.5</v>
      </c>
      <c r="J21" s="24">
        <f>LOG(I21)*4/3</f>
        <v>-0.40137332755197491</v>
      </c>
      <c r="K21" s="7">
        <f>(H21)*(H21)*(I21)</f>
        <v>18</v>
      </c>
      <c r="L21" s="7">
        <f>(H21+1)*(H21+1)*I21</f>
        <v>24.5</v>
      </c>
      <c r="M21" s="146">
        <v>43054</v>
      </c>
      <c r="N21" s="147">
        <f ca="1">IF((TODAY()-M21)&gt;335,1,((TODAY()-M21)^0.64)/(336^0.64))</f>
        <v>9.8595721295777455E-2</v>
      </c>
      <c r="O21" s="21">
        <v>4.5</v>
      </c>
      <c r="P21" s="22">
        <f>O21*10+19</f>
        <v>64</v>
      </c>
      <c r="Q21" s="28">
        <v>4</v>
      </c>
      <c r="R21" s="126">
        <f>(Q21/7)^0.5</f>
        <v>0.7559289460184544</v>
      </c>
      <c r="S21" s="126">
        <f>IF(Q21=7,1,((Q21+0.99)/7)^0.5)</f>
        <v>0.84430867747355465</v>
      </c>
      <c r="T21" s="32">
        <v>710</v>
      </c>
      <c r="U21" s="32">
        <f>T21-AS21</f>
        <v>-70</v>
      </c>
      <c r="V21" s="32">
        <v>290</v>
      </c>
      <c r="W21" s="9">
        <f>T21/V21</f>
        <v>2.4482758620689653</v>
      </c>
      <c r="X21" s="23">
        <v>0</v>
      </c>
      <c r="Y21" s="24">
        <v>3</v>
      </c>
      <c r="Z21" s="23">
        <v>5</v>
      </c>
      <c r="AA21" s="24">
        <v>4</v>
      </c>
      <c r="AB21" s="23">
        <v>4</v>
      </c>
      <c r="AC21" s="24">
        <v>3</v>
      </c>
      <c r="AD21" s="23">
        <v>1</v>
      </c>
      <c r="AE21" s="10">
        <v>377</v>
      </c>
      <c r="AF21" s="10">
        <v>1986</v>
      </c>
      <c r="AG21" s="25">
        <f t="shared" ca="1" si="53"/>
        <v>1.2829795352616711</v>
      </c>
      <c r="AH21" s="25">
        <f t="shared" ca="1" si="54"/>
        <v>1.4344147272930923</v>
      </c>
      <c r="AI21" s="131">
        <f t="shared" ref="AI21" ca="1" si="61">(Z21+N21+(LOG(I21)*4/3))*(Q21/7)^0.5</f>
        <v>3.5507663733170336</v>
      </c>
      <c r="AJ21" s="131">
        <f t="shared" ref="AJ21" ca="1" si="62">(Z21+N21+(LOG(I21)*4/3))*(IF(Q21=7, (Q21/7)^0.5, ((Q21+1)/7)^0.5))</f>
        <v>3.9698774914786417</v>
      </c>
      <c r="AK21" s="9">
        <f t="shared" ref="AK21" ca="1" si="63">(((Y21+LOG(I21)*4/3+N21)+(AB21+LOG(I21)*4/3+N21)*2)/8)*(Q21/7)^0.5</f>
        <v>0.95357291698466062</v>
      </c>
      <c r="AL21" s="9">
        <f t="shared" ca="1" si="58"/>
        <v>1.2972223937438025</v>
      </c>
      <c r="AM21" s="9">
        <f t="shared" ca="1" si="59"/>
        <v>0.15577779149950419</v>
      </c>
      <c r="AN21" s="9">
        <f t="shared" ca="1" si="60"/>
        <v>0.12880556756206618</v>
      </c>
      <c r="AO21" s="22">
        <v>2</v>
      </c>
      <c r="AP21" s="22">
        <v>2</v>
      </c>
      <c r="AQ21" s="22">
        <v>1</v>
      </c>
      <c r="AR21" s="145">
        <f>IF(AP21=4,IF(AQ21=0,0.137+0.0697,0.137+0.02),IF(AP21=3,IF(AQ21=0,0.0958+0.0697,0.0958+0.02),IF(AP21=2,IF(AQ21=0,0.0415+0.0697,0.0415+0.02),IF(AP21=1,IF(AQ21=0,0.0294+0.0697,0.0294+0.02),IF(AP21=0,IF(AQ21=0,0.0063+0.0697,0.0063+0.02))))))</f>
        <v>6.1499999999999999E-2</v>
      </c>
      <c r="AS21" s="241">
        <v>780</v>
      </c>
    </row>
    <row r="22" spans="1:45" x14ac:dyDescent="0.25">
      <c r="A22" s="16" t="s">
        <v>404</v>
      </c>
      <c r="B22" s="16" t="s">
        <v>99</v>
      </c>
      <c r="C22" s="132">
        <f ca="1">((33*112)-(E22*112)-(F22))/112</f>
        <v>15.428571428571429</v>
      </c>
      <c r="D22" s="31" t="s">
        <v>401</v>
      </c>
      <c r="E22" s="18">
        <v>17</v>
      </c>
      <c r="F22" s="19">
        <f ca="1">8-159+16-570-5+D2-D1-2-19</f>
        <v>64</v>
      </c>
      <c r="G22" s="20" t="s">
        <v>402</v>
      </c>
      <c r="H22" s="5">
        <v>3</v>
      </c>
      <c r="I22" s="30">
        <v>0.5</v>
      </c>
      <c r="J22" s="24">
        <f>LOG(I22)*4/3</f>
        <v>-0.40137332755197491</v>
      </c>
      <c r="K22" s="7">
        <f>(H22)*(H22)*(I22)</f>
        <v>4.5</v>
      </c>
      <c r="L22" s="7">
        <f>(H22+1)*(H22+1)*I22</f>
        <v>8</v>
      </c>
      <c r="M22" s="146">
        <v>43045</v>
      </c>
      <c r="N22" s="147">
        <f ca="1">IF((TODAY()-M22)&gt;335,1,((TODAY()-M22)^0.64)/(336^0.64))</f>
        <v>0.15364458747949647</v>
      </c>
      <c r="O22" s="21">
        <v>5.3</v>
      </c>
      <c r="P22" s="22">
        <f>O22*10+19</f>
        <v>72</v>
      </c>
      <c r="Q22" s="22">
        <v>5</v>
      </c>
      <c r="R22" s="126">
        <f>(Q22/7)^0.5</f>
        <v>0.84515425472851657</v>
      </c>
      <c r="S22" s="126">
        <f>IF(Q22=7,1,((Q22+0.99)/7)^0.5)</f>
        <v>0.92504826128926143</v>
      </c>
      <c r="T22" s="32">
        <v>1110</v>
      </c>
      <c r="U22" s="32">
        <f>T22-AS22</f>
        <v>160</v>
      </c>
      <c r="V22" s="32">
        <v>370</v>
      </c>
      <c r="W22" s="9">
        <f>T22/V22</f>
        <v>3</v>
      </c>
      <c r="X22" s="23">
        <v>0</v>
      </c>
      <c r="Y22" s="24">
        <v>3</v>
      </c>
      <c r="Z22" s="23">
        <v>6</v>
      </c>
      <c r="AA22" s="24">
        <v>3</v>
      </c>
      <c r="AB22" s="23">
        <f>3+0.25+0.25</f>
        <v>3.5</v>
      </c>
      <c r="AC22" s="24">
        <v>4</v>
      </c>
      <c r="AD22" s="23">
        <v>1</v>
      </c>
      <c r="AE22" s="10">
        <v>399</v>
      </c>
      <c r="AF22" s="10">
        <v>1949</v>
      </c>
      <c r="AG22" s="25">
        <f ca="1">(AD22+1+(LOG(I22)*4/3)+N22)*(Q22/7)^0.5</f>
        <v>1.4809395107662433</v>
      </c>
      <c r="AH22" s="25">
        <f ca="1">(AD22+1+N22+(LOG(I22)*4/3))*(IF(Q22=7, (Q22/7)^0.5, ((Q22+1)/7)^0.5))</f>
        <v>1.6222879526946725</v>
      </c>
      <c r="AI22" s="131">
        <f ca="1">(Z22+N22+(LOG(I22)*4/3))*(Q22/7)^0.5</f>
        <v>4.8615565296803087</v>
      </c>
      <c r="AJ22" s="131">
        <f ca="1">(Z22+N22+(LOG(I22)*4/3))*(IF(Q22=7, (Q22/7)^0.5, ((Q22+1)/7)^0.5))</f>
        <v>5.3255683517848773</v>
      </c>
      <c r="AK22" s="9">
        <f ca="1">(((Y22+LOG(I22)*4/3+N22)+(AB22+LOG(I22)*4/3+N22)*2)/8)*(Q22/7)^0.5</f>
        <v>0.97792944390159953</v>
      </c>
      <c r="AL22" s="9">
        <f ca="1">(AD22+LOG(I22)*4/3+N22)*0.7+(AC22+LOG(I22)*4/3+N22)*0.3</f>
        <v>1.6522712599275216</v>
      </c>
      <c r="AM22" s="9">
        <f ca="1">(0.5*(AC22+LOG(I22)*4/3+N22)+ 0.3*(AD22+LOG(I22)*4/3+N22))/10</f>
        <v>0.21018170079420173</v>
      </c>
      <c r="AN22" s="9">
        <f ca="1">(0.4*(Y22+LOG(I22)*4/3+N22)+0.3*(AD22+LOG(I22)*4/3+N22))/10</f>
        <v>0.13265898819492652</v>
      </c>
      <c r="AO22" s="22">
        <v>2</v>
      </c>
      <c r="AP22" s="22">
        <v>3</v>
      </c>
      <c r="AQ22" s="22">
        <v>2</v>
      </c>
      <c r="AR22" s="145">
        <f>IF(AP22=4,IF(AQ22=0,0.137+0.0697,0.137+0.02),IF(AP22=3,IF(AQ22=0,0.0958+0.0697,0.0958+0.02),IF(AP22=2,IF(AQ22=0,0.0415+0.0697,0.0415+0.02),IF(AP22=1,IF(AQ22=0,0.0294+0.0697,0.0294+0.02),IF(AP22=0,IF(AQ22=0,0.0063+0.0697,0.0063+0.02))))))</f>
        <v>0.1158</v>
      </c>
      <c r="AS22">
        <v>950</v>
      </c>
    </row>
    <row r="23" spans="1:45" x14ac:dyDescent="0.25">
      <c r="A23" s="16" t="s">
        <v>405</v>
      </c>
      <c r="B23" s="26" t="s">
        <v>44</v>
      </c>
      <c r="C23" s="132">
        <f ca="1">((33*112)-(E23*112)-(F23))/112</f>
        <v>15.8125</v>
      </c>
      <c r="D23" s="1" t="s">
        <v>406</v>
      </c>
      <c r="E23" s="2">
        <v>17</v>
      </c>
      <c r="F23" s="3">
        <f ca="1">8-159+16-570-5+D2-D1-2-62</f>
        <v>21</v>
      </c>
      <c r="G23" s="4" t="s">
        <v>0</v>
      </c>
      <c r="H23" s="5">
        <v>4</v>
      </c>
      <c r="I23" s="6">
        <v>1</v>
      </c>
      <c r="J23" s="24">
        <f>LOG(I23)*4/3</f>
        <v>0</v>
      </c>
      <c r="K23" s="7">
        <f>(H23)*(H23)*(I23)</f>
        <v>16</v>
      </c>
      <c r="L23" s="7">
        <f>(H23+1)*(H23+1)*I23</f>
        <v>25</v>
      </c>
      <c r="M23" s="146">
        <v>43045</v>
      </c>
      <c r="N23" s="147">
        <f ca="1">IF((TODAY()-M23)&gt;335,1,((TODAY()-M23)^0.64)/(336^0.64))</f>
        <v>0.15364458747949647</v>
      </c>
      <c r="O23" s="27">
        <v>5.3</v>
      </c>
      <c r="P23" s="22">
        <f>O23*10+19</f>
        <v>72</v>
      </c>
      <c r="Q23" s="28">
        <v>5</v>
      </c>
      <c r="R23" s="126">
        <f>(Q23/7)^0.5</f>
        <v>0.84515425472851657</v>
      </c>
      <c r="S23" s="126">
        <f>IF(Q23=7,1,((Q23+0.99)/7)^0.5)</f>
        <v>0.92504826128926143</v>
      </c>
      <c r="T23" s="32">
        <v>820</v>
      </c>
      <c r="U23" s="32">
        <f>T23-AS23</f>
        <v>10</v>
      </c>
      <c r="V23" s="8">
        <v>310</v>
      </c>
      <c r="W23" s="9">
        <f>T23/V23</f>
        <v>2.6451612903225805</v>
      </c>
      <c r="X23" s="23">
        <v>1</v>
      </c>
      <c r="Y23" s="24">
        <v>4</v>
      </c>
      <c r="Z23" s="23">
        <v>2</v>
      </c>
      <c r="AA23" s="24">
        <v>3</v>
      </c>
      <c r="AB23" s="23">
        <f>3.75+0.25+0.25</f>
        <v>4.25</v>
      </c>
      <c r="AC23" s="24">
        <v>5</v>
      </c>
      <c r="AD23" s="23">
        <v>4</v>
      </c>
      <c r="AE23" s="10">
        <v>394</v>
      </c>
      <c r="AF23" s="10">
        <v>2005</v>
      </c>
      <c r="AG23" s="25">
        <f ca="1">(AD23+1+(LOG(I23)*4/3)+N23)*(Q23/7)^0.5</f>
        <v>4.3556246504668863</v>
      </c>
      <c r="AH23" s="25">
        <f ca="1">(AD23+1+N23+(LOG(I23)*4/3))*(IF(Q23=7, (Q23/7)^0.5, ((Q23+1)/7)^0.5))</f>
        <v>4.7713477461725367</v>
      </c>
      <c r="AI23" s="131">
        <f ca="1">(Z23+N23+(LOG(I23)*4/3))*(Q23/7)^0.5</f>
        <v>1.8201618862813373</v>
      </c>
      <c r="AJ23" s="131">
        <f ca="1">(Z23+N23+(LOG(I23)*4/3))*(IF(Q23=7, (Q23/7)^0.5, ((Q23+1)/7)^0.5))</f>
        <v>1.9938874468548828</v>
      </c>
      <c r="AK23" s="9">
        <f ca="1">(((Y23+LOG(I23)*4/3+N23)+(AB23+LOG(I23)*4/3+N23)*2)/8)*(Q23/7)^0.5</f>
        <v>1.3692485393224212</v>
      </c>
      <c r="AL23" s="9">
        <f ca="1">(AD23+LOG(I23)*4/3+N23)*0.7+(AC23+LOG(I23)*4/3+N23)*0.3</f>
        <v>4.4536445874794959</v>
      </c>
      <c r="AM23" s="9">
        <f ca="1">(0.5*(AC23+LOG(I23)*4/3+N23)+ 0.3*(AD23+LOG(I23)*4/3+N23))/10</f>
        <v>0.38229156699835964</v>
      </c>
      <c r="AN23" s="9">
        <f ca="1">(0.4*(Y23+LOG(I23)*4/3+N23)+0.3*(AD23+LOG(I23)*4/3+N23))/10</f>
        <v>0.29075512112356472</v>
      </c>
      <c r="AO23" s="22">
        <v>1</v>
      </c>
      <c r="AP23" s="22">
        <v>1</v>
      </c>
      <c r="AQ23" s="22">
        <v>2</v>
      </c>
      <c r="AR23" s="145">
        <f>IF(AP23=4,IF(AQ23=0,0.137+0.0697,0.137+0.02),IF(AP23=3,IF(AQ23=0,0.0958+0.0697,0.0958+0.02),IF(AP23=2,IF(AQ23=0,0.0415+0.0697,0.0415+0.02),IF(AP23=1,IF(AQ23=0,0.0294+0.0697,0.0294+0.02),IF(AP23=0,IF(AQ23=0,0.0063+0.0697,0.0063+0.02))))))</f>
        <v>4.9399999999999999E-2</v>
      </c>
      <c r="AS23">
        <v>810</v>
      </c>
    </row>
    <row r="24" spans="1:45" x14ac:dyDescent="0.25">
      <c r="A24" s="16" t="s">
        <v>408</v>
      </c>
      <c r="B24" s="16" t="s">
        <v>30</v>
      </c>
      <c r="C24" s="132">
        <f t="shared" ref="C24" ca="1" si="64">((33*112)-(E24*112)-(F24))/112</f>
        <v>15.794642857142858</v>
      </c>
      <c r="D24" s="1" t="s">
        <v>407</v>
      </c>
      <c r="E24" s="2">
        <v>17</v>
      </c>
      <c r="F24" s="3">
        <f ca="1">8-159+16-570-5+D2-D1-2-60</f>
        <v>23</v>
      </c>
      <c r="G24" s="4" t="s">
        <v>402</v>
      </c>
      <c r="H24" s="5">
        <v>3</v>
      </c>
      <c r="I24" s="6">
        <v>1</v>
      </c>
      <c r="J24" s="24">
        <f t="shared" ref="J24" si="65">LOG(I24)*4/3</f>
        <v>0</v>
      </c>
      <c r="K24" s="7">
        <f t="shared" ref="K24" si="66">(H24)*(H24)*(I24)</f>
        <v>9</v>
      </c>
      <c r="L24" s="7">
        <f t="shared" ref="L24" si="67">(H24+1)*(H24+1)*I24</f>
        <v>16</v>
      </c>
      <c r="M24" s="146">
        <v>43045</v>
      </c>
      <c r="N24" s="147">
        <f t="shared" ref="N24" ca="1" si="68">IF((TODAY()-M24)&gt;335,1,((TODAY()-M24)^0.64)/(336^0.64))</f>
        <v>0.15364458747949647</v>
      </c>
      <c r="O24" s="27">
        <v>5.3</v>
      </c>
      <c r="P24" s="22">
        <f t="shared" ref="P24" si="69">O24*10+19</f>
        <v>72</v>
      </c>
      <c r="Q24" s="28">
        <v>5</v>
      </c>
      <c r="R24" s="126">
        <f t="shared" ref="R24" si="70">(Q24/7)^0.5</f>
        <v>0.84515425472851657</v>
      </c>
      <c r="S24" s="126">
        <f t="shared" ref="S24" si="71">IF(Q24=7,1,((Q24+0.99)/7)^0.5)</f>
        <v>0.92504826128926143</v>
      </c>
      <c r="T24" s="32">
        <v>930</v>
      </c>
      <c r="U24" s="32">
        <f>T24-AS24</f>
        <v>40</v>
      </c>
      <c r="V24" s="8">
        <v>330</v>
      </c>
      <c r="W24" s="9">
        <f t="shared" ref="W24" si="72">T24/V24</f>
        <v>2.8181818181818183</v>
      </c>
      <c r="X24" s="23">
        <v>0</v>
      </c>
      <c r="Y24" s="24">
        <v>5</v>
      </c>
      <c r="Z24" s="23">
        <v>3</v>
      </c>
      <c r="AA24" s="24">
        <v>4</v>
      </c>
      <c r="AB24" s="23">
        <f>2+(0.33*0.16)+0.33</f>
        <v>2.3828</v>
      </c>
      <c r="AC24" s="24">
        <v>3</v>
      </c>
      <c r="AD24" s="23">
        <v>1</v>
      </c>
      <c r="AE24" s="10">
        <v>345</v>
      </c>
      <c r="AF24" s="10">
        <v>1954</v>
      </c>
      <c r="AG24" s="25">
        <f ca="1">(AD24+1+(LOG(I24)*4/3)+N24)*(Q24/7)^0.5</f>
        <v>1.8201618862813373</v>
      </c>
      <c r="AH24" s="25">
        <f ca="1">(AD24+1+N24+(LOG(I24)*4/3))*(IF(Q24=7, (Q24/7)^0.5, ((Q24+1)/7)^0.5))</f>
        <v>1.9938874468548828</v>
      </c>
      <c r="AI24" s="131">
        <f ca="1">(Z24+N24+(LOG(I24)*4/3))*(Q24/7)^0.5</f>
        <v>2.6653161410098538</v>
      </c>
      <c r="AJ24" s="131">
        <f ca="1">(Z24+N24+(LOG(I24)*4/3))*(IF(Q24=7, (Q24/7)^0.5, ((Q24+1)/7)^0.5))</f>
        <v>2.9197075466274343</v>
      </c>
      <c r="AK24" s="9">
        <f ca="1">(((Y24+LOG(I24)*4/3+N24)+(AB24+LOG(I24)*4/3+N24)*2)/8)*(Q24/7)^0.5</f>
        <v>1.0803748150562142</v>
      </c>
      <c r="AL24" s="9">
        <f ca="1">(AD24+LOG(I24)*4/3+N24)*0.7+(AC24+LOG(I24)*4/3+N24)*0.3</f>
        <v>1.7536445874794966</v>
      </c>
      <c r="AM24" s="9">
        <f ca="1">(0.5*(AC24+LOG(I24)*4/3+N24)+ 0.3*(AD24+LOG(I24)*4/3+N24))/10</f>
        <v>0.19229156699835973</v>
      </c>
      <c r="AN24" s="9">
        <f ca="1">(0.4*(Y24+LOG(I24)*4/3+N24)+0.3*(AD24+LOG(I24)*4/3+N24))/10</f>
        <v>0.24075512112356473</v>
      </c>
      <c r="AO24" s="22">
        <v>3</v>
      </c>
      <c r="AP24" s="22">
        <v>1</v>
      </c>
      <c r="AQ24" s="22">
        <v>2</v>
      </c>
      <c r="AR24" s="145">
        <f t="shared" ref="AR24" si="73">IF(AP24=4,IF(AQ24=0,0.137+0.0697,0.137+0.02),IF(AP24=3,IF(AQ24=0,0.0958+0.0697,0.0958+0.02),IF(AP24=2,IF(AQ24=0,0.0415+0.0697,0.0415+0.02),IF(AP24=1,IF(AQ24=0,0.0294+0.0697,0.0294+0.02),IF(AP24=0,IF(AQ24=0,0.0063+0.0697,0.0063+0.02))))))</f>
        <v>4.9399999999999999E-2</v>
      </c>
      <c r="AS24">
        <v>890</v>
      </c>
    </row>
    <row r="25" spans="1:45" x14ac:dyDescent="0.25">
      <c r="A25" s="16" t="s">
        <v>410</v>
      </c>
      <c r="B25" s="16" t="s">
        <v>75</v>
      </c>
      <c r="C25" s="132">
        <f t="shared" ref="C25" ca="1" si="74">((33*112)-(E25*112)-(F25))/112</f>
        <v>15.723214285714286</v>
      </c>
      <c r="D25" s="31" t="s">
        <v>413</v>
      </c>
      <c r="E25" s="18">
        <v>17</v>
      </c>
      <c r="F25" s="3">
        <f ca="1">8-159+16-570-5+D2-D1-2-12-49+9</f>
        <v>31</v>
      </c>
      <c r="G25" s="20" t="s">
        <v>45</v>
      </c>
      <c r="H25" s="5">
        <v>3</v>
      </c>
      <c r="I25" s="30">
        <v>0.5</v>
      </c>
      <c r="J25" s="24">
        <f t="shared" ref="J25" si="75">LOG(I25)*4/3</f>
        <v>-0.40137332755197491</v>
      </c>
      <c r="K25" s="7">
        <f t="shared" ref="K25" si="76">(H25)*(H25)*(I25)</f>
        <v>4.5</v>
      </c>
      <c r="L25" s="7">
        <f t="shared" ref="L25" si="77">(H25+1)*(H25+1)*I25</f>
        <v>8</v>
      </c>
      <c r="M25" s="146">
        <v>43046</v>
      </c>
      <c r="N25" s="147">
        <f t="shared" ref="N25" ca="1" si="78">IF((TODAY()-M25)&gt;335,1,((TODAY()-M25)^0.64)/(336^0.64))</f>
        <v>0.14812561692891457</v>
      </c>
      <c r="O25" s="21">
        <v>5.3</v>
      </c>
      <c r="P25" s="22">
        <f t="shared" ref="P25" si="79">O25*10+19</f>
        <v>72</v>
      </c>
      <c r="Q25" s="28">
        <v>4</v>
      </c>
      <c r="R25" s="126">
        <f t="shared" ref="R25" si="80">(Q25/7)^0.5</f>
        <v>0.7559289460184544</v>
      </c>
      <c r="S25" s="126">
        <f t="shared" ref="S25" si="81">IF(Q25=7,1,((Q25+0.99)/7)^0.5)</f>
        <v>0.84430867747355465</v>
      </c>
      <c r="T25" s="32">
        <v>550</v>
      </c>
      <c r="U25" s="32">
        <f t="shared" ref="U25" si="82">T25-AS25</f>
        <v>40</v>
      </c>
      <c r="V25" s="32">
        <v>270</v>
      </c>
      <c r="W25" s="9">
        <f t="shared" ref="W25" si="83">T25/V25</f>
        <v>2.0370370370370372</v>
      </c>
      <c r="X25" s="23">
        <v>0</v>
      </c>
      <c r="Y25" s="24">
        <v>4</v>
      </c>
      <c r="Z25" s="23">
        <v>2</v>
      </c>
      <c r="AA25" s="24">
        <v>5</v>
      </c>
      <c r="AB25" s="23">
        <f>3+(0.25*0.16)+0.25</f>
        <v>3.29</v>
      </c>
      <c r="AC25" s="24">
        <v>4</v>
      </c>
      <c r="AD25" s="23">
        <v>2</v>
      </c>
      <c r="AE25" s="10">
        <v>359</v>
      </c>
      <c r="AF25" s="10">
        <v>1956</v>
      </c>
      <c r="AG25" s="25">
        <f t="shared" ref="AG25" ca="1" si="84">(AD25+1+(LOG(I25)*4/3)+N25)*(Q25/7)^0.5</f>
        <v>2.0763495630824864</v>
      </c>
      <c r="AH25" s="25">
        <f t="shared" ref="AH25" ca="1" si="85">(AD25+1+N25+(LOG(I25)*4/3))*(IF(Q25=7, (Q25/7)^0.5, ((Q25+1)/7)^0.5))</f>
        <v>2.3214293840522142</v>
      </c>
      <c r="AI25" s="131">
        <f t="shared" ref="AI25" ca="1" si="86">(Z25+N25+(LOG(I25)*4/3))*(Q25/7)^0.5</f>
        <v>1.3204206170640322</v>
      </c>
      <c r="AJ25" s="131">
        <f t="shared" ref="AJ25" ca="1" si="87">(Z25+N25+(LOG(I25)*4/3))*(IF(Q25=7, (Q25/7)^0.5, ((Q25+1)/7)^0.5))</f>
        <v>1.4762751293236975</v>
      </c>
      <c r="AK25" s="9">
        <f t="shared" ref="AK25" ca="1" si="88">(((Y25+LOG(I25)*4/3+N25)+(AB25+LOG(I25)*4/3+N25)*2)/8)*(Q25/7)^0.5</f>
        <v>0.92792705299457723</v>
      </c>
      <c r="AL25" s="9">
        <f t="shared" ref="AL25" ca="1" si="89">(AD25+LOG(I25)*4/3+N25)*0.7+(AC25+LOG(I25)*4/3+N25)*0.3</f>
        <v>2.3467522893769397</v>
      </c>
      <c r="AM25" s="9">
        <f t="shared" ref="AM25" ca="1" si="90">(0.5*(AC25+LOG(I25)*4/3+N25)+ 0.3*(AD25+LOG(I25)*4/3+N25))/10</f>
        <v>0.23974018315015516</v>
      </c>
      <c r="AN25" s="9">
        <f t="shared" ref="AN25" ca="1" si="91">(0.4*(Y25+LOG(I25)*4/3+N25)+0.3*(AD25+LOG(I25)*4/3+N25))/10</f>
        <v>0.20227266025638579</v>
      </c>
      <c r="AO25" s="22">
        <v>3</v>
      </c>
      <c r="AP25" s="22">
        <v>4</v>
      </c>
      <c r="AQ25" s="22">
        <v>3</v>
      </c>
      <c r="AR25" s="145">
        <f t="shared" ref="AR25" si="92">IF(AP25=4,IF(AQ25=0,0.137+0.0697,0.137+0.02),IF(AP25=3,IF(AQ25=0,0.0958+0.0697,0.0958+0.02),IF(AP25=2,IF(AQ25=0,0.0415+0.0697,0.0415+0.02),IF(AP25=1,IF(AQ25=0,0.0294+0.0697,0.0294+0.02),IF(AP25=0,IF(AQ25=0,0.0063+0.0697,0.0063+0.02))))))</f>
        <v>0.157</v>
      </c>
      <c r="AS25">
        <v>510</v>
      </c>
    </row>
    <row r="26" spans="1:45" x14ac:dyDescent="0.25">
      <c r="A26" s="16" t="s">
        <v>420</v>
      </c>
      <c r="B26" s="16" t="s">
        <v>44</v>
      </c>
      <c r="C26" s="132">
        <f t="shared" ref="C26" ca="1" si="93">((33*112)-(E26*112)-(F26))/112</f>
        <v>15.428571428571429</v>
      </c>
      <c r="D26" s="31" t="s">
        <v>415</v>
      </c>
      <c r="E26" s="18">
        <v>17</v>
      </c>
      <c r="F26" s="3">
        <f ca="1">8-159+16-570-5+D2-D1-2-12-49+9-11+44</f>
        <v>64</v>
      </c>
      <c r="G26" s="20" t="s">
        <v>74</v>
      </c>
      <c r="H26" s="5">
        <v>3</v>
      </c>
      <c r="I26" s="30">
        <v>0.5</v>
      </c>
      <c r="J26" s="24">
        <f t="shared" ref="J26" si="94">LOG(I26)*4/3</f>
        <v>-0.40137332755197491</v>
      </c>
      <c r="K26" s="7">
        <f t="shared" ref="K26" si="95">(H26)*(H26)*(I26)</f>
        <v>4.5</v>
      </c>
      <c r="L26" s="7">
        <f t="shared" ref="L26" si="96">(H26+1)*(H26+1)*I26</f>
        <v>8</v>
      </c>
      <c r="M26" s="146">
        <v>43046</v>
      </c>
      <c r="N26" s="147">
        <f t="shared" ref="N26" ca="1" si="97">IF((TODAY()-M26)&gt;335,1,((TODAY()-M26)^0.64)/(336^0.64))</f>
        <v>0.14812561692891457</v>
      </c>
      <c r="O26" s="21">
        <v>5.3</v>
      </c>
      <c r="P26" s="22">
        <f t="shared" ref="P26" si="98">O26*10+19</f>
        <v>72</v>
      </c>
      <c r="Q26" s="28">
        <v>6</v>
      </c>
      <c r="R26" s="126">
        <f t="shared" ref="R26" si="99">(Q26/7)^0.5</f>
        <v>0.92582009977255142</v>
      </c>
      <c r="S26" s="126">
        <f t="shared" ref="S26" si="100">IF(Q26=7,1,((Q26+0.99)/7)^0.5)</f>
        <v>0.99928545900129484</v>
      </c>
      <c r="T26" s="32">
        <v>1850</v>
      </c>
      <c r="U26" s="32">
        <f t="shared" ref="U26" si="101">T26-AS26</f>
        <v>140</v>
      </c>
      <c r="V26" s="32">
        <v>370</v>
      </c>
      <c r="W26" s="9">
        <f t="shared" ref="W26" si="102">T26/V26</f>
        <v>5</v>
      </c>
      <c r="X26" s="23">
        <v>0</v>
      </c>
      <c r="Y26" s="24">
        <v>5</v>
      </c>
      <c r="Z26" s="23">
        <v>2</v>
      </c>
      <c r="AA26" s="24">
        <v>3</v>
      </c>
      <c r="AB26" s="23">
        <f>4+0.25+0.25</f>
        <v>4.5</v>
      </c>
      <c r="AC26" s="24">
        <v>6</v>
      </c>
      <c r="AD26" s="23">
        <v>1</v>
      </c>
      <c r="AE26" s="10">
        <v>444</v>
      </c>
      <c r="AF26" s="10">
        <v>1994</v>
      </c>
      <c r="AG26" s="25">
        <f t="shared" ref="AG26" ca="1" si="103">(AD26+1+(LOG(I26)*4/3)+N26)*(Q26/7)^0.5</f>
        <v>1.6171783788288909</v>
      </c>
      <c r="AH26" s="25">
        <f t="shared" ref="AH26" ca="1" si="104">(AD26+1+N26+(LOG(I26)*4/3))*(IF(Q26=7, (Q26/7)^0.5, ((Q26+1)/7)^0.5))</f>
        <v>1.7467522893769396</v>
      </c>
      <c r="AI26" s="131">
        <f t="shared" ref="AI26" ca="1" si="105">(Z26+N26+(LOG(I26)*4/3))*(Q26/7)^0.5</f>
        <v>1.6171783788288909</v>
      </c>
      <c r="AJ26" s="131">
        <f t="shared" ref="AJ26" ca="1" si="106">(Z26+N26+(LOG(I26)*4/3))*(IF(Q26=7, (Q26/7)^0.5, ((Q26+1)/7)^0.5))</f>
        <v>1.7467522893769396</v>
      </c>
      <c r="AK26" s="9">
        <f t="shared" ref="AK26" ca="1" si="107">(((Y26+LOG(I26)*4/3+N26)+(AB26+LOG(I26)*4/3+N26)*2)/8)*(Q26/7)^0.5</f>
        <v>1.5322619918333853</v>
      </c>
      <c r="AL26" s="9">
        <f t="shared" ref="AL26" ca="1" si="108">(AD26+LOG(I26)*4/3+N26)*0.7+(AC26+LOG(I26)*4/3+N26)*0.3</f>
        <v>2.2467522893769392</v>
      </c>
      <c r="AM26" s="9">
        <f t="shared" ref="AM26" ca="1" si="109">(0.5*(AC26+LOG(I26)*4/3+N26)+ 0.3*(AD26+LOG(I26)*4/3+N26))/10</f>
        <v>0.30974018315015517</v>
      </c>
      <c r="AN26" s="9">
        <f t="shared" ref="AN26" ca="1" si="110">(0.4*(Y26+LOG(I26)*4/3+N26)+0.3*(AD26+LOG(I26)*4/3+N26))/10</f>
        <v>0.21227266025638575</v>
      </c>
      <c r="AO26" s="22">
        <v>2</v>
      </c>
      <c r="AP26" s="22">
        <v>3</v>
      </c>
      <c r="AQ26" s="22">
        <v>1</v>
      </c>
      <c r="AR26" s="145">
        <f t="shared" ref="AR26" si="111">IF(AP26=4,IF(AQ26=0,0.137+0.0697,0.137+0.02),IF(AP26=3,IF(AQ26=0,0.0958+0.0697,0.0958+0.02),IF(AP26=2,IF(AQ26=0,0.0415+0.0697,0.0415+0.02),IF(AP26=1,IF(AQ26=0,0.0294+0.0697,0.0294+0.02),IF(AP26=0,IF(AQ26=0,0.0063+0.0697,0.0063+0.02))))))</f>
        <v>0.1158</v>
      </c>
      <c r="AS26">
        <v>1710</v>
      </c>
    </row>
    <row r="27" spans="1:45" x14ac:dyDescent="0.25">
      <c r="A27" s="16" t="s">
        <v>421</v>
      </c>
      <c r="B27" s="26" t="s">
        <v>30</v>
      </c>
      <c r="C27" s="132">
        <f ca="1">((33*112)-(E27*112)-(F27))/112</f>
        <v>15.366071428571429</v>
      </c>
      <c r="D27" s="1" t="s">
        <v>411</v>
      </c>
      <c r="E27" s="2">
        <v>17</v>
      </c>
      <c r="F27" s="3">
        <f ca="1">8-159+16-570-5+D2-D1-2-12</f>
        <v>71</v>
      </c>
      <c r="G27" s="4" t="s">
        <v>74</v>
      </c>
      <c r="H27" s="5">
        <v>2</v>
      </c>
      <c r="I27" s="6">
        <v>0.5</v>
      </c>
      <c r="J27" s="24">
        <f>LOG(I27)*4/3</f>
        <v>-0.40137332755197491</v>
      </c>
      <c r="K27" s="7">
        <f>(H27)*(H27)*(I27)</f>
        <v>2</v>
      </c>
      <c r="L27" s="7">
        <f>(H27+1)*(H27+1)*I27</f>
        <v>4.5</v>
      </c>
      <c r="M27" s="146">
        <v>43046</v>
      </c>
      <c r="N27" s="147">
        <f ca="1">IF((TODAY()-M27)&gt;335,1,((TODAY()-M27)^0.64)/(336^0.64))</f>
        <v>0.14812561692891457</v>
      </c>
      <c r="O27" s="27">
        <v>6</v>
      </c>
      <c r="P27" s="22">
        <f>O27*10+19</f>
        <v>79</v>
      </c>
      <c r="Q27" s="28">
        <v>6</v>
      </c>
      <c r="R27" s="126">
        <f>(Q27/7)^0.5</f>
        <v>0.92582009977255142</v>
      </c>
      <c r="S27" s="126">
        <f>IF(Q27=7,1,((Q27+0.99)/7)^0.5)</f>
        <v>0.99928545900129484</v>
      </c>
      <c r="T27" s="32">
        <v>2000</v>
      </c>
      <c r="U27" s="32">
        <f>T27-AS27</f>
        <v>160</v>
      </c>
      <c r="V27" s="8">
        <v>450</v>
      </c>
      <c r="W27" s="9">
        <f>T27/V27</f>
        <v>4.4444444444444446</v>
      </c>
      <c r="X27" s="23">
        <v>0</v>
      </c>
      <c r="Y27" s="24">
        <v>6</v>
      </c>
      <c r="Z27" s="23">
        <v>4</v>
      </c>
      <c r="AA27" s="24">
        <v>4</v>
      </c>
      <c r="AB27" s="23">
        <f>2.67+0.33+0.33*0.16</f>
        <v>3.0528</v>
      </c>
      <c r="AC27" s="24">
        <v>3</v>
      </c>
      <c r="AD27" s="23">
        <v>4</v>
      </c>
      <c r="AE27" s="10">
        <v>446</v>
      </c>
      <c r="AF27" s="10">
        <v>1986</v>
      </c>
      <c r="AG27" s="25">
        <f ca="1">(AD27+1+(LOG(I27)*4/3)+N27)*(Q27/7)^0.5</f>
        <v>4.3946386781465447</v>
      </c>
      <c r="AH27" s="25">
        <f ca="1">(AD27+1+N27+(LOG(I27)*4/3))*(IF(Q27=7, (Q27/7)^0.5, ((Q27+1)/7)^0.5))</f>
        <v>4.7467522893769392</v>
      </c>
      <c r="AI27" s="131">
        <f ca="1">(Z27+N27+(LOG(I27)*4/3))*(Q27/7)^0.5</f>
        <v>3.4688185783739938</v>
      </c>
      <c r="AJ27" s="131">
        <f ca="1">(Z27+N27+(LOG(I27)*4/3))*(IF(Q27=7, (Q27/7)^0.5, ((Q27+1)/7)^0.5))</f>
        <v>3.7467522893769396</v>
      </c>
      <c r="AK27" s="9">
        <f ca="1">(((Y27+LOG(I27)*4/3+N27)+(AB27+LOG(I27)*4/3+N27)*2)/8)*(Q27/7)^0.5</f>
        <v>1.3130277922072453</v>
      </c>
      <c r="AL27" s="9">
        <f ca="1">(AD27+LOG(I27)*4/3+N27)*0.7+(AC27+LOG(I27)*4/3+N27)*0.3</f>
        <v>3.4467522893769393</v>
      </c>
      <c r="AM27" s="9">
        <f ca="1">(0.5*(AC27+LOG(I27)*4/3+N27)+ 0.3*(AD27+LOG(I27)*4/3+N27))/10</f>
        <v>0.24974018315015517</v>
      </c>
      <c r="AN27" s="9">
        <f ca="1">(0.4*(Y27+LOG(I27)*4/3+N27)+0.3*(AD27+LOG(I27)*4/3+N27))/10</f>
        <v>0.34227266025638575</v>
      </c>
      <c r="AO27" s="22">
        <v>2</v>
      </c>
      <c r="AP27" s="22">
        <v>0</v>
      </c>
      <c r="AQ27" s="22">
        <v>3</v>
      </c>
      <c r="AR27" s="145">
        <f>IF(AP27=4,IF(AQ27=0,0.137+0.0697,0.137+0.02),IF(AP27=3,IF(AQ27=0,0.0958+0.0697,0.0958+0.02),IF(AP27=2,IF(AQ27=0,0.0415+0.0697,0.0415+0.02),IF(AP27=1,IF(AQ27=0,0.0294+0.0697,0.0294+0.02),IF(AP27=0,IF(AQ27=0,0.0063+0.0697,0.0063+0.02))))))</f>
        <v>2.63E-2</v>
      </c>
      <c r="AS27">
        <v>1840</v>
      </c>
    </row>
    <row r="28" spans="1:45" x14ac:dyDescent="0.25">
      <c r="A28" s="16" t="s">
        <v>422</v>
      </c>
      <c r="B28" s="26" t="s">
        <v>44</v>
      </c>
      <c r="C28" s="132">
        <f ca="1">((33*112)-(E28*112)-(F28))/112</f>
        <v>15.535714285714286</v>
      </c>
      <c r="D28" s="1" t="s">
        <v>409</v>
      </c>
      <c r="E28" s="2">
        <v>17</v>
      </c>
      <c r="F28" s="3">
        <f ca="1">8-159+16-570-5+D2-D1-2-31</f>
        <v>52</v>
      </c>
      <c r="G28" s="4" t="s">
        <v>0</v>
      </c>
      <c r="H28" s="5">
        <v>4</v>
      </c>
      <c r="I28" s="6">
        <v>0.5</v>
      </c>
      <c r="J28" s="24">
        <f>LOG(I28)*4/3</f>
        <v>-0.40137332755197491</v>
      </c>
      <c r="K28" s="7">
        <f>(H28)*(H28)*(I28)</f>
        <v>8</v>
      </c>
      <c r="L28" s="7">
        <f>(H28+1)*(H28+1)*I28</f>
        <v>12.5</v>
      </c>
      <c r="M28" s="146">
        <v>43046</v>
      </c>
      <c r="N28" s="147">
        <f ca="1">IF((TODAY()-M28)&gt;335,1,((TODAY()-M28)^0.64)/(336^0.64))</f>
        <v>0.14812561692891457</v>
      </c>
      <c r="O28" s="27">
        <v>5.3</v>
      </c>
      <c r="P28" s="22">
        <f>O28*10+19</f>
        <v>72</v>
      </c>
      <c r="Q28" s="28">
        <v>5</v>
      </c>
      <c r="R28" s="126">
        <f>(Q28/7)^0.5</f>
        <v>0.84515425472851657</v>
      </c>
      <c r="S28" s="126">
        <f>IF(Q28=7,1,((Q28+0.99)/7)^0.5)</f>
        <v>0.92504826128926143</v>
      </c>
      <c r="T28" s="32">
        <v>1010</v>
      </c>
      <c r="U28" s="32">
        <f>T28-AS28</f>
        <v>80</v>
      </c>
      <c r="V28" s="8">
        <v>330</v>
      </c>
      <c r="W28" s="9">
        <f>T28/V28</f>
        <v>3.0606060606060606</v>
      </c>
      <c r="X28" s="23">
        <v>0</v>
      </c>
      <c r="Y28" s="24">
        <v>2</v>
      </c>
      <c r="Z28" s="23">
        <v>5</v>
      </c>
      <c r="AA28" s="24">
        <v>3</v>
      </c>
      <c r="AB28" s="23">
        <f>2+(0.33*0.16)+(0.33*0.16)</f>
        <v>2.1055999999999999</v>
      </c>
      <c r="AC28" s="24">
        <v>5</v>
      </c>
      <c r="AD28" s="23">
        <v>3</v>
      </c>
      <c r="AE28" s="10">
        <v>355</v>
      </c>
      <c r="AF28" s="10">
        <v>1922</v>
      </c>
      <c r="AG28" s="25">
        <f ca="1">(AD28+1+(LOG(I28)*4/3)+N28)*(Q28/7)^0.5</f>
        <v>3.1665836387807307</v>
      </c>
      <c r="AH28" s="25">
        <f ca="1">(AD28+1+N28+(LOG(I28)*4/3))*(IF(Q28=7, (Q28/7)^0.5, ((Q28+1)/7)^0.5))</f>
        <v>3.4688185783739938</v>
      </c>
      <c r="AI28" s="131">
        <f ca="1">(Z28+N28+(LOG(I28)*4/3))*(Q28/7)^0.5</f>
        <v>4.0117378935092471</v>
      </c>
      <c r="AJ28" s="131">
        <f ca="1">(Z28+N28+(LOG(I28)*4/3))*(IF(Q28=7, (Q28/7)^0.5, ((Q28+1)/7)^0.5))</f>
        <v>4.3946386781465447</v>
      </c>
      <c r="AK28" s="9">
        <f ca="1">(((Y28+LOG(I28)*4/3+N28)+(AB28+LOG(I28)*4/3+N28)*2)/8)*(Q28/7)^0.5</f>
        <v>0.57591524582121945</v>
      </c>
      <c r="AL28" s="9">
        <f ca="1">(AD28+LOG(I28)*4/3+N28)*0.7+(AC28+LOG(I28)*4/3+N28)*0.3</f>
        <v>3.3467522893769392</v>
      </c>
      <c r="AM28" s="9">
        <f ca="1">(0.5*(AC28+LOG(I28)*4/3+N28)+ 0.3*(AD28+LOG(I28)*4/3+N28))/10</f>
        <v>0.31974018315015512</v>
      </c>
      <c r="AN28" s="9">
        <f ca="1">(0.4*(Y28+LOG(I28)*4/3+N28)+0.3*(AD28+LOG(I28)*4/3+N28))/10</f>
        <v>0.15227266025638578</v>
      </c>
      <c r="AO28" s="22">
        <v>4</v>
      </c>
      <c r="AP28" s="22">
        <v>2</v>
      </c>
      <c r="AQ28" s="22">
        <v>2</v>
      </c>
      <c r="AR28" s="145">
        <f>IF(AP28=4,IF(AQ28=0,0.137+0.0697,0.137+0.02),IF(AP28=3,IF(AQ28=0,0.0958+0.0697,0.0958+0.02),IF(AP28=2,IF(AQ28=0,0.0415+0.0697,0.0415+0.02),IF(AP28=1,IF(AQ28=0,0.0294+0.0697,0.0294+0.02),IF(AP28=0,IF(AQ28=0,0.0063+0.0697,0.0063+0.02))))))</f>
        <v>6.1499999999999999E-2</v>
      </c>
      <c r="AS28">
        <v>930</v>
      </c>
    </row>
    <row r="29" spans="1:45" x14ac:dyDescent="0.25">
      <c r="A29" s="16" t="s">
        <v>423</v>
      </c>
      <c r="B29" s="16" t="s">
        <v>44</v>
      </c>
      <c r="C29" s="132">
        <f t="shared" ref="C29" ca="1" si="112">((33*112)-(E29*112)-(F29))/112</f>
        <v>15.821428571428571</v>
      </c>
      <c r="D29" s="31" t="s">
        <v>414</v>
      </c>
      <c r="E29" s="18">
        <v>17</v>
      </c>
      <c r="F29" s="3">
        <f ca="1">8-159+16-570-5+D2-D1-2-12-49+9-11</f>
        <v>20</v>
      </c>
      <c r="G29" s="20" t="s">
        <v>402</v>
      </c>
      <c r="H29" s="5">
        <v>4</v>
      </c>
      <c r="I29" s="30">
        <v>0.5</v>
      </c>
      <c r="J29" s="24">
        <f t="shared" ref="J29" si="113">LOG(I29)*4/3</f>
        <v>-0.40137332755197491</v>
      </c>
      <c r="K29" s="7">
        <f t="shared" ref="K29" si="114">(H29)*(H29)*(I29)</f>
        <v>8</v>
      </c>
      <c r="L29" s="7">
        <f t="shared" ref="L29" si="115">(H29+1)*(H29+1)*I29</f>
        <v>12.5</v>
      </c>
      <c r="M29" s="146">
        <v>43046</v>
      </c>
      <c r="N29" s="147">
        <f t="shared" ref="N29" ca="1" si="116">IF((TODAY()-M29)&gt;335,1,((TODAY()-M29)^0.64)/(336^0.64))</f>
        <v>0.14812561692891457</v>
      </c>
      <c r="O29" s="21">
        <v>5</v>
      </c>
      <c r="P29" s="22">
        <f t="shared" ref="P29" si="117">O29*10+19</f>
        <v>69</v>
      </c>
      <c r="Q29" s="28">
        <v>5</v>
      </c>
      <c r="R29" s="126">
        <f t="shared" ref="R29" si="118">(Q29/7)^0.5</f>
        <v>0.84515425472851657</v>
      </c>
      <c r="S29" s="126">
        <f t="shared" ref="S29" si="119">IF(Q29=7,1,((Q29+0.99)/7)^0.5)</f>
        <v>0.92504826128926143</v>
      </c>
      <c r="T29" s="32">
        <v>560</v>
      </c>
      <c r="U29" s="32">
        <f t="shared" ref="U29" si="120">T29-AS29</f>
        <v>20</v>
      </c>
      <c r="V29" s="32">
        <v>290</v>
      </c>
      <c r="W29" s="9">
        <f t="shared" ref="W29" si="121">T29/V29</f>
        <v>1.9310344827586208</v>
      </c>
      <c r="X29" s="23">
        <v>0</v>
      </c>
      <c r="Y29" s="24">
        <v>4</v>
      </c>
      <c r="Z29" s="23">
        <v>2</v>
      </c>
      <c r="AA29" s="24">
        <v>2</v>
      </c>
      <c r="AB29" s="23">
        <f>3+(0.25*0.16)+(0.25*0.16*3/90)</f>
        <v>3.0413333333333332</v>
      </c>
      <c r="AC29" s="24">
        <v>5</v>
      </c>
      <c r="AD29" s="23">
        <v>0.5</v>
      </c>
      <c r="AE29" s="10">
        <v>330</v>
      </c>
      <c r="AF29" s="10">
        <v>1943</v>
      </c>
      <c r="AG29" s="25">
        <f t="shared" ref="AG29" ca="1" si="122">(AD29+1+(LOG(I29)*4/3)+N29)*(Q29/7)^0.5</f>
        <v>1.0536980019594393</v>
      </c>
      <c r="AH29" s="25">
        <f t="shared" ref="AH29" ca="1" si="123">(AD29+1+N29+(LOG(I29)*4/3))*(IF(Q29=7, (Q29/7)^0.5, ((Q29+1)/7)^0.5))</f>
        <v>1.1542683289426152</v>
      </c>
      <c r="AI29" s="131">
        <f t="shared" ref="AI29" ca="1" si="124">(Z29+N29+(LOG(I29)*4/3))*(Q29/7)^0.5</f>
        <v>1.4762751293236975</v>
      </c>
      <c r="AJ29" s="131">
        <f t="shared" ref="AJ29" ca="1" si="125">(Z29+N29+(LOG(I29)*4/3))*(IF(Q29=7, (Q29/7)^0.5, ((Q29+1)/7)^0.5))</f>
        <v>1.6171783788288909</v>
      </c>
      <c r="AK29" s="9">
        <f t="shared" ref="AK29" ca="1" si="126">(((Y29+LOG(I29)*4/3+N29)+(AB29+LOG(I29)*4/3+N29)*2)/8)*(Q29/7)^0.5</f>
        <v>0.9849135614928396</v>
      </c>
      <c r="AL29" s="9">
        <f t="shared" ref="AL29" ca="1" si="127">(AD29+LOG(I29)*4/3+N29)*0.7+(AC29+LOG(I29)*4/3+N29)*0.3</f>
        <v>1.5967522893769392</v>
      </c>
      <c r="AM29" s="9">
        <f t="shared" ref="AM29" ca="1" si="128">(0.5*(AC29+LOG(I29)*4/3+N29)+ 0.3*(AD29+LOG(I29)*4/3+N29))/10</f>
        <v>0.24474018315015514</v>
      </c>
      <c r="AN29" s="9">
        <f t="shared" ref="AN29" ca="1" si="129">(0.4*(Y29+LOG(I29)*4/3+N29)+0.3*(AD29+LOG(I29)*4/3+N29))/10</f>
        <v>0.15727266025638581</v>
      </c>
      <c r="AO29" s="22">
        <v>1</v>
      </c>
      <c r="AP29" s="22">
        <v>2</v>
      </c>
      <c r="AQ29" s="22">
        <v>1</v>
      </c>
      <c r="AR29" s="145">
        <f t="shared" ref="AR29" si="130">IF(AP29=4,IF(AQ29=0,0.137+0.0697,0.137+0.02),IF(AP29=3,IF(AQ29=0,0.0958+0.0697,0.0958+0.02),IF(AP29=2,IF(AQ29=0,0.0415+0.0697,0.0415+0.02),IF(AP29=1,IF(AQ29=0,0.0294+0.0697,0.0294+0.02),IF(AP29=0,IF(AQ29=0,0.0063+0.0697,0.0063+0.02))))))</f>
        <v>6.1499999999999999E-2</v>
      </c>
      <c r="AS29">
        <v>540</v>
      </c>
    </row>
    <row r="30" spans="1:45" x14ac:dyDescent="0.25">
      <c r="A30" s="16" t="s">
        <v>424</v>
      </c>
      <c r="B30" s="16" t="s">
        <v>44</v>
      </c>
      <c r="C30" s="132">
        <f t="shared" ref="C30" ca="1" si="131">((33*112)-(E30*112)-(F30))/112</f>
        <v>15.785714285714286</v>
      </c>
      <c r="D30" s="31" t="s">
        <v>417</v>
      </c>
      <c r="E30" s="18">
        <v>17</v>
      </c>
      <c r="F30" s="3">
        <f ca="1">8-159+16-570-5+D2-D1-2-12-49+9-11+44-40</f>
        <v>24</v>
      </c>
      <c r="G30" s="20" t="s">
        <v>190</v>
      </c>
      <c r="H30" s="5">
        <v>3</v>
      </c>
      <c r="I30" s="30">
        <v>1</v>
      </c>
      <c r="J30" s="24">
        <f t="shared" ref="J30" si="132">LOG(I30)*4/3</f>
        <v>0</v>
      </c>
      <c r="K30" s="7">
        <f t="shared" ref="K30" si="133">(H30)*(H30)*(I30)</f>
        <v>9</v>
      </c>
      <c r="L30" s="7">
        <f t="shared" ref="L30" si="134">(H30+1)*(H30+1)*I30</f>
        <v>16</v>
      </c>
      <c r="M30" s="146">
        <v>43046</v>
      </c>
      <c r="N30" s="147">
        <f t="shared" ref="N30" ca="1" si="135">IF((TODAY()-M30)&gt;335,1,((TODAY()-M30)^0.64)/(336^0.64))</f>
        <v>0.14812561692891457</v>
      </c>
      <c r="O30" s="21">
        <v>5</v>
      </c>
      <c r="P30" s="22">
        <f t="shared" ref="P30" si="136">O30*10+19</f>
        <v>69</v>
      </c>
      <c r="Q30" s="28">
        <v>6</v>
      </c>
      <c r="R30" s="126">
        <f t="shared" ref="R30" si="137">(Q30/7)^0.5</f>
        <v>0.92582009977255142</v>
      </c>
      <c r="S30" s="126">
        <f t="shared" ref="S30" si="138">IF(Q30=7,1,((Q30+0.99)/7)^0.5)</f>
        <v>0.99928545900129484</v>
      </c>
      <c r="T30" s="32">
        <v>570</v>
      </c>
      <c r="U30" s="32">
        <f t="shared" ref="U30" si="139">T30-AS30</f>
        <v>30</v>
      </c>
      <c r="V30" s="32">
        <v>250</v>
      </c>
      <c r="W30" s="9">
        <f t="shared" ref="W30" si="140">T30/V30</f>
        <v>2.2799999999999998</v>
      </c>
      <c r="X30" s="23">
        <v>0</v>
      </c>
      <c r="Y30" s="24">
        <v>4</v>
      </c>
      <c r="Z30" s="23">
        <v>4</v>
      </c>
      <c r="AA30" s="24">
        <v>3</v>
      </c>
      <c r="AB30" s="23">
        <f>4+0.25+(0.25*0.16*3/90)</f>
        <v>4.2513333333333332</v>
      </c>
      <c r="AC30" s="24">
        <v>3</v>
      </c>
      <c r="AD30" s="23">
        <v>0.3</v>
      </c>
      <c r="AE30" s="10">
        <v>360</v>
      </c>
      <c r="AF30" s="10">
        <v>1991</v>
      </c>
      <c r="AG30" s="25">
        <f t="shared" ref="AG30" ca="1" si="141">(AD30+1+(LOG(I30)*4/3)+N30)*(Q30/7)^0.5</f>
        <v>1.3407038031483154</v>
      </c>
      <c r="AH30" s="25">
        <f t="shared" ref="AH30" ca="1" si="142">(AD30+1+N30+(LOG(I30)*4/3))*(IF(Q30=7, (Q30/7)^0.5, ((Q30+1)/7)^0.5))</f>
        <v>1.4481256169289147</v>
      </c>
      <c r="AI30" s="131">
        <f t="shared" ref="AI30" ca="1" si="143">(Z30+N30+(LOG(I30)*4/3))*(Q30/7)^0.5</f>
        <v>3.8404180725342041</v>
      </c>
      <c r="AJ30" s="131">
        <f t="shared" ref="AJ30" ca="1" si="144">(Z30+N30+(LOG(I30)*4/3))*(IF(Q30=7, (Q30/7)^0.5, ((Q30+1)/7)^0.5))</f>
        <v>4.1481256169289145</v>
      </c>
      <c r="AK30" s="9">
        <f t="shared" ref="AK30" ca="1" si="145">(((Y30+LOG(I30)*4/3+N30)+(AB30+LOG(I30)*4/3+N30)*2)/8)*(Q30/7)^0.5</f>
        <v>1.498329140136035</v>
      </c>
      <c r="AL30" s="9">
        <f t="shared" ref="AL30" ca="1" si="146">(AD30+LOG(I30)*4/3+N30)*0.7+(AC30+LOG(I30)*4/3+N30)*0.3</f>
        <v>1.2581256169289146</v>
      </c>
      <c r="AM30" s="9">
        <f t="shared" ref="AM30" ca="1" si="147">(0.5*(AC30+LOG(I30)*4/3+N30)+ 0.3*(AD30+LOG(I30)*4/3+N30))/10</f>
        <v>0.17085004935431317</v>
      </c>
      <c r="AN30" s="9">
        <f t="shared" ref="AN30" ca="1" si="148">(0.4*(Y30+LOG(I30)*4/3+N30)+0.3*(AD30+LOG(I30)*4/3+N30))/10</f>
        <v>0.17936879318502402</v>
      </c>
      <c r="AO30" s="22">
        <v>1</v>
      </c>
      <c r="AP30" s="22">
        <v>1</v>
      </c>
      <c r="AQ30" s="22">
        <v>3</v>
      </c>
      <c r="AR30" s="145">
        <f t="shared" ref="AR30" si="149">IF(AP30=4,IF(AQ30=0,0.137+0.0697,0.137+0.02),IF(AP30=3,IF(AQ30=0,0.0958+0.0697,0.0958+0.02),IF(AP30=2,IF(AQ30=0,0.0415+0.0697,0.0415+0.02),IF(AP30=1,IF(AQ30=0,0.0294+0.0697,0.0294+0.02),IF(AP30=0,IF(AQ30=0,0.0063+0.0697,0.0063+0.02))))))</f>
        <v>4.9399999999999999E-2</v>
      </c>
      <c r="AS30">
        <v>540</v>
      </c>
    </row>
    <row r="31" spans="1:45" x14ac:dyDescent="0.25">
      <c r="A31" s="16" t="s">
        <v>425</v>
      </c>
      <c r="B31" s="16" t="s">
        <v>99</v>
      </c>
      <c r="C31" s="132">
        <f t="shared" ref="C31" ca="1" si="150">((33*112)-(E31*112)-(F31))/112</f>
        <v>15.803571428571429</v>
      </c>
      <c r="D31" s="31" t="s">
        <v>412</v>
      </c>
      <c r="E31" s="18">
        <v>17</v>
      </c>
      <c r="F31" s="3">
        <f ca="1">8-159+16-570-5+D2-D1-2-12-49</f>
        <v>22</v>
      </c>
      <c r="G31" s="20" t="s">
        <v>190</v>
      </c>
      <c r="H31" s="5">
        <v>3</v>
      </c>
      <c r="I31" s="30">
        <v>0.5</v>
      </c>
      <c r="J31" s="24">
        <f t="shared" ref="J31" si="151">LOG(I31)*4/3</f>
        <v>-0.40137332755197491</v>
      </c>
      <c r="K31" s="7">
        <f t="shared" ref="K31" si="152">(H31)*(H31)*(I31)</f>
        <v>4.5</v>
      </c>
      <c r="L31" s="7">
        <f t="shared" ref="L31" si="153">(H31+1)*(H31+1)*I31</f>
        <v>8</v>
      </c>
      <c r="M31" s="146">
        <v>43046</v>
      </c>
      <c r="N31" s="147">
        <f t="shared" ref="N31" ca="1" si="154">IF((TODAY()-M31)&gt;335,1,((TODAY()-M31)^0.64)/(336^0.64))</f>
        <v>0.14812561692891457</v>
      </c>
      <c r="O31" s="21">
        <v>4.5</v>
      </c>
      <c r="P31" s="22">
        <f t="shared" ref="P31" si="155">O31*10+19</f>
        <v>64</v>
      </c>
      <c r="Q31" s="28">
        <v>5</v>
      </c>
      <c r="R31" s="126">
        <f t="shared" ref="R31" si="156">(Q31/7)^0.5</f>
        <v>0.84515425472851657</v>
      </c>
      <c r="S31" s="126">
        <f t="shared" ref="S31" si="157">IF(Q31=7,1,((Q31+0.99)/7)^0.5)</f>
        <v>0.92504826128926143</v>
      </c>
      <c r="T31" s="32">
        <v>620</v>
      </c>
      <c r="U31" s="32">
        <f t="shared" ref="U31" si="158">T31-AS31</f>
        <v>10</v>
      </c>
      <c r="V31" s="32">
        <v>270</v>
      </c>
      <c r="W31" s="9">
        <f t="shared" ref="W31" si="159">T31/V31</f>
        <v>2.2962962962962963</v>
      </c>
      <c r="X31" s="23">
        <v>0</v>
      </c>
      <c r="Y31" s="24">
        <v>3</v>
      </c>
      <c r="Z31" s="23">
        <v>4</v>
      </c>
      <c r="AA31" s="24">
        <v>4</v>
      </c>
      <c r="AB31" s="23">
        <f>3+(0.25*0.16*31/90)+(0.25*0.16*3/90)</f>
        <v>3.0151111111111111</v>
      </c>
      <c r="AC31" s="24">
        <v>4</v>
      </c>
      <c r="AD31" s="23">
        <v>1.2</v>
      </c>
      <c r="AE31" s="10">
        <v>352</v>
      </c>
      <c r="AF31" s="10">
        <v>1986</v>
      </c>
      <c r="AG31" s="25">
        <f t="shared" ref="AG31" ca="1" si="160">(AD31+1+(LOG(I31)*4/3)+N31)*(Q31/7)^0.5</f>
        <v>1.645305980269401</v>
      </c>
      <c r="AH31" s="25">
        <f t="shared" ref="AH31" ca="1" si="161">(AD31+1+N31+(LOG(I31)*4/3))*(IF(Q31=7, (Q31/7)^0.5, ((Q31+1)/7)^0.5))</f>
        <v>1.8023423987834013</v>
      </c>
      <c r="AI31" s="131">
        <f t="shared" ref="AI31" ca="1" si="162">(Z31+N31+(LOG(I31)*4/3))*(Q31/7)^0.5</f>
        <v>3.1665836387807307</v>
      </c>
      <c r="AJ31" s="131">
        <f t="shared" ref="AJ31" ca="1" si="163">(Z31+N31+(LOG(I31)*4/3))*(IF(Q31=7, (Q31/7)^0.5, ((Q31+1)/7)^0.5))</f>
        <v>3.4688185783739938</v>
      </c>
      <c r="AK31" s="9">
        <f t="shared" ref="AK31" ca="1" si="164">(((Y31+LOG(I31)*4/3+N31)+(AB31+LOG(I31)*4/3+N31)*2)/8)*(Q31/7)^0.5</f>
        <v>0.873728823981888</v>
      </c>
      <c r="AL31" s="9">
        <f t="shared" ref="AL31" ca="1" si="165">(AD31+LOG(I31)*4/3+N31)*0.7+(AC31+LOG(I31)*4/3+N31)*0.3</f>
        <v>1.7867522893769396</v>
      </c>
      <c r="AM31" s="9">
        <f t="shared" ref="AM31" ca="1" si="166">(0.5*(AC31+LOG(I31)*4/3+N31)+ 0.3*(AD31+LOG(I31)*4/3+N31))/10</f>
        <v>0.21574018315015517</v>
      </c>
      <c r="AN31" s="9">
        <f t="shared" ref="AN31" ca="1" si="167">(0.4*(Y31+LOG(I31)*4/3+N31)+0.3*(AD31+LOG(I31)*4/3+N31))/10</f>
        <v>0.13827266025638579</v>
      </c>
      <c r="AO31" s="22">
        <v>1</v>
      </c>
      <c r="AP31" s="22">
        <v>3</v>
      </c>
      <c r="AQ31" s="22">
        <v>1</v>
      </c>
      <c r="AR31" s="145">
        <f t="shared" ref="AR31" si="168">IF(AP31=4,IF(AQ31=0,0.137+0.0697,0.137+0.02),IF(AP31=3,IF(AQ31=0,0.0958+0.0697,0.0958+0.02),IF(AP31=2,IF(AQ31=0,0.0415+0.0697,0.0415+0.02),IF(AP31=1,IF(AQ31=0,0.0294+0.0697,0.0294+0.02),IF(AP31=0,IF(AQ31=0,0.0063+0.0697,0.0063+0.02))))))</f>
        <v>0.1158</v>
      </c>
      <c r="AS31">
        <v>610</v>
      </c>
    </row>
    <row r="32" spans="1:45" x14ac:dyDescent="0.25">
      <c r="A32" s="16"/>
      <c r="B32" s="16"/>
      <c r="C32" s="132"/>
      <c r="D32" s="31" t="s">
        <v>196</v>
      </c>
      <c r="E32" s="18"/>
      <c r="F32" s="19"/>
      <c r="G32" s="20"/>
      <c r="H32" s="5"/>
      <c r="I32" s="30"/>
      <c r="J32" s="24"/>
      <c r="K32" s="7"/>
      <c r="L32" s="7"/>
      <c r="M32" s="146"/>
      <c r="N32" s="147"/>
      <c r="O32" s="21"/>
      <c r="P32" s="22"/>
      <c r="Q32" s="22"/>
      <c r="R32" s="126"/>
      <c r="S32" s="126"/>
      <c r="T32" s="32"/>
      <c r="U32" s="32"/>
      <c r="V32" s="32"/>
      <c r="W32" s="9"/>
      <c r="X32" s="23"/>
      <c r="Y32" s="24"/>
      <c r="Z32" s="23"/>
      <c r="AA32" s="24"/>
      <c r="AB32" s="23"/>
      <c r="AC32" s="24"/>
      <c r="AD32" s="23"/>
      <c r="AE32" s="10"/>
      <c r="AF32" s="10"/>
      <c r="AG32" s="25"/>
      <c r="AH32" s="25"/>
      <c r="AI32" s="131"/>
      <c r="AJ32" s="131"/>
      <c r="AK32" s="9"/>
      <c r="AL32" s="9"/>
      <c r="AM32" s="9"/>
      <c r="AN32" s="9"/>
      <c r="AO32" s="22">
        <v>0</v>
      </c>
      <c r="AP32" s="22">
        <v>4</v>
      </c>
      <c r="AQ32" s="22">
        <v>0</v>
      </c>
      <c r="AR32" s="145">
        <f>IF(AP32=4,IF(AQ32=0,0.137+0.0697,0.137+0.02),IF(AP32=3,IF(AQ32=0,0.0958+0.0697,0.0958+0.02),IF(AP32=2,IF(AQ32=0,0.0415+0.0697,0.0415+0.02),IF(AP32=1,IF(AQ32=0,0.0294+0.0697,0.0294+0.02),IF(AP32=0,IF(AQ32=0,0.0063+0.0697,0.0063+0.02))))))</f>
        <v>0.20669999999999999</v>
      </c>
    </row>
    <row r="33" spans="22:22" x14ac:dyDescent="0.25">
      <c r="V33" s="75"/>
    </row>
    <row r="35" spans="22:22" x14ac:dyDescent="0.25">
      <c r="V35"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C4:C32">
    <cfRule type="colorScale" priority="38">
      <colorScale>
        <cfvo type="min"/>
        <cfvo type="max"/>
        <color rgb="FFFFEF9C"/>
        <color rgb="FF63BE7B"/>
      </colorScale>
    </cfRule>
  </conditionalFormatting>
  <conditionalFormatting sqref="I4:I32">
    <cfRule type="cellIs" dxfId="40" priority="37" operator="lessThan">
      <formula>6</formula>
    </cfRule>
  </conditionalFormatting>
  <conditionalFormatting sqref="N4:N32">
    <cfRule type="cellIs" dxfId="39" priority="36" operator="lessThan">
      <formula>0.75</formula>
    </cfRule>
  </conditionalFormatting>
  <conditionalFormatting sqref="P4:P32">
    <cfRule type="cellIs" dxfId="38" priority="34" operator="greaterThan">
      <formula>90</formula>
    </cfRule>
    <cfRule type="cellIs" dxfId="37" priority="35" operator="lessThan">
      <formula>85</formula>
    </cfRule>
  </conditionalFormatting>
  <conditionalFormatting sqref="R4:S32">
    <cfRule type="colorScale" priority="33">
      <colorScale>
        <cfvo type="min"/>
        <cfvo type="percentile" val="50"/>
        <cfvo type="max"/>
        <color rgb="FFF8696B"/>
        <color rgb="FFFFEB84"/>
        <color rgb="FF63BE7B"/>
      </colorScale>
    </cfRule>
  </conditionalFormatting>
  <conditionalFormatting sqref="T4:T32">
    <cfRule type="dataBar" priority="3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32">
    <cfRule type="dataBar" priority="31">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32">
    <cfRule type="dataBar" priority="30">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32">
    <cfRule type="dataBar" priority="29">
      <dataBar>
        <cfvo type="min"/>
        <cfvo type="max"/>
        <color rgb="FFFFB628"/>
      </dataBar>
      <extLst>
        <ext xmlns:x14="http://schemas.microsoft.com/office/spreadsheetml/2009/9/main" uri="{B025F937-C7B1-47D3-B67F-A62EFF666E3E}">
          <x14:id>{BC0019C4-5DF2-4032-8F76-A8A2E8FCCC3F}</x14:id>
        </ext>
      </extLst>
    </cfRule>
  </conditionalFormatting>
  <conditionalFormatting sqref="X4:AD18">
    <cfRule type="cellIs" dxfId="36" priority="27" operator="greaterThan">
      <formula>10</formula>
    </cfRule>
    <cfRule type="colorScale" priority="28">
      <colorScale>
        <cfvo type="min"/>
        <cfvo type="max"/>
        <color rgb="FFFFEF9C"/>
        <color rgb="FF63BE7B"/>
      </colorScale>
    </cfRule>
  </conditionalFormatting>
  <conditionalFormatting sqref="AE4:AF32">
    <cfRule type="dataBar" priority="26">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32">
    <cfRule type="colorScale" priority="25">
      <colorScale>
        <cfvo type="min"/>
        <cfvo type="percentile" val="50"/>
        <cfvo type="max"/>
        <color rgb="FFF8696B"/>
        <color rgb="FFFFEB84"/>
        <color rgb="FF63BE7B"/>
      </colorScale>
    </cfRule>
  </conditionalFormatting>
  <conditionalFormatting sqref="AI4:AJ32">
    <cfRule type="colorScale" priority="24">
      <colorScale>
        <cfvo type="min"/>
        <cfvo type="percentile" val="50"/>
        <cfvo type="max"/>
        <color rgb="FFF8696B"/>
        <color rgb="FFFFEB84"/>
        <color rgb="FF63BE7B"/>
      </colorScale>
    </cfRule>
  </conditionalFormatting>
  <conditionalFormatting sqref="AK4:AK32">
    <cfRule type="colorScale" priority="23">
      <colorScale>
        <cfvo type="min"/>
        <cfvo type="percentile" val="50"/>
        <cfvo type="max"/>
        <color rgb="FFF8696B"/>
        <color rgb="FFFFEB84"/>
        <color rgb="FF63BE7B"/>
      </colorScale>
    </cfRule>
  </conditionalFormatting>
  <conditionalFormatting sqref="AL4:AL32">
    <cfRule type="colorScale" priority="22">
      <colorScale>
        <cfvo type="min"/>
        <cfvo type="percentile" val="50"/>
        <cfvo type="max"/>
        <color rgb="FFF8696B"/>
        <color rgb="FFFFEB84"/>
        <color rgb="FF63BE7B"/>
      </colorScale>
    </cfRule>
  </conditionalFormatting>
  <conditionalFormatting sqref="AM4:AN32">
    <cfRule type="colorScale" priority="21">
      <colorScale>
        <cfvo type="min"/>
        <cfvo type="percentile" val="50"/>
        <cfvo type="max"/>
        <color rgb="FFF8696B"/>
        <color rgb="FFFFEB84"/>
        <color rgb="FF63BE7B"/>
      </colorScale>
    </cfRule>
  </conditionalFormatting>
  <conditionalFormatting sqref="AR4:AR32">
    <cfRule type="colorScale" priority="20">
      <colorScale>
        <cfvo type="min"/>
        <cfvo type="percentile" val="50"/>
        <cfvo type="max"/>
        <color rgb="FF63BE7B"/>
        <color rgb="FFFFEB84"/>
        <color rgb="FFF8696B"/>
      </colorScale>
    </cfRule>
  </conditionalFormatting>
  <conditionalFormatting sqref="X19:AD32">
    <cfRule type="colorScale" priority="19">
      <colorScale>
        <cfvo type="min"/>
        <cfvo type="max"/>
        <color rgb="FFFCFCFF"/>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T4:T32</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V4:V32</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U4:U32</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W4:W32</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Z31"/>
  <sheetViews>
    <sheetView zoomScale="90" zoomScaleNormal="90" workbookViewId="0">
      <selection activeCell="Q8" sqref="Q8"/>
    </sheetView>
  </sheetViews>
  <sheetFormatPr baseColWidth="10"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 min="21" max="21" width="7.7109375" bestFit="1" customWidth="1"/>
    <col min="22" max="22" width="22" bestFit="1" customWidth="1"/>
    <col min="23" max="24" width="6" bestFit="1" customWidth="1"/>
    <col min="25" max="26" width="4.85546875" bestFit="1" customWidth="1"/>
  </cols>
  <sheetData>
    <row r="1" spans="1:26" x14ac:dyDescent="0.25">
      <c r="A1" s="33">
        <v>43062</v>
      </c>
      <c r="E1" s="248" t="s">
        <v>456</v>
      </c>
      <c r="F1" s="249" t="s">
        <v>457</v>
      </c>
      <c r="G1" s="250"/>
      <c r="H1" s="250"/>
      <c r="I1" s="251" t="s">
        <v>456</v>
      </c>
      <c r="J1" s="252" t="s">
        <v>457</v>
      </c>
      <c r="K1" s="98"/>
      <c r="P1" s="248" t="s">
        <v>456</v>
      </c>
      <c r="Q1" s="249" t="s">
        <v>457</v>
      </c>
      <c r="R1" s="248"/>
      <c r="S1" s="249"/>
      <c r="V1" s="119"/>
      <c r="W1" s="248" t="s">
        <v>456</v>
      </c>
      <c r="X1" s="249" t="s">
        <v>457</v>
      </c>
      <c r="Y1" s="248"/>
      <c r="Z1" s="249"/>
    </row>
    <row r="2" spans="1:26" x14ac:dyDescent="0.25">
      <c r="A2" s="253" t="s">
        <v>3</v>
      </c>
      <c r="B2" s="253" t="s">
        <v>458</v>
      </c>
      <c r="C2" s="253" t="s">
        <v>459</v>
      </c>
      <c r="D2" s="253" t="s">
        <v>18</v>
      </c>
      <c r="E2" s="248" t="s">
        <v>8</v>
      </c>
      <c r="F2" s="249" t="s">
        <v>8</v>
      </c>
      <c r="G2" s="250" t="s">
        <v>7</v>
      </c>
      <c r="H2" s="250" t="s">
        <v>7</v>
      </c>
      <c r="I2" s="251" t="s">
        <v>460</v>
      </c>
      <c r="J2" s="252" t="s">
        <v>460</v>
      </c>
      <c r="K2" s="98"/>
      <c r="P2" s="248" t="s">
        <v>8</v>
      </c>
      <c r="Q2" s="249" t="s">
        <v>8</v>
      </c>
      <c r="R2" s="248" t="s">
        <v>7</v>
      </c>
      <c r="S2" s="249" t="s">
        <v>7</v>
      </c>
      <c r="V2" s="119"/>
      <c r="W2" s="248" t="s">
        <v>8</v>
      </c>
      <c r="X2" s="249" t="s">
        <v>8</v>
      </c>
      <c r="Y2" s="248" t="s">
        <v>7</v>
      </c>
      <c r="Z2" s="249" t="s">
        <v>7</v>
      </c>
    </row>
    <row r="3" spans="1:26" x14ac:dyDescent="0.25">
      <c r="A3" s="254" t="str">
        <f>PLANTILLA!D4</f>
        <v>Damián Sala</v>
      </c>
      <c r="B3" s="255">
        <f>PLANTILLA!E4</f>
        <v>30</v>
      </c>
      <c r="C3" s="255">
        <f>PLANTILLA!H4</f>
        <v>2</v>
      </c>
      <c r="D3" s="256">
        <f>PLANTILLA!I4</f>
        <v>10.6</v>
      </c>
      <c r="E3" s="257">
        <f>D3</f>
        <v>10.6</v>
      </c>
      <c r="F3" s="257">
        <f>E3+0.1</f>
        <v>10.7</v>
      </c>
      <c r="G3" s="257">
        <f>C3</f>
        <v>2</v>
      </c>
      <c r="H3" s="257">
        <f t="shared" ref="H3" si="0">G3+0.99</f>
        <v>2.99</v>
      </c>
      <c r="I3" s="258">
        <f t="shared" ref="I3:J3" si="1">G3*G3*E3</f>
        <v>42.4</v>
      </c>
      <c r="J3" s="258">
        <f t="shared" si="1"/>
        <v>95.65907</v>
      </c>
      <c r="K3" s="259"/>
      <c r="N3" s="56" t="s">
        <v>460</v>
      </c>
      <c r="O3" t="str">
        <f>A15</f>
        <v>Saul Piña</v>
      </c>
      <c r="P3" s="260">
        <f>E15</f>
        <v>8.4</v>
      </c>
      <c r="Q3" s="260">
        <f t="shared" ref="Q3:S3" si="2">F15</f>
        <v>8.5</v>
      </c>
      <c r="R3" s="260">
        <f t="shared" si="2"/>
        <v>6</v>
      </c>
      <c r="S3" s="260">
        <f t="shared" si="2"/>
        <v>6.99</v>
      </c>
      <c r="U3" s="56" t="s">
        <v>460</v>
      </c>
      <c r="V3" s="119" t="str">
        <f>A8</f>
        <v>Ibiur Altxakoa</v>
      </c>
      <c r="W3" s="260">
        <f>E8</f>
        <v>10.9</v>
      </c>
      <c r="X3" s="260">
        <f t="shared" ref="X3:Z3" si="3">F8</f>
        <v>11</v>
      </c>
      <c r="Y3" s="260">
        <f t="shared" si="3"/>
        <v>3</v>
      </c>
      <c r="Z3" s="260">
        <f t="shared" si="3"/>
        <v>3.99</v>
      </c>
    </row>
    <row r="4" spans="1:26" x14ac:dyDescent="0.25">
      <c r="A4" s="254" t="str">
        <f>PLANTILLA!D5</f>
        <v>Mario Omarini</v>
      </c>
      <c r="B4" s="255">
        <f>PLANTILLA!E5</f>
        <v>31</v>
      </c>
      <c r="C4" s="255">
        <f>PLANTILLA!H5</f>
        <v>3</v>
      </c>
      <c r="D4" s="256">
        <f>PLANTILLA!I5</f>
        <v>9.6999999999999993</v>
      </c>
      <c r="E4" s="257">
        <f t="shared" ref="E4:E31" si="4">D4</f>
        <v>9.6999999999999993</v>
      </c>
      <c r="F4" s="257">
        <f t="shared" ref="F4:F31" si="5">E4+0.1</f>
        <v>9.7999999999999989</v>
      </c>
      <c r="G4" s="257">
        <f t="shared" ref="G4:G31" si="6">C4</f>
        <v>3</v>
      </c>
      <c r="H4" s="257">
        <f t="shared" ref="H4:H31" si="7">G4+0.99</f>
        <v>3.99</v>
      </c>
      <c r="I4" s="258">
        <f t="shared" ref="I4:I31" si="8">G4*G4*E4</f>
        <v>87.3</v>
      </c>
      <c r="J4" s="258">
        <f t="shared" ref="J4:J31" si="9">H4*H4*F4</f>
        <v>156.01697999999999</v>
      </c>
      <c r="K4" s="259"/>
      <c r="O4" t="str">
        <f>A5</f>
        <v>Csaba Mező</v>
      </c>
      <c r="P4" s="260">
        <f>E5</f>
        <v>9.1</v>
      </c>
      <c r="Q4" s="260">
        <f t="shared" ref="Q4:S4" si="10">F5</f>
        <v>9.1999999999999993</v>
      </c>
      <c r="R4" s="260">
        <f t="shared" si="10"/>
        <v>3</v>
      </c>
      <c r="S4" s="260">
        <f t="shared" si="10"/>
        <v>3.99</v>
      </c>
      <c r="V4" s="119" t="str">
        <f>A4</f>
        <v>Mario Omarini</v>
      </c>
      <c r="W4" s="260">
        <f>E4</f>
        <v>9.6999999999999993</v>
      </c>
      <c r="X4" s="260">
        <f t="shared" ref="X4:Z4" si="11">F4</f>
        <v>9.7999999999999989</v>
      </c>
      <c r="Y4" s="260">
        <f t="shared" si="11"/>
        <v>3</v>
      </c>
      <c r="Z4" s="260">
        <f t="shared" si="11"/>
        <v>3.99</v>
      </c>
    </row>
    <row r="5" spans="1:26" x14ac:dyDescent="0.25">
      <c r="A5" s="254" t="str">
        <f>PLANTILLA!D6</f>
        <v>Csaba Mező</v>
      </c>
      <c r="B5" s="255">
        <f>PLANTILLA!E6</f>
        <v>31</v>
      </c>
      <c r="C5" s="255">
        <f>PLANTILLA!H6</f>
        <v>3</v>
      </c>
      <c r="D5" s="256">
        <f>PLANTILLA!I6</f>
        <v>9.1</v>
      </c>
      <c r="E5" s="257">
        <f t="shared" si="4"/>
        <v>9.1</v>
      </c>
      <c r="F5" s="257">
        <f t="shared" si="5"/>
        <v>9.1999999999999993</v>
      </c>
      <c r="G5" s="257">
        <f t="shared" si="6"/>
        <v>3</v>
      </c>
      <c r="H5" s="257">
        <f t="shared" si="7"/>
        <v>3.99</v>
      </c>
      <c r="I5" s="258">
        <f t="shared" si="8"/>
        <v>81.899999999999991</v>
      </c>
      <c r="J5" s="258">
        <f t="shared" si="9"/>
        <v>146.46492000000001</v>
      </c>
      <c r="K5" s="259"/>
      <c r="L5" s="159"/>
      <c r="O5" t="str">
        <f>A8</f>
        <v>Ibiur Altxakoa</v>
      </c>
      <c r="P5" s="260">
        <f>E8</f>
        <v>10.9</v>
      </c>
      <c r="Q5" s="260">
        <f t="shared" ref="Q5:S5" si="12">F8</f>
        <v>11</v>
      </c>
      <c r="R5" s="260">
        <f t="shared" si="12"/>
        <v>3</v>
      </c>
      <c r="S5" s="260">
        <f t="shared" si="12"/>
        <v>3.99</v>
      </c>
      <c r="V5" s="119" t="str">
        <f>A12</f>
        <v>Iyad Chaabo</v>
      </c>
      <c r="W5" s="260">
        <f>E12</f>
        <v>8.6999999999999993</v>
      </c>
      <c r="X5" s="260">
        <f t="shared" ref="X5:Z5" si="13">F12</f>
        <v>8.7999999999999989</v>
      </c>
      <c r="Y5" s="260">
        <f t="shared" si="13"/>
        <v>2</v>
      </c>
      <c r="Z5" s="260">
        <f t="shared" si="13"/>
        <v>2.99</v>
      </c>
    </row>
    <row r="6" spans="1:26" x14ac:dyDescent="0.25">
      <c r="A6" s="254" t="str">
        <f>PLANTILLA!D7</f>
        <v>Mateuz Brzostowski</v>
      </c>
      <c r="B6" s="255">
        <f>PLANTILLA!E7</f>
        <v>31</v>
      </c>
      <c r="C6" s="255">
        <f>PLANTILLA!H7</f>
        <v>2</v>
      </c>
      <c r="D6" s="256">
        <f>PLANTILLA!I7</f>
        <v>8.9</v>
      </c>
      <c r="E6" s="257">
        <f t="shared" si="4"/>
        <v>8.9</v>
      </c>
      <c r="F6" s="257">
        <f t="shared" si="5"/>
        <v>9</v>
      </c>
      <c r="G6" s="257">
        <f t="shared" si="6"/>
        <v>2</v>
      </c>
      <c r="H6" s="257">
        <f t="shared" si="7"/>
        <v>2.99</v>
      </c>
      <c r="I6" s="258">
        <f t="shared" si="8"/>
        <v>35.6</v>
      </c>
      <c r="J6" s="258">
        <f t="shared" si="9"/>
        <v>80.460900000000009</v>
      </c>
      <c r="K6" s="259"/>
      <c r="O6" t="str">
        <f>A4</f>
        <v>Mario Omarini</v>
      </c>
      <c r="P6" s="260">
        <f>E4</f>
        <v>9.6999999999999993</v>
      </c>
      <c r="Q6" s="260">
        <f t="shared" ref="Q6:S6" si="14">F4</f>
        <v>9.7999999999999989</v>
      </c>
      <c r="R6" s="260">
        <f t="shared" si="14"/>
        <v>3</v>
      </c>
      <c r="S6" s="260">
        <f t="shared" si="14"/>
        <v>3.99</v>
      </c>
      <c r="V6" s="119" t="str">
        <f>A9</f>
        <v>Jorge W. Whitaker</v>
      </c>
      <c r="W6" s="260">
        <f>E9</f>
        <v>9.1999999999999993</v>
      </c>
      <c r="X6" s="260">
        <f t="shared" ref="X6:Z6" si="15">F9</f>
        <v>9.2999999999999989</v>
      </c>
      <c r="Y6" s="260">
        <f t="shared" si="15"/>
        <v>2</v>
      </c>
      <c r="Z6" s="260">
        <f t="shared" si="15"/>
        <v>2.99</v>
      </c>
    </row>
    <row r="7" spans="1:26" x14ac:dyDescent="0.25">
      <c r="A7" s="254" t="str">
        <f>PLANTILLA!D8</f>
        <v>Andrea Califano</v>
      </c>
      <c r="B7" s="255">
        <f>PLANTILLA!E8</f>
        <v>31</v>
      </c>
      <c r="C7" s="255">
        <f>PLANTILLA!H8</f>
        <v>3</v>
      </c>
      <c r="D7" s="256">
        <f>PLANTILLA!I8</f>
        <v>8.3000000000000007</v>
      </c>
      <c r="E7" s="257">
        <f t="shared" si="4"/>
        <v>8.3000000000000007</v>
      </c>
      <c r="F7" s="257">
        <f t="shared" si="5"/>
        <v>8.4</v>
      </c>
      <c r="G7" s="257">
        <f t="shared" si="6"/>
        <v>3</v>
      </c>
      <c r="H7" s="257">
        <f t="shared" si="7"/>
        <v>3.99</v>
      </c>
      <c r="I7" s="258">
        <f t="shared" si="8"/>
        <v>74.7</v>
      </c>
      <c r="J7" s="258">
        <f t="shared" si="9"/>
        <v>133.72884000000002</v>
      </c>
      <c r="K7" s="259"/>
      <c r="O7" t="str">
        <f>A3</f>
        <v>Damián Sala</v>
      </c>
      <c r="P7" s="260">
        <f>E3</f>
        <v>10.6</v>
      </c>
      <c r="Q7" s="260">
        <f t="shared" ref="Q7:S7" si="16">F3</f>
        <v>10.7</v>
      </c>
      <c r="R7" s="260">
        <f t="shared" si="16"/>
        <v>2</v>
      </c>
      <c r="S7" s="260">
        <f t="shared" si="16"/>
        <v>2.99</v>
      </c>
      <c r="V7" s="119" t="str">
        <f>A17</f>
        <v>Rasheed Da'na</v>
      </c>
      <c r="W7" s="260">
        <f>E17</f>
        <v>9.5</v>
      </c>
      <c r="X7" s="260">
        <f t="shared" ref="X7:Z7" si="17">F17</f>
        <v>9.6</v>
      </c>
      <c r="Y7" s="260">
        <f t="shared" si="17"/>
        <v>1</v>
      </c>
      <c r="Z7" s="260">
        <f t="shared" si="17"/>
        <v>1.99</v>
      </c>
    </row>
    <row r="8" spans="1:26" x14ac:dyDescent="0.25">
      <c r="A8" s="254" t="str">
        <f>PLANTILLA!D9</f>
        <v>Ibiur Altxakoa</v>
      </c>
      <c r="B8" s="255">
        <f>PLANTILLA!E9</f>
        <v>32</v>
      </c>
      <c r="C8" s="255">
        <f>PLANTILLA!H9</f>
        <v>3</v>
      </c>
      <c r="D8" s="256">
        <f>PLANTILLA!I9</f>
        <v>10.9</v>
      </c>
      <c r="E8" s="257">
        <f t="shared" si="4"/>
        <v>10.9</v>
      </c>
      <c r="F8" s="257">
        <f t="shared" si="5"/>
        <v>11</v>
      </c>
      <c r="G8" s="257">
        <f t="shared" si="6"/>
        <v>3</v>
      </c>
      <c r="H8" s="257">
        <f t="shared" si="7"/>
        <v>3.99</v>
      </c>
      <c r="I8" s="258">
        <f t="shared" si="8"/>
        <v>98.100000000000009</v>
      </c>
      <c r="J8" s="258">
        <f t="shared" si="9"/>
        <v>175.12110000000001</v>
      </c>
      <c r="K8" s="259"/>
      <c r="O8" t="str">
        <f>A13</f>
        <v>Morgan Thomas</v>
      </c>
      <c r="P8" s="260">
        <f>E13</f>
        <v>10.199999999999999</v>
      </c>
      <c r="Q8" s="260">
        <f t="shared" ref="Q8:S8" si="18">F13</f>
        <v>10.299999999999999</v>
      </c>
      <c r="R8" s="260">
        <f t="shared" si="18"/>
        <v>1</v>
      </c>
      <c r="S8" s="260">
        <f t="shared" si="18"/>
        <v>1.99</v>
      </c>
      <c r="V8" s="119" t="str">
        <f>A7</f>
        <v>Andrea Califano</v>
      </c>
      <c r="W8" s="260">
        <f>E7</f>
        <v>8.3000000000000007</v>
      </c>
      <c r="X8" s="260">
        <f t="shared" ref="X8:Z8" si="19">F7</f>
        <v>8.4</v>
      </c>
      <c r="Y8" s="260">
        <f t="shared" si="19"/>
        <v>3</v>
      </c>
      <c r="Z8" s="260">
        <f t="shared" si="19"/>
        <v>3.99</v>
      </c>
    </row>
    <row r="9" spans="1:26" x14ac:dyDescent="0.25">
      <c r="A9" s="254" t="str">
        <f>PLANTILLA!D10</f>
        <v>Jorge W. Whitaker</v>
      </c>
      <c r="B9" s="255">
        <f>PLANTILLA!E10</f>
        <v>31</v>
      </c>
      <c r="C9" s="255">
        <f>PLANTILLA!H10</f>
        <v>2</v>
      </c>
      <c r="D9" s="256">
        <f>PLANTILLA!I10</f>
        <v>9.1999999999999993</v>
      </c>
      <c r="E9" s="257">
        <f t="shared" si="4"/>
        <v>9.1999999999999993</v>
      </c>
      <c r="F9" s="257">
        <f t="shared" si="5"/>
        <v>9.2999999999999989</v>
      </c>
      <c r="G9" s="257">
        <f t="shared" si="6"/>
        <v>2</v>
      </c>
      <c r="H9" s="257">
        <f t="shared" si="7"/>
        <v>2.99</v>
      </c>
      <c r="I9" s="258">
        <f t="shared" si="8"/>
        <v>36.799999999999997</v>
      </c>
      <c r="J9" s="258">
        <f t="shared" si="9"/>
        <v>83.142930000000007</v>
      </c>
      <c r="K9" s="259"/>
      <c r="O9" t="str">
        <f>A16</f>
        <v>Adam Moss</v>
      </c>
      <c r="P9" s="260">
        <f>E16</f>
        <v>9.8000000000000007</v>
      </c>
      <c r="Q9" s="260">
        <f t="shared" ref="Q9:S9" si="20">F16</f>
        <v>9.9</v>
      </c>
      <c r="R9" s="260">
        <f t="shared" si="20"/>
        <v>1</v>
      </c>
      <c r="S9" s="260">
        <f t="shared" si="20"/>
        <v>1.99</v>
      </c>
      <c r="V9" s="119" t="str">
        <f>A14</f>
        <v>Gianfranco Rezza</v>
      </c>
      <c r="W9" s="260">
        <f>E14</f>
        <v>9.3000000000000007</v>
      </c>
      <c r="X9" s="260">
        <f t="shared" ref="X9:Z9" si="21">F14</f>
        <v>9.4</v>
      </c>
      <c r="Y9" s="260">
        <f t="shared" si="21"/>
        <v>4</v>
      </c>
      <c r="Z9" s="260">
        <f t="shared" si="21"/>
        <v>4.99</v>
      </c>
    </row>
    <row r="10" spans="1:26" x14ac:dyDescent="0.25">
      <c r="A10" s="254" t="str">
        <f>PLANTILLA!D11</f>
        <v>Emilio Mochelato</v>
      </c>
      <c r="B10" s="255">
        <f>PLANTILLA!E11</f>
        <v>32</v>
      </c>
      <c r="C10" s="255">
        <f>PLANTILLA!H11</f>
        <v>1</v>
      </c>
      <c r="D10" s="256">
        <f>PLANTILLA!I11</f>
        <v>10.5</v>
      </c>
      <c r="E10" s="257">
        <f t="shared" si="4"/>
        <v>10.5</v>
      </c>
      <c r="F10" s="257">
        <f t="shared" si="5"/>
        <v>10.6</v>
      </c>
      <c r="G10" s="257">
        <f t="shared" si="6"/>
        <v>1</v>
      </c>
      <c r="H10" s="257">
        <f t="shared" si="7"/>
        <v>1.99</v>
      </c>
      <c r="I10" s="258">
        <f t="shared" si="8"/>
        <v>10.5</v>
      </c>
      <c r="J10" s="258">
        <f t="shared" si="9"/>
        <v>41.977060000000002</v>
      </c>
      <c r="K10" s="259"/>
      <c r="O10" t="str">
        <f>A14</f>
        <v>Gianfranco Rezza</v>
      </c>
      <c r="P10" s="260">
        <f>E14</f>
        <v>9.3000000000000007</v>
      </c>
      <c r="Q10" s="260">
        <f t="shared" ref="Q10:S10" si="22">F14</f>
        <v>9.4</v>
      </c>
      <c r="R10" s="260">
        <f t="shared" si="22"/>
        <v>4</v>
      </c>
      <c r="S10" s="260">
        <f t="shared" si="22"/>
        <v>4.99</v>
      </c>
      <c r="V10" s="119" t="str">
        <f>A13</f>
        <v>Morgan Thomas</v>
      </c>
      <c r="W10" s="260">
        <f>E13</f>
        <v>10.199999999999999</v>
      </c>
      <c r="X10" s="260">
        <f t="shared" ref="X10:Z10" si="23">F13</f>
        <v>10.299999999999999</v>
      </c>
      <c r="Y10" s="260">
        <f t="shared" si="23"/>
        <v>1</v>
      </c>
      <c r="Z10" s="260">
        <f t="shared" si="23"/>
        <v>1.99</v>
      </c>
    </row>
    <row r="11" spans="1:26" x14ac:dyDescent="0.25">
      <c r="A11" s="254" t="str">
        <f>PLANTILLA!D12</f>
        <v>Cezary Pauch</v>
      </c>
      <c r="B11" s="255">
        <f>PLANTILLA!E12</f>
        <v>30</v>
      </c>
      <c r="C11" s="255">
        <f>PLANTILLA!H12</f>
        <v>2</v>
      </c>
      <c r="D11" s="256">
        <f>PLANTILLA!I12</f>
        <v>6.1</v>
      </c>
      <c r="E11" s="257">
        <f t="shared" si="4"/>
        <v>6.1</v>
      </c>
      <c r="F11" s="257">
        <f t="shared" si="5"/>
        <v>6.1999999999999993</v>
      </c>
      <c r="G11" s="257">
        <f t="shared" si="6"/>
        <v>2</v>
      </c>
      <c r="H11" s="257">
        <f t="shared" si="7"/>
        <v>2.99</v>
      </c>
      <c r="I11" s="258">
        <f t="shared" si="8"/>
        <v>24.4</v>
      </c>
      <c r="J11" s="258">
        <f t="shared" si="9"/>
        <v>55.428620000000002</v>
      </c>
      <c r="K11" s="259"/>
      <c r="O11" t="str">
        <f>A10</f>
        <v>Emilio Mochelato</v>
      </c>
      <c r="P11" s="260">
        <f>E10</f>
        <v>10.5</v>
      </c>
      <c r="Q11" s="260">
        <f t="shared" ref="Q11:S11" si="24">F10</f>
        <v>10.6</v>
      </c>
      <c r="R11" s="260">
        <f t="shared" si="24"/>
        <v>1</v>
      </c>
      <c r="S11" s="260">
        <f t="shared" si="24"/>
        <v>1.99</v>
      </c>
      <c r="V11" s="119" t="str">
        <f>A16</f>
        <v>Adam Moss</v>
      </c>
      <c r="W11" s="260">
        <f>E16</f>
        <v>9.8000000000000007</v>
      </c>
      <c r="X11" s="260">
        <f t="shared" ref="X11:Z11" si="25">F16</f>
        <v>9.9</v>
      </c>
      <c r="Y11" s="260">
        <f t="shared" si="25"/>
        <v>1</v>
      </c>
      <c r="Z11" s="260">
        <f t="shared" si="25"/>
        <v>1.99</v>
      </c>
    </row>
    <row r="12" spans="1:26" x14ac:dyDescent="0.25">
      <c r="A12" s="254" t="str">
        <f>PLANTILLA!D13</f>
        <v>Iyad Chaabo</v>
      </c>
      <c r="B12" s="255">
        <f>PLANTILLA!E13</f>
        <v>31</v>
      </c>
      <c r="C12" s="255">
        <f>PLANTILLA!H13</f>
        <v>2</v>
      </c>
      <c r="D12" s="256">
        <f>PLANTILLA!I13</f>
        <v>8.6999999999999993</v>
      </c>
      <c r="E12" s="257">
        <f t="shared" si="4"/>
        <v>8.6999999999999993</v>
      </c>
      <c r="F12" s="257">
        <f t="shared" si="5"/>
        <v>8.7999999999999989</v>
      </c>
      <c r="G12" s="257">
        <f t="shared" si="6"/>
        <v>2</v>
      </c>
      <c r="H12" s="257">
        <f t="shared" si="7"/>
        <v>2.99</v>
      </c>
      <c r="I12" s="258">
        <f t="shared" si="8"/>
        <v>34.799999999999997</v>
      </c>
      <c r="J12" s="258">
        <f t="shared" si="9"/>
        <v>78.672880000000006</v>
      </c>
      <c r="K12" s="259"/>
      <c r="O12" t="str">
        <f>A17</f>
        <v>Rasheed Da'na</v>
      </c>
      <c r="P12" s="260">
        <f>E17</f>
        <v>9.5</v>
      </c>
      <c r="Q12" s="260">
        <f t="shared" ref="Q12:S12" si="26">F17</f>
        <v>9.6</v>
      </c>
      <c r="R12" s="260">
        <f t="shared" si="26"/>
        <v>1</v>
      </c>
      <c r="S12" s="260">
        <f t="shared" si="26"/>
        <v>1.99</v>
      </c>
      <c r="V12" s="119" t="str">
        <f>A15</f>
        <v>Saul Piña</v>
      </c>
      <c r="W12" s="260">
        <f>E15</f>
        <v>8.4</v>
      </c>
      <c r="X12" s="260">
        <f t="shared" ref="X12:Z12" si="27">F15</f>
        <v>8.5</v>
      </c>
      <c r="Y12" s="260">
        <f t="shared" si="27"/>
        <v>6</v>
      </c>
      <c r="Z12" s="260">
        <f t="shared" si="27"/>
        <v>6.99</v>
      </c>
    </row>
    <row r="13" spans="1:26" x14ac:dyDescent="0.25">
      <c r="A13" s="254" t="str">
        <f>PLANTILLA!D14</f>
        <v>Morgan Thomas</v>
      </c>
      <c r="B13" s="255">
        <f>PLANTILLA!E14</f>
        <v>32</v>
      </c>
      <c r="C13" s="255">
        <f>PLANTILLA!H14</f>
        <v>1</v>
      </c>
      <c r="D13" s="256">
        <f>PLANTILLA!I14</f>
        <v>10.199999999999999</v>
      </c>
      <c r="E13" s="257">
        <f t="shared" si="4"/>
        <v>10.199999999999999</v>
      </c>
      <c r="F13" s="257">
        <f t="shared" si="5"/>
        <v>10.299999999999999</v>
      </c>
      <c r="G13" s="257">
        <f t="shared" si="6"/>
        <v>1</v>
      </c>
      <c r="H13" s="257">
        <f t="shared" si="7"/>
        <v>1.99</v>
      </c>
      <c r="I13" s="258">
        <f t="shared" si="8"/>
        <v>10.199999999999999</v>
      </c>
      <c r="J13" s="258">
        <f t="shared" si="9"/>
        <v>40.789029999999997</v>
      </c>
      <c r="K13" s="259"/>
      <c r="O13" t="str">
        <f>A12</f>
        <v>Iyad Chaabo</v>
      </c>
      <c r="P13" s="260">
        <f>E12</f>
        <v>8.6999999999999993</v>
      </c>
      <c r="Q13" s="260">
        <f t="shared" ref="Q13:S13" si="28">F12</f>
        <v>8.7999999999999989</v>
      </c>
      <c r="R13" s="260">
        <f t="shared" si="28"/>
        <v>2</v>
      </c>
      <c r="S13" s="260">
        <f t="shared" si="28"/>
        <v>2.99</v>
      </c>
      <c r="V13" s="119" t="str">
        <f>A22</f>
        <v>Santiago Serra</v>
      </c>
      <c r="W13" s="260">
        <f>E22</f>
        <v>1</v>
      </c>
      <c r="X13" s="260">
        <f t="shared" ref="X13:Z13" si="29">F22</f>
        <v>1.1000000000000001</v>
      </c>
      <c r="Y13" s="260">
        <f t="shared" si="29"/>
        <v>4</v>
      </c>
      <c r="Z13" s="260">
        <f t="shared" si="29"/>
        <v>4.99</v>
      </c>
    </row>
    <row r="14" spans="1:26" x14ac:dyDescent="0.25">
      <c r="A14" s="254" t="str">
        <f>PLANTILLA!D15</f>
        <v>Gianfranco Rezza</v>
      </c>
      <c r="B14" s="255">
        <f>PLANTILLA!E15</f>
        <v>30</v>
      </c>
      <c r="C14" s="255">
        <f>PLANTILLA!H15</f>
        <v>4</v>
      </c>
      <c r="D14" s="256">
        <f>PLANTILLA!I15</f>
        <v>9.3000000000000007</v>
      </c>
      <c r="E14" s="257">
        <f t="shared" si="4"/>
        <v>9.3000000000000007</v>
      </c>
      <c r="F14" s="257">
        <f t="shared" si="5"/>
        <v>9.4</v>
      </c>
      <c r="G14" s="257">
        <f t="shared" si="6"/>
        <v>4</v>
      </c>
      <c r="H14" s="257">
        <f t="shared" si="7"/>
        <v>4.99</v>
      </c>
      <c r="I14" s="258">
        <f t="shared" si="8"/>
        <v>148.80000000000001</v>
      </c>
      <c r="J14" s="258">
        <f t="shared" si="9"/>
        <v>234.06094000000002</v>
      </c>
      <c r="K14" s="259"/>
      <c r="P14" s="40">
        <f>SUM(P4:P13)/10</f>
        <v>9.83</v>
      </c>
      <c r="Q14" s="40">
        <f>SUM(Q4:Q13)/10</f>
        <v>9.9299999999999979</v>
      </c>
      <c r="R14" s="40"/>
      <c r="S14" s="40"/>
      <c r="V14" s="119"/>
      <c r="W14" s="40">
        <f>SUM(W4:W13)/10</f>
        <v>8.41</v>
      </c>
      <c r="X14" s="40">
        <f>SUM(X4:X13)/10</f>
        <v>8.51</v>
      </c>
      <c r="Y14" s="40"/>
      <c r="Z14" s="40"/>
    </row>
    <row r="15" spans="1:26" x14ac:dyDescent="0.25">
      <c r="A15" s="254" t="str">
        <f>PLANTILLA!D16</f>
        <v>Saul Piña</v>
      </c>
      <c r="B15" s="255">
        <f>PLANTILLA!E16</f>
        <v>29</v>
      </c>
      <c r="C15" s="255">
        <f>PLANTILLA!H16</f>
        <v>6</v>
      </c>
      <c r="D15" s="256">
        <f>PLANTILLA!I16</f>
        <v>8.4</v>
      </c>
      <c r="E15" s="257">
        <f t="shared" si="4"/>
        <v>8.4</v>
      </c>
      <c r="F15" s="257">
        <f t="shared" si="5"/>
        <v>8.5</v>
      </c>
      <c r="G15" s="257">
        <f t="shared" si="6"/>
        <v>6</v>
      </c>
      <c r="H15" s="257">
        <f t="shared" si="7"/>
        <v>6.99</v>
      </c>
      <c r="I15" s="258">
        <f t="shared" si="8"/>
        <v>302.40000000000003</v>
      </c>
      <c r="J15" s="258">
        <f t="shared" si="9"/>
        <v>415.31085000000002</v>
      </c>
      <c r="K15" s="259"/>
      <c r="V15" s="119"/>
    </row>
    <row r="16" spans="1:26" x14ac:dyDescent="0.25">
      <c r="A16" s="254" t="str">
        <f>PLANTILLA!D17</f>
        <v>Adam Moss</v>
      </c>
      <c r="B16" s="255">
        <f>PLANTILLA!E17</f>
        <v>30</v>
      </c>
      <c r="C16" s="255">
        <f>PLANTILLA!H17</f>
        <v>1</v>
      </c>
      <c r="D16" s="256">
        <f>PLANTILLA!I17</f>
        <v>9.8000000000000007</v>
      </c>
      <c r="E16" s="257">
        <f t="shared" si="4"/>
        <v>9.8000000000000007</v>
      </c>
      <c r="F16" s="257">
        <f t="shared" si="5"/>
        <v>9.9</v>
      </c>
      <c r="G16" s="257">
        <f t="shared" si="6"/>
        <v>1</v>
      </c>
      <c r="H16" s="257">
        <f t="shared" si="7"/>
        <v>1.99</v>
      </c>
      <c r="I16" s="258">
        <f t="shared" si="8"/>
        <v>9.8000000000000007</v>
      </c>
      <c r="J16" s="258">
        <f t="shared" si="9"/>
        <v>39.204990000000002</v>
      </c>
      <c r="K16" s="259"/>
      <c r="L16" s="80" t="s">
        <v>461</v>
      </c>
      <c r="O16" t="s">
        <v>462</v>
      </c>
      <c r="P16" s="35">
        <f>SUM(P3:P13)</f>
        <v>106.69999999999999</v>
      </c>
      <c r="Q16" s="35">
        <f>SUM(Q3:Q13)</f>
        <v>107.8</v>
      </c>
      <c r="R16" s="35"/>
      <c r="V16" s="119" t="s">
        <v>462</v>
      </c>
      <c r="W16" s="35">
        <f>SUM(W3:W13)</f>
        <v>95</v>
      </c>
      <c r="X16" s="35">
        <f>SUM(X3:X13)</f>
        <v>96.1</v>
      </c>
      <c r="Y16" s="35"/>
    </row>
    <row r="17" spans="1:25" x14ac:dyDescent="0.25">
      <c r="A17" s="254" t="str">
        <f>PLANTILLA!D18</f>
        <v>Rasheed Da'na</v>
      </c>
      <c r="B17" s="255">
        <f>PLANTILLA!E18</f>
        <v>29</v>
      </c>
      <c r="C17" s="255">
        <f>PLANTILLA!H18</f>
        <v>1</v>
      </c>
      <c r="D17" s="256">
        <f>PLANTILLA!I18</f>
        <v>9.5</v>
      </c>
      <c r="E17" s="257">
        <f t="shared" si="4"/>
        <v>9.5</v>
      </c>
      <c r="F17" s="257">
        <f t="shared" si="5"/>
        <v>9.6</v>
      </c>
      <c r="G17" s="257">
        <f t="shared" si="6"/>
        <v>1</v>
      </c>
      <c r="H17" s="257">
        <f t="shared" si="7"/>
        <v>1.99</v>
      </c>
      <c r="I17" s="258">
        <f t="shared" si="8"/>
        <v>9.5</v>
      </c>
      <c r="J17" s="258">
        <f t="shared" si="9"/>
        <v>38.016959999999997</v>
      </c>
      <c r="K17" s="259"/>
      <c r="O17" t="s">
        <v>463</v>
      </c>
      <c r="P17" s="40">
        <f>P16/17</f>
        <v>6.2764705882352931</v>
      </c>
      <c r="Q17" s="40">
        <f>Q16/17</f>
        <v>6.341176470588235</v>
      </c>
      <c r="R17" s="40"/>
      <c r="V17" s="119" t="s">
        <v>463</v>
      </c>
      <c r="W17" s="40">
        <f>W16/17</f>
        <v>5.5882352941176467</v>
      </c>
      <c r="X17" s="40">
        <f>X16/17</f>
        <v>5.6529411764705877</v>
      </c>
      <c r="Y17" s="40"/>
    </row>
    <row r="18" spans="1:25" x14ac:dyDescent="0.25">
      <c r="A18" s="254" t="str">
        <f>PLANTILLA!D19</f>
        <v>Enrique Cubas</v>
      </c>
      <c r="B18" s="255">
        <f>PLANTILLA!E19</f>
        <v>17</v>
      </c>
      <c r="C18" s="255">
        <f>PLANTILLA!H19</f>
        <v>1</v>
      </c>
      <c r="D18" s="256">
        <f>PLANTILLA!I19</f>
        <v>1</v>
      </c>
      <c r="E18" s="257">
        <f t="shared" si="4"/>
        <v>1</v>
      </c>
      <c r="F18" s="257">
        <f t="shared" si="5"/>
        <v>1.1000000000000001</v>
      </c>
      <c r="G18" s="257">
        <f t="shared" si="6"/>
        <v>1</v>
      </c>
      <c r="H18" s="257">
        <f t="shared" si="7"/>
        <v>1.99</v>
      </c>
      <c r="I18" s="258">
        <f t="shared" si="8"/>
        <v>1</v>
      </c>
      <c r="J18" s="258">
        <f t="shared" si="9"/>
        <v>4.3561100000000001</v>
      </c>
      <c r="K18" s="259"/>
      <c r="L18" s="80" t="s">
        <v>464</v>
      </c>
      <c r="O18" t="s">
        <v>465</v>
      </c>
      <c r="P18" s="35">
        <f>R3^2</f>
        <v>36</v>
      </c>
      <c r="Q18" s="35">
        <f>S3^2</f>
        <v>48.860100000000003</v>
      </c>
      <c r="R18" s="35"/>
      <c r="V18" s="119" t="s">
        <v>465</v>
      </c>
      <c r="W18" s="35">
        <f>Y3^2</f>
        <v>9</v>
      </c>
      <c r="X18" s="35">
        <f>Z3^2</f>
        <v>15.920100000000001</v>
      </c>
      <c r="Y18" s="35"/>
    </row>
    <row r="19" spans="1:25" x14ac:dyDescent="0.25">
      <c r="A19" s="254" t="str">
        <f>PLANTILLA!D20</f>
        <v>Valeri Gomis</v>
      </c>
      <c r="B19" s="255">
        <f>PLANTILLA!E20</f>
        <v>17</v>
      </c>
      <c r="C19" s="255">
        <f>PLANTILLA!H20</f>
        <v>6</v>
      </c>
      <c r="D19" s="256">
        <f>PLANTILLA!I20</f>
        <v>1</v>
      </c>
      <c r="E19" s="257">
        <f t="shared" si="4"/>
        <v>1</v>
      </c>
      <c r="F19" s="257">
        <f t="shared" si="5"/>
        <v>1.1000000000000001</v>
      </c>
      <c r="G19" s="257">
        <f t="shared" si="6"/>
        <v>6</v>
      </c>
      <c r="H19" s="257">
        <f t="shared" si="7"/>
        <v>6.99</v>
      </c>
      <c r="I19" s="258">
        <f t="shared" si="8"/>
        <v>36</v>
      </c>
      <c r="J19" s="258">
        <f t="shared" si="9"/>
        <v>53.746110000000009</v>
      </c>
      <c r="K19" s="259"/>
      <c r="L19" s="80" t="s">
        <v>466</v>
      </c>
      <c r="O19" t="s">
        <v>467</v>
      </c>
      <c r="P19" s="35">
        <f>P18*P3</f>
        <v>302.40000000000003</v>
      </c>
      <c r="Q19" s="35">
        <f>Q18*Q3</f>
        <v>415.31085000000002</v>
      </c>
      <c r="R19" s="35"/>
      <c r="V19" s="119" t="s">
        <v>467</v>
      </c>
      <c r="W19" s="35">
        <f>W18*W3</f>
        <v>98.100000000000009</v>
      </c>
      <c r="X19" s="35">
        <f>X18*X3</f>
        <v>175.12110000000001</v>
      </c>
      <c r="Y19" s="35"/>
    </row>
    <row r="20" spans="1:25" x14ac:dyDescent="0.25">
      <c r="A20" s="254" t="str">
        <f>PLANTILLA!D21</f>
        <v>Juan Garcia Peñuela</v>
      </c>
      <c r="B20" s="255">
        <f>PLANTILLA!E21</f>
        <v>17</v>
      </c>
      <c r="C20" s="255">
        <f>PLANTILLA!H21</f>
        <v>6</v>
      </c>
      <c r="D20" s="256">
        <f>PLANTILLA!I21</f>
        <v>0.5</v>
      </c>
      <c r="E20" s="257">
        <f t="shared" si="4"/>
        <v>0.5</v>
      </c>
      <c r="F20" s="257">
        <f t="shared" si="5"/>
        <v>0.6</v>
      </c>
      <c r="G20" s="257">
        <f t="shared" si="6"/>
        <v>6</v>
      </c>
      <c r="H20" s="257">
        <f t="shared" si="7"/>
        <v>6.99</v>
      </c>
      <c r="I20" s="258">
        <f t="shared" si="8"/>
        <v>18</v>
      </c>
      <c r="J20" s="258">
        <f t="shared" si="9"/>
        <v>29.31606</v>
      </c>
      <c r="K20" s="259"/>
      <c r="L20" s="80" t="s">
        <v>468</v>
      </c>
      <c r="O20" t="s">
        <v>469</v>
      </c>
      <c r="P20" s="40">
        <f>(P19^(2/3))/30</f>
        <v>1.5017579389622335</v>
      </c>
      <c r="Q20" s="40">
        <f>(Q19^(2/3))/30</f>
        <v>1.8554998778050644</v>
      </c>
      <c r="R20" s="40"/>
      <c r="V20" s="119" t="s">
        <v>469</v>
      </c>
      <c r="W20" s="40">
        <f>(W19^(2/3))/30</f>
        <v>0.70901934308515424</v>
      </c>
      <c r="X20" s="40">
        <f>(X19^(2/3))/30</f>
        <v>1.0433685208878041</v>
      </c>
      <c r="Y20" s="40"/>
    </row>
    <row r="21" spans="1:25" x14ac:dyDescent="0.25">
      <c r="A21" s="254" t="str">
        <f>PLANTILLA!D22</f>
        <v>Fernando Gazón</v>
      </c>
      <c r="B21" s="255">
        <f>PLANTILLA!E22</f>
        <v>17</v>
      </c>
      <c r="C21" s="255">
        <f>PLANTILLA!H22</f>
        <v>3</v>
      </c>
      <c r="D21" s="256">
        <f>PLANTILLA!I22</f>
        <v>0.5</v>
      </c>
      <c r="E21" s="257">
        <f t="shared" si="4"/>
        <v>0.5</v>
      </c>
      <c r="F21" s="257">
        <f t="shared" si="5"/>
        <v>0.6</v>
      </c>
      <c r="G21" s="257">
        <f t="shared" si="6"/>
        <v>3</v>
      </c>
      <c r="H21" s="257">
        <f t="shared" si="7"/>
        <v>3.99</v>
      </c>
      <c r="I21" s="258">
        <f t="shared" si="8"/>
        <v>4.5</v>
      </c>
      <c r="J21" s="258">
        <f t="shared" si="9"/>
        <v>9.5520600000000009</v>
      </c>
      <c r="K21" s="259"/>
      <c r="L21" s="80" t="s">
        <v>470</v>
      </c>
      <c r="O21" s="119" t="s">
        <v>180</v>
      </c>
      <c r="P21" s="203">
        <f>P17+P20</f>
        <v>7.7782285271975269</v>
      </c>
      <c r="Q21" s="203">
        <f>Q17+Q20</f>
        <v>8.1966763483933001</v>
      </c>
      <c r="V21" s="119" t="s">
        <v>180</v>
      </c>
      <c r="W21" s="203">
        <f>W17+W20</f>
        <v>6.2972546372028013</v>
      </c>
      <c r="X21" s="203">
        <f>X17+X20</f>
        <v>6.6963096973583918</v>
      </c>
    </row>
    <row r="22" spans="1:25" x14ac:dyDescent="0.25">
      <c r="A22" s="254" t="str">
        <f>PLANTILLA!D23</f>
        <v>Santiago Serra</v>
      </c>
      <c r="B22" s="255">
        <f>PLANTILLA!E23</f>
        <v>17</v>
      </c>
      <c r="C22" s="255">
        <f>PLANTILLA!H23</f>
        <v>4</v>
      </c>
      <c r="D22" s="256">
        <f>PLANTILLA!I23</f>
        <v>1</v>
      </c>
      <c r="E22" s="257">
        <f t="shared" si="4"/>
        <v>1</v>
      </c>
      <c r="F22" s="257">
        <f t="shared" si="5"/>
        <v>1.1000000000000001</v>
      </c>
      <c r="G22" s="257">
        <f t="shared" si="6"/>
        <v>4</v>
      </c>
      <c r="H22" s="257">
        <f t="shared" si="7"/>
        <v>4.99</v>
      </c>
      <c r="I22" s="258">
        <f t="shared" si="8"/>
        <v>16</v>
      </c>
      <c r="J22" s="258">
        <f t="shared" si="9"/>
        <v>27.390110000000004</v>
      </c>
      <c r="K22" s="259"/>
      <c r="L22" t="s">
        <v>471</v>
      </c>
      <c r="V22" s="119"/>
    </row>
    <row r="23" spans="1:25" x14ac:dyDescent="0.25">
      <c r="A23" s="254" t="str">
        <f>PLANTILLA!D24</f>
        <v>Eckardt Hägerling</v>
      </c>
      <c r="B23" s="255">
        <f>PLANTILLA!E24</f>
        <v>17</v>
      </c>
      <c r="C23" s="255">
        <f>PLANTILLA!H24</f>
        <v>3</v>
      </c>
      <c r="D23" s="256">
        <f>PLANTILLA!I24</f>
        <v>1</v>
      </c>
      <c r="E23" s="257">
        <f t="shared" si="4"/>
        <v>1</v>
      </c>
      <c r="F23" s="257">
        <f t="shared" si="5"/>
        <v>1.1000000000000001</v>
      </c>
      <c r="G23" s="257">
        <f t="shared" si="6"/>
        <v>3</v>
      </c>
      <c r="H23" s="257">
        <f t="shared" si="7"/>
        <v>3.99</v>
      </c>
      <c r="I23" s="258">
        <f t="shared" si="8"/>
        <v>9</v>
      </c>
      <c r="J23" s="258">
        <f t="shared" si="9"/>
        <v>17.512110000000003</v>
      </c>
      <c r="K23" s="259"/>
      <c r="O23" s="33">
        <v>42576</v>
      </c>
      <c r="P23">
        <v>6.76</v>
      </c>
      <c r="Q23">
        <v>6.99</v>
      </c>
      <c r="R23" t="s">
        <v>472</v>
      </c>
      <c r="V23" s="119" t="s">
        <v>473</v>
      </c>
      <c r="W23" s="40">
        <v>3</v>
      </c>
      <c r="X23">
        <v>3.25</v>
      </c>
    </row>
    <row r="24" spans="1:25" x14ac:dyDescent="0.25">
      <c r="A24" s="254" t="str">
        <f>PLANTILLA!D25</f>
        <v>Paulo Beltrán</v>
      </c>
      <c r="B24" s="255">
        <f>PLANTILLA!E25</f>
        <v>17</v>
      </c>
      <c r="C24" s="255">
        <f>PLANTILLA!H25</f>
        <v>3</v>
      </c>
      <c r="D24" s="256">
        <f>PLANTILLA!I25</f>
        <v>0.5</v>
      </c>
      <c r="E24" s="257">
        <f t="shared" si="4"/>
        <v>0.5</v>
      </c>
      <c r="F24" s="257">
        <f t="shared" si="5"/>
        <v>0.6</v>
      </c>
      <c r="G24" s="257">
        <f t="shared" si="6"/>
        <v>3</v>
      </c>
      <c r="H24" s="257">
        <f t="shared" si="7"/>
        <v>3.99</v>
      </c>
      <c r="I24" s="258">
        <f t="shared" si="8"/>
        <v>4.5</v>
      </c>
      <c r="J24" s="258">
        <f t="shared" si="9"/>
        <v>9.5520600000000009</v>
      </c>
      <c r="V24" s="119"/>
    </row>
    <row r="25" spans="1:25" x14ac:dyDescent="0.25">
      <c r="A25" s="254" t="str">
        <f>PLANTILLA!D26</f>
        <v>Nicolás Eans</v>
      </c>
      <c r="B25" s="255">
        <f>PLANTILLA!E26</f>
        <v>17</v>
      </c>
      <c r="C25" s="255">
        <f>PLANTILLA!H26</f>
        <v>3</v>
      </c>
      <c r="D25" s="256">
        <f>PLANTILLA!I26</f>
        <v>0.5</v>
      </c>
      <c r="E25" s="257">
        <f t="shared" si="4"/>
        <v>0.5</v>
      </c>
      <c r="F25" s="257">
        <f t="shared" si="5"/>
        <v>0.6</v>
      </c>
      <c r="G25" s="257">
        <f t="shared" si="6"/>
        <v>3</v>
      </c>
      <c r="H25" s="257">
        <f t="shared" si="7"/>
        <v>3.99</v>
      </c>
      <c r="I25" s="258">
        <f t="shared" si="8"/>
        <v>4.5</v>
      </c>
      <c r="J25" s="258">
        <f t="shared" si="9"/>
        <v>9.5520600000000009</v>
      </c>
    </row>
    <row r="26" spans="1:25" x14ac:dyDescent="0.25">
      <c r="A26" s="254" t="str">
        <f>PLANTILLA!D27</f>
        <v>Roberto Montero</v>
      </c>
      <c r="B26" s="255">
        <f>PLANTILLA!E27</f>
        <v>17</v>
      </c>
      <c r="C26" s="255">
        <f>PLANTILLA!H27</f>
        <v>2</v>
      </c>
      <c r="D26" s="256">
        <f>PLANTILLA!I27</f>
        <v>0.5</v>
      </c>
      <c r="E26" s="257">
        <f t="shared" si="4"/>
        <v>0.5</v>
      </c>
      <c r="F26" s="257">
        <f t="shared" si="5"/>
        <v>0.6</v>
      </c>
      <c r="G26" s="257">
        <f t="shared" si="6"/>
        <v>2</v>
      </c>
      <c r="H26" s="257">
        <f t="shared" si="7"/>
        <v>2.99</v>
      </c>
      <c r="I26" s="258">
        <f t="shared" si="8"/>
        <v>2</v>
      </c>
      <c r="J26" s="258">
        <f t="shared" si="9"/>
        <v>5.3640600000000003</v>
      </c>
    </row>
    <row r="27" spans="1:25" x14ac:dyDescent="0.25">
      <c r="A27" s="254" t="str">
        <f>PLANTILLA!D28</f>
        <v>Roberto Abenoza</v>
      </c>
      <c r="B27" s="255">
        <f>PLANTILLA!E28</f>
        <v>17</v>
      </c>
      <c r="C27" s="255">
        <f>PLANTILLA!H28</f>
        <v>4</v>
      </c>
      <c r="D27" s="256">
        <f>PLANTILLA!I28</f>
        <v>0.5</v>
      </c>
      <c r="E27" s="257">
        <f t="shared" si="4"/>
        <v>0.5</v>
      </c>
      <c r="F27" s="257">
        <f t="shared" si="5"/>
        <v>0.6</v>
      </c>
      <c r="G27" s="257">
        <f t="shared" si="6"/>
        <v>4</v>
      </c>
      <c r="H27" s="257">
        <f t="shared" si="7"/>
        <v>4.99</v>
      </c>
      <c r="I27" s="258">
        <f t="shared" si="8"/>
        <v>8</v>
      </c>
      <c r="J27" s="258">
        <f t="shared" si="9"/>
        <v>14.940060000000001</v>
      </c>
    </row>
    <row r="28" spans="1:25" x14ac:dyDescent="0.25">
      <c r="A28" s="254" t="str">
        <f>PLANTILLA!D29</f>
        <v>Noel Fuster</v>
      </c>
      <c r="B28" s="255">
        <f>PLANTILLA!E29</f>
        <v>17</v>
      </c>
      <c r="C28" s="255">
        <f>PLANTILLA!H29</f>
        <v>4</v>
      </c>
      <c r="D28" s="256">
        <f>PLANTILLA!I29</f>
        <v>0.5</v>
      </c>
      <c r="E28" s="257">
        <f t="shared" si="4"/>
        <v>0.5</v>
      </c>
      <c r="F28" s="257">
        <f t="shared" si="5"/>
        <v>0.6</v>
      </c>
      <c r="G28" s="257">
        <f t="shared" si="6"/>
        <v>4</v>
      </c>
      <c r="H28" s="257">
        <f t="shared" si="7"/>
        <v>4.99</v>
      </c>
      <c r="I28" s="258">
        <f t="shared" si="8"/>
        <v>8</v>
      </c>
      <c r="J28" s="258">
        <f t="shared" si="9"/>
        <v>14.940060000000001</v>
      </c>
    </row>
    <row r="29" spans="1:25" x14ac:dyDescent="0.25">
      <c r="A29" s="254" t="str">
        <f>PLANTILLA!D30</f>
        <v>Marc Dolz</v>
      </c>
      <c r="B29" s="255">
        <f>PLANTILLA!E30</f>
        <v>17</v>
      </c>
      <c r="C29" s="255">
        <f>PLANTILLA!H30</f>
        <v>3</v>
      </c>
      <c r="D29" s="256">
        <f>PLANTILLA!I30</f>
        <v>1</v>
      </c>
      <c r="E29" s="257">
        <f t="shared" si="4"/>
        <v>1</v>
      </c>
      <c r="F29" s="257">
        <f t="shared" si="5"/>
        <v>1.1000000000000001</v>
      </c>
      <c r="G29" s="257">
        <f t="shared" si="6"/>
        <v>3</v>
      </c>
      <c r="H29" s="257">
        <f t="shared" si="7"/>
        <v>3.99</v>
      </c>
      <c r="I29" s="258">
        <f t="shared" si="8"/>
        <v>9</v>
      </c>
      <c r="J29" s="258">
        <f t="shared" si="9"/>
        <v>17.512110000000003</v>
      </c>
    </row>
    <row r="30" spans="1:25" x14ac:dyDescent="0.25">
      <c r="A30" s="254" t="str">
        <f>PLANTILLA!D31</f>
        <v>Julio Calle</v>
      </c>
      <c r="B30" s="255">
        <f>PLANTILLA!E31</f>
        <v>17</v>
      </c>
      <c r="C30" s="255">
        <f>PLANTILLA!H31</f>
        <v>3</v>
      </c>
      <c r="D30" s="256">
        <f>PLANTILLA!I31</f>
        <v>0.5</v>
      </c>
      <c r="E30" s="257">
        <f t="shared" si="4"/>
        <v>0.5</v>
      </c>
      <c r="F30" s="257">
        <f t="shared" si="5"/>
        <v>0.6</v>
      </c>
      <c r="G30" s="257">
        <f t="shared" si="6"/>
        <v>3</v>
      </c>
      <c r="H30" s="257">
        <f t="shared" si="7"/>
        <v>3.99</v>
      </c>
      <c r="I30" s="258">
        <f t="shared" si="8"/>
        <v>4.5</v>
      </c>
      <c r="J30" s="258">
        <f t="shared" si="9"/>
        <v>9.5520600000000009</v>
      </c>
    </row>
    <row r="31" spans="1:25" x14ac:dyDescent="0.25">
      <c r="A31" s="254" t="str">
        <f>PLANTILLA!D32</f>
        <v>A. Ilisie</v>
      </c>
      <c r="B31" s="255">
        <f>PLANTILLA!E32</f>
        <v>0</v>
      </c>
      <c r="C31" s="255">
        <f>PLANTILLA!H32</f>
        <v>0</v>
      </c>
      <c r="D31" s="256">
        <f>PLANTILLA!I32</f>
        <v>0</v>
      </c>
      <c r="E31" s="257">
        <f t="shared" si="4"/>
        <v>0</v>
      </c>
      <c r="F31" s="257">
        <f t="shared" si="5"/>
        <v>0.1</v>
      </c>
      <c r="G31" s="257">
        <f t="shared" si="6"/>
        <v>0</v>
      </c>
      <c r="H31" s="257">
        <f t="shared" si="7"/>
        <v>0.99</v>
      </c>
      <c r="I31" s="258">
        <f t="shared" si="8"/>
        <v>0</v>
      </c>
      <c r="J31" s="258">
        <f t="shared" si="9"/>
        <v>9.801E-2</v>
      </c>
    </row>
  </sheetData>
  <conditionalFormatting sqref="I3:J31">
    <cfRule type="cellIs" dxfId="35" priority="1" operator="between">
      <formula>70</formula>
      <formula>100</formula>
    </cfRule>
    <cfRule type="cellIs" dxfId="34"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76</v>
      </c>
      <c r="Z1" t="s">
        <v>77</v>
      </c>
      <c r="AD1" t="s">
        <v>78</v>
      </c>
      <c r="AH1" t="s">
        <v>79</v>
      </c>
      <c r="AL1" t="s">
        <v>80</v>
      </c>
      <c r="AP1" t="s">
        <v>81</v>
      </c>
      <c r="AW1" t="s">
        <v>82</v>
      </c>
      <c r="BD1" t="s">
        <v>49</v>
      </c>
      <c r="BI1" t="s">
        <v>83</v>
      </c>
      <c r="BN1" t="s">
        <v>84</v>
      </c>
      <c r="BS1" t="s">
        <v>85</v>
      </c>
      <c r="BX1" t="s">
        <v>86</v>
      </c>
      <c r="CB1" t="s">
        <v>44</v>
      </c>
    </row>
    <row r="2" spans="1:83" x14ac:dyDescent="0.25">
      <c r="A2" s="44" t="s">
        <v>3</v>
      </c>
      <c r="B2" s="44" t="s">
        <v>87</v>
      </c>
      <c r="C2" s="44" t="s">
        <v>5</v>
      </c>
      <c r="D2" s="116" t="s">
        <v>88</v>
      </c>
      <c r="E2" s="44" t="s">
        <v>89</v>
      </c>
      <c r="F2" s="53" t="s">
        <v>90</v>
      </c>
      <c r="G2" s="53" t="s">
        <v>102</v>
      </c>
      <c r="H2" s="53" t="s">
        <v>103</v>
      </c>
      <c r="I2" s="54" t="s">
        <v>104</v>
      </c>
      <c r="J2" s="45" t="s">
        <v>91</v>
      </c>
      <c r="K2" s="45" t="s">
        <v>28</v>
      </c>
      <c r="L2" s="45" t="s">
        <v>30</v>
      </c>
      <c r="M2" s="45" t="s">
        <v>92</v>
      </c>
      <c r="N2" s="45" t="s">
        <v>75</v>
      </c>
      <c r="O2" s="45" t="s">
        <v>93</v>
      </c>
      <c r="P2" s="45" t="s">
        <v>94</v>
      </c>
      <c r="Q2" s="45" t="s">
        <v>48</v>
      </c>
      <c r="R2" s="46" t="s">
        <v>22</v>
      </c>
      <c r="S2" s="46" t="s">
        <v>95</v>
      </c>
      <c r="T2" s="46" t="s">
        <v>96</v>
      </c>
      <c r="U2" s="46" t="s">
        <v>26</v>
      </c>
      <c r="V2" s="46" t="s">
        <v>27</v>
      </c>
      <c r="W2" s="47" t="s">
        <v>97</v>
      </c>
      <c r="X2" s="47" t="s">
        <v>98</v>
      </c>
      <c r="Y2" s="47" t="s">
        <v>97</v>
      </c>
      <c r="Z2" s="48" t="s">
        <v>97</v>
      </c>
      <c r="AA2" s="48" t="s">
        <v>98</v>
      </c>
      <c r="AB2" s="48" t="s">
        <v>97</v>
      </c>
      <c r="AC2" s="48" t="s">
        <v>99</v>
      </c>
      <c r="AD2" s="48" t="s">
        <v>97</v>
      </c>
      <c r="AE2" s="48" t="s">
        <v>98</v>
      </c>
      <c r="AF2" s="48" t="s">
        <v>97</v>
      </c>
      <c r="AG2" s="48" t="s">
        <v>99</v>
      </c>
      <c r="AH2" s="47" t="s">
        <v>97</v>
      </c>
      <c r="AI2" s="47" t="s">
        <v>98</v>
      </c>
      <c r="AJ2" s="47" t="s">
        <v>99</v>
      </c>
      <c r="AK2" s="47" t="s">
        <v>100</v>
      </c>
      <c r="AL2" s="47" t="s">
        <v>97</v>
      </c>
      <c r="AM2" s="47" t="s">
        <v>98</v>
      </c>
      <c r="AN2" s="47" t="s">
        <v>99</v>
      </c>
      <c r="AO2" s="47" t="s">
        <v>100</v>
      </c>
      <c r="AP2" s="47" t="s">
        <v>97</v>
      </c>
      <c r="AQ2" s="47" t="s">
        <v>98</v>
      </c>
      <c r="AR2" s="47" t="s">
        <v>97</v>
      </c>
      <c r="AS2" s="47" t="s">
        <v>99</v>
      </c>
      <c r="AT2" s="47" t="s">
        <v>100</v>
      </c>
      <c r="AU2" s="47" t="s">
        <v>101</v>
      </c>
      <c r="AV2" s="47" t="s">
        <v>100</v>
      </c>
      <c r="AW2" s="47" t="s">
        <v>97</v>
      </c>
      <c r="AX2" s="47" t="s">
        <v>98</v>
      </c>
      <c r="AY2" s="47" t="s">
        <v>97</v>
      </c>
      <c r="AZ2" s="47" t="s">
        <v>99</v>
      </c>
      <c r="BA2" s="47" t="s">
        <v>100</v>
      </c>
      <c r="BB2" s="47" t="s">
        <v>101</v>
      </c>
      <c r="BC2" s="47" t="s">
        <v>100</v>
      </c>
      <c r="BD2" s="48" t="s">
        <v>97</v>
      </c>
      <c r="BE2" s="48" t="s">
        <v>98</v>
      </c>
      <c r="BF2" s="48" t="s">
        <v>99</v>
      </c>
      <c r="BG2" s="48" t="s">
        <v>100</v>
      </c>
      <c r="BH2" s="48" t="s">
        <v>101</v>
      </c>
      <c r="BI2" s="48" t="s">
        <v>97</v>
      </c>
      <c r="BJ2" s="48" t="s">
        <v>98</v>
      </c>
      <c r="BK2" s="48" t="s">
        <v>99</v>
      </c>
      <c r="BL2" s="48" t="s">
        <v>100</v>
      </c>
      <c r="BM2" s="48" t="s">
        <v>101</v>
      </c>
      <c r="BN2" s="47" t="s">
        <v>97</v>
      </c>
      <c r="BO2" s="47" t="s">
        <v>98</v>
      </c>
      <c r="BP2" s="47" t="s">
        <v>99</v>
      </c>
      <c r="BQ2" s="47" t="s">
        <v>100</v>
      </c>
      <c r="BR2" s="47" t="s">
        <v>101</v>
      </c>
      <c r="BS2" s="47" t="s">
        <v>97</v>
      </c>
      <c r="BT2" s="47" t="s">
        <v>98</v>
      </c>
      <c r="BU2" s="47" t="s">
        <v>99</v>
      </c>
      <c r="BV2" s="47" t="s">
        <v>100</v>
      </c>
      <c r="BW2" s="47" t="s">
        <v>101</v>
      </c>
      <c r="BX2" s="48" t="s">
        <v>99</v>
      </c>
      <c r="BY2" s="48" t="s">
        <v>100</v>
      </c>
      <c r="BZ2" s="48" t="s">
        <v>101</v>
      </c>
      <c r="CA2" s="48" t="s">
        <v>100</v>
      </c>
      <c r="CB2" s="47" t="s">
        <v>100</v>
      </c>
      <c r="CC2" s="47" t="s">
        <v>101</v>
      </c>
      <c r="CD2" s="47" t="s">
        <v>100</v>
      </c>
      <c r="CE2" s="47" t="s">
        <v>99</v>
      </c>
    </row>
    <row r="3" spans="1:83" x14ac:dyDescent="0.25">
      <c r="A3" t="str">
        <f>PLANTILLA!D4</f>
        <v>Damián Sala</v>
      </c>
      <c r="B3">
        <f>PLANTILLA!E4</f>
        <v>30</v>
      </c>
      <c r="C3" s="36">
        <f ca="1">PLANTILLA!F4</f>
        <v>28</v>
      </c>
      <c r="D3" s="69">
        <f>PLANTILLA!G4</f>
        <v>0</v>
      </c>
      <c r="E3" s="49">
        <v>42200</v>
      </c>
      <c r="F3" s="51">
        <f>PLANTILLA!Q4</f>
        <v>6</v>
      </c>
      <c r="G3" s="52">
        <f>(F3/7)^0.5</f>
        <v>0.92582009977255142</v>
      </c>
      <c r="H3" s="52">
        <f>IF(F3=7,1,((F3+0.99)/7)^0.5)</f>
        <v>0.99928545900129484</v>
      </c>
      <c r="I3" s="55">
        <f ca="1">IF(TODAY()-E3&gt;335,1,((TODAY()-E3)^0.5)/336^0.5)</f>
        <v>1</v>
      </c>
      <c r="J3" s="42">
        <f>PLANTILLA!I4</f>
        <v>10.6</v>
      </c>
      <c r="K3" s="50">
        <f>PLANTILLA!X4</f>
        <v>13.95</v>
      </c>
      <c r="L3" s="50">
        <f>PLANTILLA!Y4</f>
        <v>11.066666666666666</v>
      </c>
      <c r="M3" s="50">
        <f>PLANTILLA!Z4</f>
        <v>0.17999999999999997</v>
      </c>
      <c r="N3" s="50">
        <f>PLANTILLA!AA4</f>
        <v>0.01</v>
      </c>
      <c r="O3" s="50">
        <f>PLANTILLA!AB4</f>
        <v>2.3299999999999996</v>
      </c>
      <c r="P3" s="50">
        <f>PLANTILLA!AC4</f>
        <v>1.8100000000000005</v>
      </c>
      <c r="Q3" s="50">
        <f>PLANTILLA!AD4</f>
        <v>19.299999999999997</v>
      </c>
      <c r="R3" s="50">
        <f>((2*(O3+1))+(L3+1))/8</f>
        <v>2.3408333333333333</v>
      </c>
      <c r="S3" s="50">
        <f>(0.5*P3+ 0.3*Q3)/10</f>
        <v>0.66949999999999998</v>
      </c>
      <c r="T3" s="50">
        <f>(0.4*L3+0.3*Q3)/10</f>
        <v>1.0216666666666665</v>
      </c>
      <c r="U3" s="50">
        <f t="shared" ref="U3" ca="1" si="0">IF(TODAY()-E3&gt;335,(Q3+1+(LOG(J3)*4/3))*(F3/7)^0.5,(Q3+((TODAY()-E3)^0.5)/(336^0.5)+(LOG(J3)*4/3))*(F3/7)^0.5)</f>
        <v>20.059813063351871</v>
      </c>
      <c r="V3" s="50">
        <f t="shared" ref="V3" ca="1" si="1">IF(F3=7,U3,IF(TODAY()-E3&gt;335,(Q3+1+(LOG(J3)*4/3))*((F3+0.99)/7)^0.5,(Q3+((TODAY()-E3)^0.5)/(336^0.5)+(LOG(J3)*4/3))*((F3+0.99)/7)^0.5))</f>
        <v>21.651592473976716</v>
      </c>
      <c r="W3" s="40">
        <f ca="1">IF(TODAY()-E3&gt;335,((K3+1+(LOG(J3)*4/3))*0.597)+((L3+1+(LOG(J3)*4/3))*0.276),((K3+(((TODAY()-E3)^0.5)/(336^0.5))+(LOG(J3)*4/3))*0.597)+((L3+(((TODAY()-E3)^0.5)/(336^0.5))+(LOG(J3)*4/3))*0.276))</f>
        <v>13.449006027168192</v>
      </c>
      <c r="X3" s="40">
        <f ca="1">IF(TODAY()-E3&gt;335,((K3+1+(LOG(J3)*4/3))*0.866)+((L3+1+(LOG(J3)*4/3))*0.425),((K3+(((TODAY()-E3)^0.5)/(336^0.5))+(LOG(J3)*4/3))*0.866)+((L3+(((TODAY()-E3)^0.5)/(336^0.5))+(LOG(J3)*4/3))*0.425))</f>
        <v>19.839926496075755</v>
      </c>
      <c r="Y3" s="40">
        <f ca="1">W3</f>
        <v>13.449006027168192</v>
      </c>
      <c r="Z3" s="40">
        <f ca="1">IF(TODAY()-E3&gt;335,((L3+1+(LOG(J3)*4/3))*0.516),((L3+(((TODAY()-E3)^0.5)/(336^0.516))+(LOG(J3)*4/3))*0.516))</f>
        <v>6.9318104353021619</v>
      </c>
      <c r="AA3" s="40">
        <f t="shared" ref="AA3" ca="1" si="2">IF(TODAY()-E3&gt;335,((L3+1+(LOG(J3)*4/3))*1),((L3+(((TODAY()-E3)^0.5)/(336^0.5))+(LOG(J3)*4/3))*1))</f>
        <v>13.433741153686359</v>
      </c>
      <c r="AB3" s="40">
        <f ca="1">Z3/2</f>
        <v>3.4659052176510809</v>
      </c>
      <c r="AC3" s="40">
        <f ca="1">IF(TODAY()-E3&gt;335,((M3+1+(LOG(J3)*4/3))*0.238),((M3+(((TODAY()-E3)^0.5)/(336^0.238))+(LOG(J3)*4/3))*0.238))</f>
        <v>0.606203727910687</v>
      </c>
      <c r="AD3" s="40">
        <f ca="1">IF(TODAY()-E3&gt;335,((L3+1+(LOG(J3)*4/3))*0.378),((L3+(((TODAY()-E3)^0.5)/(336^0.516))+(LOG(J3)*4/3))*0.378))</f>
        <v>5.077954156093444</v>
      </c>
      <c r="AE3" s="40">
        <f ca="1">IF(TODAY()-E3&gt;335,((L3+1+(LOG(J3)*4/3))*0.723),((L3+(((TODAY()-E3)^0.5)/(336^0.5))+(LOG(J3)*4/3))*0.723))</f>
        <v>9.7125948541152365</v>
      </c>
      <c r="AF3" s="40">
        <f ca="1">AD3/2</f>
        <v>2.538977078046722</v>
      </c>
      <c r="AG3" s="40">
        <f ca="1">IF(TODAY()-E3&gt;335,((M3+1+(LOG(J3)*4/3))*0.385),((M3+(((TODAY()-E3)^0.5)/(336^0.238))+(LOG(J3)*4/3))*0.385))</f>
        <v>0.98062367750258195</v>
      </c>
      <c r="AH3" s="40">
        <f t="shared" ref="AH3" ca="1" si="3">IF(TODAY()-E3&gt;335,((L3+1+(LOG(J3)*4/3))*0.92),((L3+(((TODAY()-E3)^0.5)/(336^0.5))+(LOG(J3)*4/3))*0.92))</f>
        <v>12.35904186139145</v>
      </c>
      <c r="AI3" s="40">
        <f ca="1">IF(TODAY()-E3&gt;335,((L3+1+(LOG(J3)*4/3))*0.414),((L3+(((TODAY()-E3)^0.5)/(336^0.414))+(LOG(J3)*4/3))*0.414))</f>
        <v>5.5615688376261527</v>
      </c>
      <c r="AJ3" s="40">
        <f ca="1">IF(TODAY()-E3&gt;335,((M3+1+(LOG(J3)*4/3))*0.167),((M3+(((TODAY()-E3)^0.5)/(336^0.5))+(LOG(J3)*4/3))*0.167))</f>
        <v>0.42536143933228882</v>
      </c>
      <c r="AK3" s="40">
        <f ca="1">IF(TODAY()-E3&gt;335,((N3+1+(LOG(J3)*4/3))*0.588),((N3+(((TODAY()-E3)^0.5)/(336^0.5))+(LOG(J3)*4/3))*0.588))</f>
        <v>1.3977197983675795</v>
      </c>
      <c r="AL3" s="40">
        <f ca="1">IF(TODAY()-E3&gt;335,((L3+1+(LOG(J3)*4/3))*0.754),((L3+(((TODAY()-E3)^0.5)/(336^0.5))+(LOG(J3)*4/3))*0.754))</f>
        <v>10.129040829879514</v>
      </c>
      <c r="AM3" s="40">
        <f ca="1">IF(TODAY()-E3&gt;335,((L3+1+(LOG(J3)*4/3))*0.708),((L3+(((TODAY()-E3)^0.5)/(336^0.414))+(LOG(J3)*4/3))*0.708))</f>
        <v>9.5110887368099419</v>
      </c>
      <c r="AN3" s="40">
        <f ca="1">IF(TODAY()-E3&gt;335,((Q3+1+(LOG(J3)*4/3))*0.167),((Q3+(((TODAY()-E3)^0.5)/(336^0.5))+(LOG(J3)*4/3))*0.167))</f>
        <v>3.6184014393322883</v>
      </c>
      <c r="AO3" s="40">
        <f ca="1">IF(TODAY()-E3&gt;335,((R3+1+(LOG(J3)*4/3))*0.288),((R3+(((TODAY()-E3)^0.5)/(336^0.5))+(LOG(J3)*4/3))*0.288))</f>
        <v>1.3558774522616717</v>
      </c>
      <c r="AP3" s="40">
        <f ca="1">IF(TODAY()-E3&gt;335,((L3+1+(LOG(J3)*4/3))*0.27),((L3+(((TODAY()-E3)^0.5)/(336^0.5))+(LOG(J3)*4/3))*0.27))</f>
        <v>3.627110111495317</v>
      </c>
      <c r="AQ3" s="40">
        <f ca="1">IF(TODAY()-E3&gt;335,((L3+1+(LOG(J3)*4/3))*0.594),((L3+(((TODAY()-E3)^0.5)/(336^0.5))+(LOG(J3)*4/3))*0.594))</f>
        <v>7.9796422452896971</v>
      </c>
      <c r="AR3" s="40">
        <f ca="1">AP3/2</f>
        <v>1.8135550557476585</v>
      </c>
      <c r="AS3" s="40">
        <f ca="1">IF(TODAY()-E3&gt;335,((M3+1+(LOG(J3)*4/3))*0.944),((M3+(((TODAY()-E3)^0.5)/(336^0.5))+(LOG(J3)*4/3))*0.944))</f>
        <v>2.4044383157465905</v>
      </c>
      <c r="AT3" s="40">
        <f ca="1">IF(TODAY()-E3&gt;335,((O3+1+(LOG(J3)*4/3))*0.13),((O3+(((TODAY()-E3)^0.5)/(336^0.5))+(LOG(J3)*4/3))*0.13))</f>
        <v>0.61061968331256011</v>
      </c>
      <c r="AU3" s="40">
        <f ca="1">IF(TODAY()-E3&gt;335,((P3+1+(LOG(J3)*4/3))*0.173)+((O3+1+(LOG(J3)*4/3))*0.12),((P3+(((TODAY()-E3)^0.5)/(336^0.5))+(LOG(J3)*4/3))*0.173)+((O3+(((TODAY()-E3)^0.5)/(336^0.5))+(LOG(J3)*4/3))*0.12))</f>
        <v>1.2862828246967701</v>
      </c>
      <c r="AV3" s="40">
        <f ca="1">AT3/2</f>
        <v>0.30530984165628006</v>
      </c>
      <c r="AW3" s="40">
        <f ca="1">IF(TODAY()-E3&gt;335,((L3+1+(LOG(J3)*4/3))*0.189),((L3+(((TODAY()-E3)^0.5)/(336^0.5))+(LOG(J3)*4/3))*0.189))</f>
        <v>2.538977078046722</v>
      </c>
      <c r="AX3" s="40">
        <f ca="1">IF(TODAY()-E3&gt;335,((L3+1+(LOG(J3)*4/3))*0.4),((L3+(((TODAY()-E3)^0.5)/(336^0.5))+(LOG(J3)*4/3))*0.4))</f>
        <v>5.3734964614745442</v>
      </c>
      <c r="AY3" s="40">
        <f ca="1">AW3/2</f>
        <v>1.269488539023361</v>
      </c>
      <c r="AZ3" s="40">
        <f ca="1">IF(TODAY()-E3&gt;335,((M3+1+(LOG(J3)*4/3))*1),((M3+(((TODAY()-E3)^0.5)/(336^0.5))+(LOG(J3)*4/3))*1))</f>
        <v>2.5470744870196933</v>
      </c>
      <c r="BA3" s="40">
        <f ca="1">IF(TODAY()-E3&gt;335,((O3+1+(LOG(J3)*4/3))*0.253),((O3+(((TODAY()-E3)^0.5)/(336^0.5))+(LOG(J3)*4/3))*0.253))</f>
        <v>1.1883598452159823</v>
      </c>
      <c r="BB3" s="40">
        <f ca="1">IF(TODAY()-E3&gt;335,((P3+1+(LOG(J3)*4/3))*0.21)+((O3+1+(LOG(J3)*4/3))*0.341),((P3+(((TODAY()-E3)^0.5)/(336^0.5))+(LOG(J3)*4/3))*0.21)+((O3+(((TODAY()-E3)^0.5)/(336^0.5))+(LOG(J3)*4/3))*0.341))</f>
        <v>2.478888042347851</v>
      </c>
      <c r="BC3" s="40">
        <f ca="1">BA3/2</f>
        <v>0.59417992260799113</v>
      </c>
      <c r="BD3" s="40">
        <f ca="1">IF(TODAY()-E3&gt;335,((L3+1+(LOG(J3)*4/3))*0.291),((L3+(((TODAY()-E3)^0.5)/(336^0.5))+(LOG(J3)*4/3))*0.291))</f>
        <v>3.9092186757227303</v>
      </c>
      <c r="BE3" s="40">
        <f ca="1">IF(TODAY()-E3&gt;335,((L3+1+(LOG(J3)*4/3))*0.348),((L3+(((TODAY()-E3)^0.5)/(336^0.5))+(LOG(J3)*4/3))*0.348))</f>
        <v>4.6749419214828523</v>
      </c>
      <c r="BF3" s="40">
        <f ca="1">IF(TODAY()-E3&gt;335,((M3+1+(LOG(J3)*4/3))*0.881),((M3+(((TODAY()-E3)^0.5)/(336^0.5))+(LOG(J3)*4/3))*0.881))</f>
        <v>2.2439726230643497</v>
      </c>
      <c r="BG3" s="40">
        <f ca="1">IF(TODAY()-E3&gt;335,((N3+1+(LOG(J3)*4/3))*0.574)+((O3+1+(LOG(J3)*4/3))*0.315),((N3+(((TODAY()-E3)^0.5)/(336^0.5))+(LOG(J3)*4/3))*0.574)+((O3+(((TODAY()-E3)^0.5)/(336^0.5))+(LOG(J3)*4/3))*0.315))</f>
        <v>2.8440192189605069</v>
      </c>
      <c r="BH3" s="40">
        <f ca="1">IF(TODAY()-E3&gt;335,((O3+1+(LOG(J3)*4/3))*0.241),((O3+(((TODAY()-E3)^0.5)/(336^0.5))+(LOG(J3)*4/3))*0.241))</f>
        <v>1.131994951371746</v>
      </c>
      <c r="BI3" s="40">
        <f ca="1">IF(TODAY()-E3&gt;335,((L3+1+(LOG(J3)*4/3))*0.485),((L3+(((TODAY()-E3)^0.5)/(336^0.5))+(LOG(J3)*4/3))*0.485))</f>
        <v>6.5153644595378841</v>
      </c>
      <c r="BJ3" s="40">
        <f ca="1">IF(TODAY()-E3&gt;335,((L3+1+(LOG(J3)*4/3))*0.264),((L3+(((TODAY()-E3)^0.5)/(336^0.5))+(LOG(J3)*4/3))*0.264))</f>
        <v>3.5465076645731988</v>
      </c>
      <c r="BK3" s="40">
        <f ca="1">IF(TODAY()-E3&gt;335,((M3+1+(LOG(J3)*4/3))*0.381),((M3+(((TODAY()-E3)^0.5)/(336^0.5))+(LOG(J3)*4/3))*0.381))</f>
        <v>0.97043537955450321</v>
      </c>
      <c r="BL3" s="40">
        <f ca="1">IF(TODAY()-E3&gt;335,((N3+1+(LOG(J3)*4/3))*0.673)+((O3+1+(LOG(J3)*4/3))*0.201),((N3+(((TODAY()-E3)^0.5)/(336^0.5))+(LOG(J3)*4/3))*0.673)+((O3+(((TODAY()-E3)^0.5)/(336^0.5))+(LOG(J3)*4/3))*0.201))</f>
        <v>2.5438831016552124</v>
      </c>
      <c r="BM3" s="40">
        <f ca="1">IF(TODAY()-E3&gt;335,((O3+1+(LOG(J3)*4/3))*0.052),((O3+(((TODAY()-E3)^0.5)/(336^0.5))+(LOG(J3)*4/3))*0.052))</f>
        <v>0.24424787332502401</v>
      </c>
      <c r="BN3" s="40">
        <f ca="1">IF(TODAY()-E3&gt;335,((L3+1+(LOG(J3)*4/3))*0.18),((L3+(((TODAY()-E3)^0.5)/(336^0.5))+(LOG(J3)*4/3))*0.18))</f>
        <v>2.4180734076635444</v>
      </c>
      <c r="BO3" s="40">
        <f ca="1">IF(TODAY()-E3&gt;335,((L3+1+(LOG(J3)*4/3))*0.068),((L3+(((TODAY()-E3)^0.5)/(336^0.5))+(LOG(J3)*4/3))*0.068))</f>
        <v>0.91349439845067248</v>
      </c>
      <c r="BP3" s="40">
        <f ca="1">IF(TODAY()-E3&gt;335,((M3+1+(LOG(J3)*4/3))*0.305),((M3+(((TODAY()-E3)^0.5)/(336^0.5))+(LOG(J3)*4/3))*0.305))</f>
        <v>0.77685771854100649</v>
      </c>
      <c r="BQ3" s="40">
        <f ca="1">IF(TODAY()-E3&gt;335,((N3+1+(LOG(J3)*4/3))*1)+((O3+1+(LOG(J3)*4/3))*0.286),((N3+(((TODAY()-E3)^0.5)/(336^0.5))+(LOG(J3)*4/3))*1)+((O3+(((TODAY()-E3)^0.5)/(336^0.5))+(LOG(J3)*4/3))*0.286))</f>
        <v>3.7204377903073254</v>
      </c>
      <c r="BR3" s="40">
        <f ca="1">IF(TODAY()-E3&gt;335,((O3+1+(LOG(J3)*4/3))*0.135),((O3+(((TODAY()-E3)^0.5)/(336^0.5))+(LOG(J3)*4/3))*0.135))</f>
        <v>0.63410505574765852</v>
      </c>
      <c r="BS3" s="40">
        <f ca="1">IF(TODAY()-E3&gt;335,((L3+1+(LOG(J3)*4/3))*0.284),((L3+(((TODAY()-E3)^0.5)/(336^0.5))+(LOG(J3)*4/3))*0.284))</f>
        <v>3.8151824876469256</v>
      </c>
      <c r="BT3" s="40">
        <f ca="1">IF(TODAY()-E3&gt;335,((L3+1+(LOG(J3)*4/3))*0.244),((L3+(((TODAY()-E3)^0.5)/(336^0.5))+(LOG(J3)*4/3))*0.244))</f>
        <v>3.2778328414994715</v>
      </c>
      <c r="BU3" s="40">
        <f ca="1">IF(TODAY()-E3&gt;335,((M3+1+(LOG(J3)*4/3))*0.631),((M3+(((TODAY()-E3)^0.5)/(336^0.5))+(LOG(J3)*4/3))*0.631))</f>
        <v>1.6072040013094264</v>
      </c>
      <c r="BV3" s="40">
        <f ca="1">IF(TODAY()-E3&gt;335,((N3+1+(LOG(J3)*4/3))*0.702)+((O3+1+(LOG(J3)*4/3))*0.193),((N3+(((TODAY()-E3)^0.5)/(336^0.5))+(LOG(J3)*4/3))*0.702)+((O3+(((TODAY()-E3)^0.5)/(336^0.5))+(LOG(J3)*4/3))*0.193))</f>
        <v>2.5752416658826256</v>
      </c>
      <c r="BW3" s="40">
        <f ca="1">IF(TODAY()-E3&gt;335,((O3+1+(LOG(J3)*4/3))*0.148),((O3+(((TODAY()-E3)^0.5)/(336^0.5))+(LOG(J3)*4/3))*0.148))</f>
        <v>0.69516702407891451</v>
      </c>
      <c r="BX3" s="40">
        <f ca="1">IF(TODAY()-E3&gt;335,((M3+1+(LOG(J3)*4/3))*0.406),((M3+(((TODAY()-E3)^0.5)/(336^0.5))+(LOG(J3)*4/3))*0.406))</f>
        <v>1.0341122417299955</v>
      </c>
      <c r="BY3" s="40">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2.0470558077372605</v>
      </c>
      <c r="BZ3" s="40">
        <f ca="1">IF(D3="TEC",IF(TODAY()-E3&gt;335,((O3+1+(LOG(J3)*4/3))*0.543)+((P3+1+(LOG(J3)*4/3))*0.583),((O3+(((TODAY()-E3)^0.5)/(336^0.5))+(LOG(J3)*4/3))*0.543)+((P3+(((TODAY()-E3)^0.5)/(336^0.5))+(LOG(J3)*4/3))*0.583)),IF(TODAY()-E3&gt;335,((O3+1+(LOG(J3)*4/3))*0.543)+((P3+1+(LOG(J3)*4/3))*0.583),((O3+(((TODAY()-E3)^0.5)/(336^0.5))+(LOG(J3)*4/3))*0.543)+((P3+(((TODAY()-E3)^0.5)/(336^0.5))+(LOG(J3)*4/3))*0.583)))</f>
        <v>4.9857458723841752</v>
      </c>
      <c r="CA3" s="40">
        <f ca="1">BY3</f>
        <v>2.0470558077372605</v>
      </c>
      <c r="CB3" s="40">
        <f ca="1">IF(TODAY()-E3&gt;335,((P3+1+(LOG(J3)*4/3))*0.26)+((N3+1+(LOG(J3)*4/3))*0.221)+((O3+1+(LOG(J3)*4/3))*0.142),((P3+(((TODAY()-E3)^0.5)/(336^0.5))+(LOG(J3)*4/3))*0.26)+((N3+(((TODAY()-E3)^0.5)/(336^0.5))+(LOG(J3)*4/3))*0.221)+((P3+(((TODAY()-E3)^0.5)/(336^0.5))+(LOG(J3)*4/3))*0.142))</f>
        <v>2.2783574054132689</v>
      </c>
      <c r="CC3" s="40">
        <f ca="1">IF(TODAY()-E3&gt;335,((P3+1+(LOG(J3)*4/3))*1)+((O3+1+(LOG(J3)*4/3))*0.369),((P3+(((TODAY()-E3)^0.5)/(336^0.5))+(LOG(J3)*4/3))*1)+((O3+(((TODAY()-E3)^0.5)/(336^0.5))+(LOG(J3)*4/3))*0.369))</f>
        <v>5.910294972729961</v>
      </c>
      <c r="CD3" s="40">
        <f ca="1">CB3</f>
        <v>2.2783574054132689</v>
      </c>
      <c r="CE3" s="40">
        <f ca="1">IF(TODAY()-E3&gt;335,((M3+1+(LOG(J3)*4/3))*0.25),((M3+(((TODAY()-E3)^0.5)/(336^0.5))+(LOG(J3)*4/3))*0.25))</f>
        <v>0.63676862175492333</v>
      </c>
    </row>
    <row r="4" spans="1:83" x14ac:dyDescent="0.25">
      <c r="A4" t="str">
        <f>PLANTILLA!D5</f>
        <v>Mario Omarini</v>
      </c>
      <c r="B4">
        <f>PLANTILLA!E5</f>
        <v>31</v>
      </c>
      <c r="C4" s="36">
        <f ca="1">PLANTILLA!F5</f>
        <v>110</v>
      </c>
      <c r="D4" s="69" t="str">
        <f>PLANTILLA!G5</f>
        <v>TEC</v>
      </c>
      <c r="E4" s="33">
        <v>42107</v>
      </c>
      <c r="F4" s="51">
        <f>PLANTILLA!Q5</f>
        <v>5</v>
      </c>
      <c r="G4" s="52">
        <f t="shared" ref="G4:G7" si="4">(F4/7)^0.5</f>
        <v>0.84515425472851657</v>
      </c>
      <c r="H4" s="52">
        <f t="shared" ref="H4:H7" si="5">IF(F4=7,1,((F4+0.99)/7)^0.5)</f>
        <v>0.92504826128926143</v>
      </c>
      <c r="I4" s="55">
        <f t="shared" ref="I4:I16" ca="1" si="6">IF(TODAY()-E4&gt;335,1,((TODAY()-E4)^0.5)/336^0.5)</f>
        <v>1</v>
      </c>
      <c r="J4" s="42">
        <f>PLANTILLA!I5</f>
        <v>9.6999999999999993</v>
      </c>
      <c r="K4" s="50">
        <f>PLANTILLA!X5</f>
        <v>0</v>
      </c>
      <c r="L4" s="50">
        <f>PLANTILLA!Y5</f>
        <v>14</v>
      </c>
      <c r="M4" s="50">
        <f>PLANTILLA!Z5</f>
        <v>7.1099999999999994</v>
      </c>
      <c r="N4" s="50">
        <f>PLANTILLA!AA5</f>
        <v>11.035714285714286</v>
      </c>
      <c r="O4" s="50">
        <f>PLANTILLA!AB5</f>
        <v>7.0499999999999989</v>
      </c>
      <c r="P4" s="50">
        <f>PLANTILLA!AC5</f>
        <v>2.0099999999999998</v>
      </c>
      <c r="Q4" s="50">
        <f>PLANTILLA!AD5</f>
        <v>15.499999999999998</v>
      </c>
      <c r="R4" s="50">
        <f t="shared" ref="R4:R7" si="7">((2*(O4+1))+(L4+1))/8</f>
        <v>3.8874999999999997</v>
      </c>
      <c r="S4" s="50">
        <f t="shared" ref="S4:S7" si="8">(0.5*P4+ 0.3*Q4)/10</f>
        <v>0.56549999999999989</v>
      </c>
      <c r="T4" s="50">
        <f t="shared" ref="T4:T7" si="9">(0.4*L4+0.3*Q4)/10</f>
        <v>1.0249999999999999</v>
      </c>
      <c r="U4" s="50">
        <f t="shared" ref="U4:U7" ca="1" si="10">IF(TODAY()-E4&gt;335,(Q4+1+(LOG(J4)*4/3))*(F4/7)^0.5,(Q4+((TODAY()-E4)^0.5)/(336^0.5)+(LOG(J4)*4/3))*(F4/7)^0.5)</f>
        <v>15.057010975901795</v>
      </c>
      <c r="V4" s="50">
        <f t="shared" ref="V4:V7" ca="1" si="11">IF(F4=7,U4,IF(TODAY()-E4&gt;335,(Q4+1+(LOG(J4)*4/3))*((F4+0.99)/7)^0.5,(Q4+((TODAY()-E4)^0.5)/(336^0.5)+(LOG(J4)*4/3))*((F4+0.99)/7)^0.5))</f>
        <v>16.480378280702652</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2.9752211728299507</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str">
        <f>PLANTILLA!D6</f>
        <v>Csaba Mező</v>
      </c>
      <c r="B5">
        <f>PLANTILLA!E6</f>
        <v>31</v>
      </c>
      <c r="C5" s="36">
        <f ca="1">PLANTILLA!F6</f>
        <v>88</v>
      </c>
      <c r="D5" s="69">
        <f>PLANTILLA!G6</f>
        <v>0</v>
      </c>
      <c r="E5" s="33">
        <v>42266</v>
      </c>
      <c r="F5" s="51">
        <f>PLANTILLA!Q6</f>
        <v>6</v>
      </c>
      <c r="G5" s="52">
        <f t="shared" si="4"/>
        <v>0.92582009977255142</v>
      </c>
      <c r="H5" s="52">
        <f t="shared" si="5"/>
        <v>0.99928545900129484</v>
      </c>
      <c r="I5" s="55">
        <f t="shared" ca="1" si="6"/>
        <v>1</v>
      </c>
      <c r="J5" s="42">
        <f>PLANTILLA!I6</f>
        <v>9.1</v>
      </c>
      <c r="K5" s="50">
        <f>PLANTILLA!X6</f>
        <v>0</v>
      </c>
      <c r="L5" s="50">
        <f>PLANTILLA!Y6</f>
        <v>13.05</v>
      </c>
      <c r="M5" s="50">
        <f>PLANTILLA!Z6</f>
        <v>3.18</v>
      </c>
      <c r="N5" s="50">
        <f>PLANTILLA!AA6</f>
        <v>12.033333333333333</v>
      </c>
      <c r="O5" s="50">
        <f>PLANTILLA!AB6</f>
        <v>9.0399999999999991</v>
      </c>
      <c r="P5" s="50">
        <f>PLANTILLA!AC6</f>
        <v>4.01</v>
      </c>
      <c r="Q5" s="50">
        <f>PLANTILLA!AD6</f>
        <v>10.333333333333334</v>
      </c>
      <c r="R5" s="50">
        <f t="shared" si="7"/>
        <v>4.2662499999999994</v>
      </c>
      <c r="S5" s="50">
        <f t="shared" si="8"/>
        <v>0.51050000000000006</v>
      </c>
      <c r="T5" s="50">
        <f t="shared" si="9"/>
        <v>0.83200000000000007</v>
      </c>
      <c r="U5" s="50">
        <f t="shared" ca="1" si="10"/>
        <v>11.676494194121878</v>
      </c>
      <c r="V5" s="50">
        <f t="shared" ca="1" si="11"/>
        <v>12.603043359250441</v>
      </c>
      <c r="W5" s="40">
        <f t="shared" ca="1" si="12"/>
        <v>5.5911241806617529</v>
      </c>
      <c r="X5" s="40">
        <f t="shared" ca="1" si="13"/>
        <v>8.4880799166487098</v>
      </c>
      <c r="Y5" s="40">
        <f t="shared" ca="1" si="14"/>
        <v>5.5911241806617529</v>
      </c>
      <c r="Z5" s="40">
        <f t="shared" ca="1" si="15"/>
        <v>7.9096204779169126</v>
      </c>
      <c r="AA5" s="40">
        <f t="shared" ca="1" si="16"/>
        <v>15.328721856428125</v>
      </c>
      <c r="AB5" s="40">
        <f t="shared" ca="1" si="17"/>
        <v>3.9548102389584563</v>
      </c>
      <c r="AC5" s="40">
        <f t="shared" ca="1" si="18"/>
        <v>1.2991758018298936</v>
      </c>
      <c r="AD5" s="40">
        <f t="shared" ca="1" si="19"/>
        <v>5.7942568617298313</v>
      </c>
      <c r="AE5" s="40">
        <f t="shared" ca="1" si="20"/>
        <v>11.082665902197533</v>
      </c>
      <c r="AF5" s="40">
        <f t="shared" ca="1" si="21"/>
        <v>2.8971284308649157</v>
      </c>
      <c r="AG5" s="40">
        <f t="shared" ca="1" si="22"/>
        <v>2.1016079147248279</v>
      </c>
      <c r="AH5" s="40">
        <f t="shared" ca="1" si="23"/>
        <v>14.102424107913876</v>
      </c>
      <c r="AI5" s="40">
        <f t="shared" ca="1" si="24"/>
        <v>6.3460908485612437</v>
      </c>
      <c r="AJ5" s="40">
        <f t="shared" ca="1" si="25"/>
        <v>0.91160655002349689</v>
      </c>
      <c r="AK5" s="40">
        <f t="shared" ca="1" si="26"/>
        <v>8.415488451579737</v>
      </c>
      <c r="AL5" s="40">
        <f t="shared" ca="1" si="27"/>
        <v>11.557856279746806</v>
      </c>
      <c r="AM5" s="40">
        <f t="shared" ca="1" si="28"/>
        <v>10.852735074351111</v>
      </c>
      <c r="AN5" s="40">
        <f t="shared" ca="1" si="29"/>
        <v>2.1062132166901635</v>
      </c>
      <c r="AO5" s="40">
        <f t="shared" ca="1" si="30"/>
        <v>1.8849518946512998</v>
      </c>
      <c r="AP5" s="40">
        <f t="shared" ca="1" si="31"/>
        <v>4.1387549012355942</v>
      </c>
      <c r="AQ5" s="40">
        <f t="shared" ca="1" si="32"/>
        <v>9.1052607827183056</v>
      </c>
      <c r="AR5" s="40">
        <f t="shared" ca="1" si="33"/>
        <v>2.0693774506177971</v>
      </c>
      <c r="AS5" s="40">
        <f t="shared" ca="1" si="34"/>
        <v>5.153033432468149</v>
      </c>
      <c r="AT5" s="40">
        <f t="shared" ca="1" si="35"/>
        <v>1.471433841335656</v>
      </c>
      <c r="AU5" s="40">
        <f t="shared" ca="1" si="36"/>
        <v>2.4461955039334402</v>
      </c>
      <c r="AV5" s="40">
        <f t="shared" ca="1" si="37"/>
        <v>0.73571692066782801</v>
      </c>
      <c r="AW5" s="40">
        <f t="shared" ca="1" si="38"/>
        <v>2.8971284308649157</v>
      </c>
      <c r="AX5" s="40">
        <f t="shared" ca="1" si="39"/>
        <v>6.1314887425712499</v>
      </c>
      <c r="AY5" s="40">
        <f t="shared" ca="1" si="40"/>
        <v>1.4485642154324578</v>
      </c>
      <c r="AZ5" s="40">
        <f t="shared" ca="1" si="41"/>
        <v>5.4587218564281246</v>
      </c>
      <c r="BA5" s="40">
        <f t="shared" ca="1" si="42"/>
        <v>2.8636366296763152</v>
      </c>
      <c r="BB5" s="40">
        <f t="shared" ca="1" si="43"/>
        <v>5.1803157428918967</v>
      </c>
      <c r="BC5" s="40">
        <f t="shared" ca="1" si="44"/>
        <v>1.4318183148381576</v>
      </c>
      <c r="BD5" s="40">
        <f t="shared" ca="1" si="45"/>
        <v>4.4606580602205836</v>
      </c>
      <c r="BE5" s="40">
        <f t="shared" ca="1" si="46"/>
        <v>5.3343952060369872</v>
      </c>
      <c r="BF5" s="40">
        <f t="shared" ca="1" si="47"/>
        <v>4.809133955513178</v>
      </c>
      <c r="BG5" s="40">
        <f t="shared" ca="1" si="48"/>
        <v>11.780517063697935</v>
      </c>
      <c r="BH5" s="40">
        <f t="shared" ca="1" si="49"/>
        <v>2.7278119673991776</v>
      </c>
      <c r="BI5" s="40">
        <f t="shared" ca="1" si="50"/>
        <v>7.4344301003676403</v>
      </c>
      <c r="BJ5" s="40">
        <f t="shared" ca="1" si="51"/>
        <v>4.046782570097025</v>
      </c>
      <c r="BK5" s="40">
        <f t="shared" ca="1" si="52"/>
        <v>2.0797730272991153</v>
      </c>
      <c r="BL5" s="40">
        <f t="shared" ca="1" si="53"/>
        <v>11.907076235851514</v>
      </c>
      <c r="BM5" s="40">
        <f t="shared" ca="1" si="54"/>
        <v>0.58857353653426236</v>
      </c>
      <c r="BN5" s="40">
        <f t="shared" ca="1" si="55"/>
        <v>2.7591699341570624</v>
      </c>
      <c r="BO5" s="40">
        <f t="shared" ca="1" si="56"/>
        <v>1.0423530862371126</v>
      </c>
      <c r="BP5" s="40">
        <f t="shared" ca="1" si="57"/>
        <v>1.6649101662105779</v>
      </c>
      <c r="BQ5" s="40">
        <f t="shared" ca="1" si="58"/>
        <v>17.5492096406999</v>
      </c>
      <c r="BR5" s="40">
        <f t="shared" ca="1" si="59"/>
        <v>1.5280274506177967</v>
      </c>
      <c r="BS5" s="40">
        <f t="shared" ca="1" si="60"/>
        <v>4.3533570072255872</v>
      </c>
      <c r="BT5" s="40">
        <f t="shared" ca="1" si="61"/>
        <v>3.7402081329684624</v>
      </c>
      <c r="BU5" s="40">
        <f t="shared" ca="1" si="62"/>
        <v>3.4444534914061467</v>
      </c>
      <c r="BV5" s="40">
        <f t="shared" ca="1" si="63"/>
        <v>12.231576061503171</v>
      </c>
      <c r="BW5" s="40">
        <f t="shared" ca="1" si="64"/>
        <v>1.6751708347513621</v>
      </c>
      <c r="BX5" s="40">
        <f t="shared" ca="1" si="65"/>
        <v>2.2162410737098188</v>
      </c>
      <c r="BY5" s="40">
        <f t="shared" ca="1" si="66"/>
        <v>5.6892840871990522</v>
      </c>
      <c r="BZ5" s="40">
        <f t="shared" ca="1" si="67"/>
        <v>9.8123908103380675</v>
      </c>
      <c r="CA5" s="40">
        <f t="shared" ca="1" si="68"/>
        <v>5.6892840871990522</v>
      </c>
      <c r="CB5" s="40">
        <f t="shared" ca="1" si="69"/>
        <v>6.4052903832213879</v>
      </c>
      <c r="CC5" s="40">
        <f t="shared" ca="1" si="70"/>
        <v>10.465330221450102</v>
      </c>
      <c r="CD5" s="40">
        <f t="shared" ca="1" si="71"/>
        <v>6.4052903832213879</v>
      </c>
      <c r="CE5" s="40">
        <f t="shared" ca="1" si="72"/>
        <v>1.3646804641070311</v>
      </c>
    </row>
    <row r="6" spans="1:83" x14ac:dyDescent="0.25">
      <c r="A6" t="str">
        <f>PLANTILLA!D10</f>
        <v>Jorge W. Whitaker</v>
      </c>
      <c r="B6">
        <f>PLANTILLA!E10</f>
        <v>31</v>
      </c>
      <c r="C6" s="36">
        <f ca="1">PLANTILLA!F10</f>
        <v>102</v>
      </c>
      <c r="D6" s="69" t="str">
        <f>PLANTILLA!G10</f>
        <v>POT</v>
      </c>
      <c r="E6" s="33">
        <v>42633</v>
      </c>
      <c r="F6" s="51">
        <f>PLANTILLA!Q10</f>
        <v>5</v>
      </c>
      <c r="G6" s="52">
        <f t="shared" si="4"/>
        <v>0.84515425472851657</v>
      </c>
      <c r="H6" s="52">
        <f t="shared" si="5"/>
        <v>0.92504826128926143</v>
      </c>
      <c r="I6" s="55">
        <f t="shared" ca="1" si="6"/>
        <v>1</v>
      </c>
      <c r="J6" s="42">
        <f>PLANTILLA!I10</f>
        <v>9.1999999999999993</v>
      </c>
      <c r="K6" s="50">
        <f>PLANTILLA!X10</f>
        <v>0</v>
      </c>
      <c r="L6" s="50">
        <f>PLANTILLA!Y10</f>
        <v>12</v>
      </c>
      <c r="M6" s="50">
        <f>PLANTILLA!Z10</f>
        <v>15.04</v>
      </c>
      <c r="N6" s="50">
        <f>PLANTILLA!AA10</f>
        <v>2.0099999999999998</v>
      </c>
      <c r="O6" s="50">
        <f>PLANTILLA!AB10</f>
        <v>8.3488888888888884</v>
      </c>
      <c r="P6" s="50">
        <f>PLANTILLA!AC10</f>
        <v>2.1666666666666665</v>
      </c>
      <c r="Q6" s="50">
        <f>PLANTILLA!AD10</f>
        <v>8.4488888888888898</v>
      </c>
      <c r="R6" s="50">
        <f t="shared" si="7"/>
        <v>3.9622222222222221</v>
      </c>
      <c r="S6" s="50">
        <f t="shared" si="8"/>
        <v>0.36180000000000001</v>
      </c>
      <c r="T6" s="50">
        <f t="shared" si="9"/>
        <v>0.73346666666666671</v>
      </c>
      <c r="U6" s="50">
        <f t="shared" ca="1" si="10"/>
        <v>9.0718344908169826</v>
      </c>
      <c r="V6" s="50">
        <f t="shared" ca="1" si="11"/>
        <v>9.9294119096991018</v>
      </c>
      <c r="W6" s="40">
        <f t="shared" ca="1" si="12"/>
        <v>5.306849031030227</v>
      </c>
      <c r="X6" s="40">
        <f t="shared" ca="1" si="13"/>
        <v>8.0500001134708157</v>
      </c>
      <c r="Y6" s="40">
        <f t="shared" ca="1" si="14"/>
        <v>5.306849031030227</v>
      </c>
      <c r="Z6" s="40">
        <f t="shared" ca="1" si="15"/>
        <v>7.3710860252137422</v>
      </c>
      <c r="AA6" s="40">
        <f t="shared" ca="1" si="16"/>
        <v>14.28505043646074</v>
      </c>
      <c r="AB6" s="40">
        <f t="shared" ca="1" si="17"/>
        <v>3.6855430126068711</v>
      </c>
      <c r="AC6" s="40">
        <f t="shared" ca="1" si="18"/>
        <v>4.1233620038776557</v>
      </c>
      <c r="AD6" s="40">
        <f t="shared" ca="1" si="19"/>
        <v>5.39974906498216</v>
      </c>
      <c r="AE6" s="40">
        <f t="shared" ca="1" si="20"/>
        <v>10.328091465561114</v>
      </c>
      <c r="AF6" s="40">
        <f t="shared" ca="1" si="21"/>
        <v>2.69987453249108</v>
      </c>
      <c r="AG6" s="40">
        <f t="shared" ca="1" si="22"/>
        <v>6.6701444180373848</v>
      </c>
      <c r="AH6" s="40">
        <f t="shared" ca="1" si="23"/>
        <v>13.142246401543881</v>
      </c>
      <c r="AI6" s="40">
        <f t="shared" ca="1" si="24"/>
        <v>5.9140108806947458</v>
      </c>
      <c r="AJ6" s="40">
        <f t="shared" ca="1" si="25"/>
        <v>2.8932834228889437</v>
      </c>
      <c r="AK6" s="40">
        <f t="shared" ca="1" si="26"/>
        <v>2.5254896566389151</v>
      </c>
      <c r="AL6" s="40">
        <f t="shared" ca="1" si="27"/>
        <v>10.770928029091397</v>
      </c>
      <c r="AM6" s="40">
        <f t="shared" ca="1" si="28"/>
        <v>10.113815709014203</v>
      </c>
      <c r="AN6" s="40">
        <f t="shared" ca="1" si="29"/>
        <v>1.7925678673333882</v>
      </c>
      <c r="AO6" s="40">
        <f t="shared" ca="1" si="30"/>
        <v>1.7992145257006928</v>
      </c>
      <c r="AP6" s="40">
        <f t="shared" ca="1" si="31"/>
        <v>3.8569636178444</v>
      </c>
      <c r="AQ6" s="40">
        <f t="shared" ca="1" si="32"/>
        <v>8.4853199592576782</v>
      </c>
      <c r="AR6" s="40">
        <f t="shared" ca="1" si="33"/>
        <v>1.9284818089222</v>
      </c>
      <c r="AS6" s="40">
        <f t="shared" ca="1" si="34"/>
        <v>16.354847612018936</v>
      </c>
      <c r="AT6" s="40">
        <f t="shared" ca="1" si="35"/>
        <v>1.3824121122954516</v>
      </c>
      <c r="AU6" s="40">
        <f t="shared" ca="1" si="36"/>
        <v>2.0462197778829969</v>
      </c>
      <c r="AV6" s="40">
        <f t="shared" ca="1" si="37"/>
        <v>0.69120605614772579</v>
      </c>
      <c r="AW6" s="40">
        <f t="shared" ca="1" si="38"/>
        <v>2.69987453249108</v>
      </c>
      <c r="AX6" s="40">
        <f t="shared" ca="1" si="39"/>
        <v>5.714020174584296</v>
      </c>
      <c r="AY6" s="40">
        <f t="shared" ca="1" si="40"/>
        <v>1.34993726624554</v>
      </c>
      <c r="AZ6" s="40">
        <f t="shared" ca="1" si="41"/>
        <v>17.325050436460739</v>
      </c>
      <c r="BA6" s="40">
        <f t="shared" ca="1" si="42"/>
        <v>2.6903866493134561</v>
      </c>
      <c r="BB6" s="40">
        <f t="shared" ca="1" si="43"/>
        <v>4.5610339016009789</v>
      </c>
      <c r="BC6" s="40">
        <f t="shared" ca="1" si="44"/>
        <v>1.345193324656728</v>
      </c>
      <c r="BD6" s="40">
        <f t="shared" ca="1" si="45"/>
        <v>4.1569496770100747</v>
      </c>
      <c r="BE6" s="40">
        <f t="shared" ca="1" si="46"/>
        <v>4.9711975518883369</v>
      </c>
      <c r="BF6" s="40">
        <f t="shared" ca="1" si="47"/>
        <v>15.263369434521911</v>
      </c>
      <c r="BG6" s="40">
        <f t="shared" ca="1" si="48"/>
        <v>5.8150498380135973</v>
      </c>
      <c r="BH6" s="40">
        <f t="shared" ca="1" si="49"/>
        <v>2.5627793774092602</v>
      </c>
      <c r="BI6" s="40">
        <f t="shared" ca="1" si="50"/>
        <v>6.9282494616834587</v>
      </c>
      <c r="BJ6" s="40">
        <f t="shared" ca="1" si="51"/>
        <v>3.7712533152256356</v>
      </c>
      <c r="BK6" s="40">
        <f t="shared" ca="1" si="52"/>
        <v>6.6008442162915415</v>
      </c>
      <c r="BL6" s="40">
        <f t="shared" ca="1" si="53"/>
        <v>5.0279907481333534</v>
      </c>
      <c r="BM6" s="40">
        <f t="shared" ca="1" si="54"/>
        <v>0.55296484491818065</v>
      </c>
      <c r="BN6" s="40">
        <f t="shared" ca="1" si="55"/>
        <v>2.5713090785629329</v>
      </c>
      <c r="BO6" s="40">
        <f t="shared" ca="1" si="56"/>
        <v>0.97138342967933033</v>
      </c>
      <c r="BP6" s="40">
        <f t="shared" ca="1" si="57"/>
        <v>5.2841403831205254</v>
      </c>
      <c r="BQ6" s="40">
        <f t="shared" ca="1" si="58"/>
        <v>7.3363570835107339</v>
      </c>
      <c r="BR6" s="40">
        <f t="shared" ca="1" si="59"/>
        <v>1.4355818089221999</v>
      </c>
      <c r="BS6" s="40">
        <f t="shared" ca="1" si="60"/>
        <v>4.0569543239548498</v>
      </c>
      <c r="BT6" s="40">
        <f t="shared" ca="1" si="61"/>
        <v>3.4855523064964204</v>
      </c>
      <c r="BU6" s="40">
        <f t="shared" ca="1" si="62"/>
        <v>10.932106825406727</v>
      </c>
      <c r="BV6" s="40">
        <f t="shared" ca="1" si="63"/>
        <v>5.0674756961879179</v>
      </c>
      <c r="BW6" s="40">
        <f t="shared" ca="1" si="64"/>
        <v>1.5738230201517449</v>
      </c>
      <c r="BX6" s="40">
        <f t="shared" ca="1" si="65"/>
        <v>7.0339704772030602</v>
      </c>
      <c r="BY6" s="40">
        <f t="shared" ca="1" si="66"/>
        <v>3.8423401662849339</v>
      </c>
      <c r="BZ6" s="40">
        <f t="shared" ca="1" si="67"/>
        <v>8.3695801247881256</v>
      </c>
      <c r="CA6" s="40">
        <f t="shared" ca="1" si="68"/>
        <v>3.8423401662849339</v>
      </c>
      <c r="CB6" s="40">
        <f t="shared" ca="1" si="69"/>
        <v>3.6166719774705962</v>
      </c>
      <c r="CC6" s="40">
        <f t="shared" ca="1" si="70"/>
        <v>8.3756407141814186</v>
      </c>
      <c r="CD6" s="40">
        <f t="shared" ca="1" si="71"/>
        <v>3.6166719774705962</v>
      </c>
      <c r="CE6" s="40">
        <f t="shared" ca="1" si="72"/>
        <v>4.3312626091151847</v>
      </c>
    </row>
    <row r="7" spans="1:83" x14ac:dyDescent="0.25">
      <c r="A7" t="str">
        <f>PLANTILLA!D8</f>
        <v>Andrea Califano</v>
      </c>
      <c r="B7">
        <f>PLANTILLA!E8</f>
        <v>31</v>
      </c>
      <c r="C7" s="36">
        <f ca="1">PLANTILLA!F8</f>
        <v>15</v>
      </c>
      <c r="D7" s="69">
        <f>PLANTILLA!G8</f>
        <v>0</v>
      </c>
      <c r="E7" s="33">
        <v>42332</v>
      </c>
      <c r="F7" s="51">
        <f>PLANTILLA!Q8</f>
        <v>6</v>
      </c>
      <c r="G7" s="52">
        <f t="shared" si="4"/>
        <v>0.92582009977255142</v>
      </c>
      <c r="H7" s="52">
        <f t="shared" si="5"/>
        <v>0.99928545900129484</v>
      </c>
      <c r="I7" s="55">
        <f t="shared" ca="1" si="6"/>
        <v>1</v>
      </c>
      <c r="J7" s="42">
        <f>PLANTILLA!I8</f>
        <v>8.3000000000000007</v>
      </c>
      <c r="K7" s="50">
        <f>PLANTILLA!X8</f>
        <v>0</v>
      </c>
      <c r="L7" s="50">
        <f>PLANTILLA!Y8</f>
        <v>14</v>
      </c>
      <c r="M7" s="50">
        <f>PLANTILLA!Z8</f>
        <v>3.02</v>
      </c>
      <c r="N7" s="50">
        <f>PLANTILLA!AA8</f>
        <v>3.01</v>
      </c>
      <c r="O7" s="50">
        <f>PLANTILLA!AB8</f>
        <v>10.01</v>
      </c>
      <c r="P7" s="50">
        <f>PLANTILLA!AC8</f>
        <v>3</v>
      </c>
      <c r="Q7" s="50">
        <f>PLANTILLA!AD8</f>
        <v>17.166666666666668</v>
      </c>
      <c r="R7" s="50">
        <f t="shared" si="7"/>
        <v>4.6274999999999995</v>
      </c>
      <c r="S7" s="50">
        <f t="shared" si="8"/>
        <v>0.66500000000000004</v>
      </c>
      <c r="T7" s="50">
        <f t="shared" si="9"/>
        <v>1.075</v>
      </c>
      <c r="U7" s="50">
        <f t="shared" ca="1" si="10"/>
        <v>17.953599774111197</v>
      </c>
      <c r="V7" s="50">
        <f t="shared" ca="1" si="11"/>
        <v>19.378247669720938</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3.2384813885690726</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PLANTILLA!D9</f>
        <v>Ibiur Altxakoa</v>
      </c>
      <c r="B8">
        <f>PLANTILLA!E9</f>
        <v>32</v>
      </c>
      <c r="C8" s="36">
        <f ca="1">PLANTILLA!F9</f>
        <v>67</v>
      </c>
      <c r="D8" s="69" t="str">
        <f>PLANTILLA!G9</f>
        <v>CAB</v>
      </c>
      <c r="E8" s="33">
        <v>42333</v>
      </c>
      <c r="F8" s="51">
        <f>PLANTILLA!Q9</f>
        <v>4</v>
      </c>
      <c r="G8" s="52">
        <f t="shared" ref="G8:G16" si="73">(F8/7)^0.5</f>
        <v>0.7559289460184544</v>
      </c>
      <c r="H8" s="52">
        <f t="shared" ref="H8:H16" si="74">IF(F8=7,1,((F8+0.99)/7)^0.5)</f>
        <v>0.84430867747355465</v>
      </c>
      <c r="I8" s="55">
        <f t="shared" ca="1" si="6"/>
        <v>1</v>
      </c>
      <c r="J8" s="42">
        <f>PLANTILLA!I9</f>
        <v>10.9</v>
      </c>
      <c r="K8" s="50">
        <f>PLANTILLA!X9</f>
        <v>0</v>
      </c>
      <c r="L8" s="50">
        <f>PLANTILLA!Y9</f>
        <v>15.028571428571428</v>
      </c>
      <c r="M8" s="50">
        <f>PLANTILLA!Z9</f>
        <v>12</v>
      </c>
      <c r="N8" s="50">
        <f>PLANTILLA!AA9</f>
        <v>2.0099999999999998</v>
      </c>
      <c r="O8" s="50">
        <f>PLANTILLA!AB9</f>
        <v>7.1828571428571424</v>
      </c>
      <c r="P8" s="50">
        <f>PLANTILLA!AC9</f>
        <v>3.99</v>
      </c>
      <c r="Q8" s="50">
        <f>PLANTILLA!AD9</f>
        <v>14.599999999999998</v>
      </c>
      <c r="R8" s="50">
        <f t="shared" ref="R8:R16" si="75">((2*(O8+1))+(L8+1))/8</f>
        <v>4.0492857142857144</v>
      </c>
      <c r="S8" s="50">
        <f t="shared" ref="S8:S16" si="76">(0.5*P8+ 0.3*Q8)/10</f>
        <v>0.63749999999999996</v>
      </c>
      <c r="T8" s="50">
        <f t="shared" ref="T8:T16" si="77">(0.4*L8+0.3*Q8)/10</f>
        <v>1.0391428571428569</v>
      </c>
      <c r="U8" s="50">
        <f t="shared" ref="U8:U16" ca="1" si="78">IF(TODAY()-E8&gt;335,(Q8+1+(LOG(J8)*4/3))*(F8/7)^0.5,(Q8+((TODAY()-E8)^0.5)/(336^0.5)+(LOG(J8)*4/3))*(F8/7)^0.5)</f>
        <v>12.838119183434383</v>
      </c>
      <c r="V8" s="50">
        <f t="shared" ref="V8:V16" ca="1" si="79">IF(F8=7,U8,IF(TODAY()-E8&gt;335,(Q8+1+(LOG(J8)*4/3))*((F8+0.99)/7)^0.5,(Q8+((TODAY()-E8)^0.5)/(336^0.5)+(LOG(J8)*4/3))*((F8+0.99)/7)^0.5))</f>
        <v>14.339092961190477</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2.8362003002081124</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str">
        <f>PLANTILLA!D11</f>
        <v>Emilio Mochelato</v>
      </c>
      <c r="B9">
        <f>PLANTILLA!E11</f>
        <v>32</v>
      </c>
      <c r="C9" s="36">
        <f ca="1">PLANTILLA!F11</f>
        <v>19</v>
      </c>
      <c r="D9" s="69" t="str">
        <f>PLANTILLA!G11</f>
        <v>RAP</v>
      </c>
      <c r="E9" s="33">
        <v>42334</v>
      </c>
      <c r="F9" s="51">
        <f>PLANTILLA!Q11</f>
        <v>5</v>
      </c>
      <c r="G9" s="52">
        <f t="shared" si="73"/>
        <v>0.84515425472851657</v>
      </c>
      <c r="H9" s="52">
        <f t="shared" si="74"/>
        <v>0.92504826128926143</v>
      </c>
      <c r="I9" s="55">
        <f t="shared" ca="1" si="6"/>
        <v>1</v>
      </c>
      <c r="J9" s="42">
        <f>PLANTILLA!I11</f>
        <v>10.5</v>
      </c>
      <c r="K9" s="50">
        <f>PLANTILLA!X11</f>
        <v>0</v>
      </c>
      <c r="L9" s="50">
        <f>PLANTILLA!Y11</f>
        <v>5.0196078431372548</v>
      </c>
      <c r="M9" s="50">
        <f>PLANTILLA!Z11</f>
        <v>14.210000000000003</v>
      </c>
      <c r="N9" s="50">
        <f>PLANTILLA!AA11</f>
        <v>5</v>
      </c>
      <c r="O9" s="50">
        <f>PLANTILLA!AB11</f>
        <v>12.487301587301586</v>
      </c>
      <c r="P9" s="50">
        <f>PLANTILLA!AC11</f>
        <v>3.41</v>
      </c>
      <c r="Q9" s="50">
        <f>PLANTILLA!AD11</f>
        <v>15.499999999999998</v>
      </c>
      <c r="R9" s="50">
        <f t="shared" si="75"/>
        <v>4.1242763772175532</v>
      </c>
      <c r="S9" s="50">
        <f t="shared" si="76"/>
        <v>0.63549999999999995</v>
      </c>
      <c r="T9" s="50">
        <f t="shared" si="77"/>
        <v>0.66578431372549018</v>
      </c>
      <c r="U9" s="50">
        <f t="shared" ca="1" si="78"/>
        <v>15.095795177676775</v>
      </c>
      <c r="V9" s="50">
        <f t="shared" ca="1" si="79"/>
        <v>16.522828825341939</v>
      </c>
      <c r="W9" s="40">
        <f t="shared" ca="1" si="80"/>
        <v>3.4470761088232904</v>
      </c>
      <c r="X9" s="40">
        <f t="shared" ca="1" si="81"/>
        <v>5.1821405134657201</v>
      </c>
      <c r="Y9" s="40">
        <f t="shared" ca="1" si="82"/>
        <v>3.4470761088232904</v>
      </c>
      <c r="Z9" s="40">
        <f t="shared" ca="1" si="83"/>
        <v>3.8086958848189409</v>
      </c>
      <c r="AA9" s="40">
        <f t="shared" ca="1" si="84"/>
        <v>7.3811935752305056</v>
      </c>
      <c r="AB9" s="40">
        <f t="shared" ca="1" si="85"/>
        <v>1.9043479424094705</v>
      </c>
      <c r="AC9" s="40">
        <f t="shared" ca="1" si="86"/>
        <v>3.9440374042381943</v>
      </c>
      <c r="AD9" s="40">
        <f t="shared" ca="1" si="87"/>
        <v>2.790091171437131</v>
      </c>
      <c r="AE9" s="40">
        <f t="shared" ca="1" si="88"/>
        <v>5.3366029548916556</v>
      </c>
      <c r="AF9" s="40">
        <f t="shared" ca="1" si="89"/>
        <v>1.3950455857185655</v>
      </c>
      <c r="AG9" s="40">
        <f t="shared" ca="1" si="90"/>
        <v>6.3800605068559033</v>
      </c>
      <c r="AH9" s="40">
        <f t="shared" ca="1" si="91"/>
        <v>6.7906980892120652</v>
      </c>
      <c r="AI9" s="40">
        <f t="shared" ca="1" si="92"/>
        <v>3.0558141401454293</v>
      </c>
      <c r="AJ9" s="40">
        <f t="shared" ca="1" si="93"/>
        <v>2.7674548172595737</v>
      </c>
      <c r="AK9" s="40">
        <f t="shared" ca="1" si="94"/>
        <v>4.3286124104708312</v>
      </c>
      <c r="AL9" s="40">
        <f t="shared" ca="1" si="95"/>
        <v>5.5654199557238009</v>
      </c>
      <c r="AM9" s="40">
        <f t="shared" ca="1" si="96"/>
        <v>5.225885051263198</v>
      </c>
      <c r="AN9" s="40">
        <f t="shared" ca="1" si="97"/>
        <v>2.9828848172595728</v>
      </c>
      <c r="AO9" s="40">
        <f t="shared" ca="1" si="98"/>
        <v>1.8679282874815113</v>
      </c>
      <c r="AP9" s="40">
        <f t="shared" ca="1" si="99"/>
        <v>1.9929222653122367</v>
      </c>
      <c r="AQ9" s="40">
        <f t="shared" ca="1" si="100"/>
        <v>4.3844289836869201</v>
      </c>
      <c r="AR9" s="40">
        <f t="shared" ca="1" si="101"/>
        <v>0.99646113265611835</v>
      </c>
      <c r="AS9" s="40">
        <f t="shared" ca="1" si="102"/>
        <v>15.643576931096032</v>
      </c>
      <c r="AT9" s="40">
        <f t="shared" ca="1" si="103"/>
        <v>1.930355351521329</v>
      </c>
      <c r="AU9" s="40">
        <f t="shared" ca="1" si="104"/>
        <v>2.7803508099795127</v>
      </c>
      <c r="AV9" s="40">
        <f t="shared" ca="1" si="105"/>
        <v>0.96517767576066449</v>
      </c>
      <c r="AW9" s="40">
        <f t="shared" ca="1" si="106"/>
        <v>1.3950455857185655</v>
      </c>
      <c r="AX9" s="40">
        <f t="shared" ca="1" si="107"/>
        <v>2.9524774300922023</v>
      </c>
      <c r="AY9" s="40">
        <f t="shared" ca="1" si="108"/>
        <v>0.69752279285928276</v>
      </c>
      <c r="AZ9" s="40">
        <f t="shared" ca="1" si="109"/>
        <v>16.571585732093254</v>
      </c>
      <c r="BA9" s="40">
        <f t="shared" ca="1" si="110"/>
        <v>3.756768491806894</v>
      </c>
      <c r="BB9" s="40">
        <f t="shared" ca="1" si="111"/>
        <v>6.2755035796532228</v>
      </c>
      <c r="BC9" s="40">
        <f t="shared" ca="1" si="112"/>
        <v>1.878384245903447</v>
      </c>
      <c r="BD9" s="40">
        <f t="shared" ca="1" si="113"/>
        <v>2.147927330392077</v>
      </c>
      <c r="BE9" s="40">
        <f t="shared" ca="1" si="114"/>
        <v>2.5686553641802159</v>
      </c>
      <c r="BF9" s="40">
        <f t="shared" ca="1" si="115"/>
        <v>14.599567029974157</v>
      </c>
      <c r="BG9" s="40">
        <f t="shared" ca="1" si="116"/>
        <v>8.9029497158308999</v>
      </c>
      <c r="BH9" s="40">
        <f t="shared" ca="1" si="117"/>
        <v>3.5785818439741557</v>
      </c>
      <c r="BI9" s="40">
        <f t="shared" ca="1" si="118"/>
        <v>3.5798788839867952</v>
      </c>
      <c r="BJ9" s="40">
        <f t="shared" ca="1" si="119"/>
        <v>1.9486351038608536</v>
      </c>
      <c r="BK9" s="40">
        <f t="shared" ca="1" si="120"/>
        <v>6.3137741639275298</v>
      </c>
      <c r="BL9" s="40">
        <f t="shared" ca="1" si="121"/>
        <v>7.9389735488971205</v>
      </c>
      <c r="BM9" s="40">
        <f t="shared" ca="1" si="122"/>
        <v>0.77214214060853148</v>
      </c>
      <c r="BN9" s="40">
        <f t="shared" ca="1" si="123"/>
        <v>1.3286148435414908</v>
      </c>
      <c r="BO9" s="40">
        <f t="shared" ca="1" si="124"/>
        <v>0.50192116311567436</v>
      </c>
      <c r="BP9" s="40">
        <f t="shared" ca="1" si="125"/>
        <v>5.0543336482884422</v>
      </c>
      <c r="BQ9" s="40">
        <f t="shared" ca="1" si="126"/>
        <v>11.608367505440174</v>
      </c>
      <c r="BR9" s="40">
        <f t="shared" ca="1" si="127"/>
        <v>2.0045997881183033</v>
      </c>
      <c r="BS9" s="40">
        <f t="shared" ca="1" si="128"/>
        <v>2.0962589753654632</v>
      </c>
      <c r="BT9" s="40">
        <f t="shared" ca="1" si="129"/>
        <v>1.8010112323562433</v>
      </c>
      <c r="BU9" s="40">
        <f t="shared" ca="1" si="130"/>
        <v>10.456670596950843</v>
      </c>
      <c r="BV9" s="40">
        <f t="shared" ca="1" si="131"/>
        <v>8.0336684365726647</v>
      </c>
      <c r="BW9" s="40">
        <f t="shared" ca="1" si="132"/>
        <v>2.1976353232704358</v>
      </c>
      <c r="BX9" s="40">
        <f t="shared" ca="1" si="133"/>
        <v>6.7280638072298613</v>
      </c>
      <c r="BY9" s="40">
        <f t="shared" ca="1" si="134"/>
        <v>5.5052815632459797</v>
      </c>
      <c r="BZ9" s="40">
        <f t="shared" ca="1" si="135"/>
        <v>11.427780296241764</v>
      </c>
      <c r="CA9" s="40">
        <f t="shared" ca="1" si="136"/>
        <v>5.5052815632459797</v>
      </c>
      <c r="CB9" s="40">
        <f t="shared" ca="1" si="137"/>
        <v>5.2360647364909205</v>
      </c>
      <c r="CC9" s="40">
        <f t="shared" ca="1" si="138"/>
        <v>11.250825152949947</v>
      </c>
      <c r="CD9" s="40">
        <f t="shared" ca="1" si="139"/>
        <v>5.2360647364909205</v>
      </c>
      <c r="CE9" s="40">
        <f t="shared" ca="1" si="140"/>
        <v>4.1428964330233136</v>
      </c>
    </row>
    <row r="10" spans="1:83" x14ac:dyDescent="0.25">
      <c r="A10" t="str">
        <f>PLANTILLA!D13</f>
        <v>Iyad Chaabo</v>
      </c>
      <c r="B10">
        <f>PLANTILLA!E13</f>
        <v>31</v>
      </c>
      <c r="C10" s="36">
        <f ca="1">PLANTILLA!F13</f>
        <v>83</v>
      </c>
      <c r="D10" s="69">
        <f>PLANTILLA!G13</f>
        <v>0</v>
      </c>
      <c r="E10" s="33">
        <v>42335</v>
      </c>
      <c r="F10" s="51">
        <f>PLANTILLA!Q13</f>
        <v>7</v>
      </c>
      <c r="G10" s="52">
        <f t="shared" si="73"/>
        <v>1</v>
      </c>
      <c r="H10" s="52">
        <f t="shared" si="74"/>
        <v>1</v>
      </c>
      <c r="I10" s="55">
        <f t="shared" ca="1" si="6"/>
        <v>1</v>
      </c>
      <c r="J10" s="42">
        <f>PLANTILLA!I13</f>
        <v>8.6999999999999993</v>
      </c>
      <c r="K10" s="50">
        <f>PLANTILLA!X13</f>
        <v>0</v>
      </c>
      <c r="L10" s="50">
        <f>PLANTILLA!Y13</f>
        <v>4</v>
      </c>
      <c r="M10" s="50">
        <f>PLANTILLA!Z13</f>
        <v>12.022727272727273</v>
      </c>
      <c r="N10" s="50">
        <f>PLANTILLA!AA13</f>
        <v>14.066666666666666</v>
      </c>
      <c r="O10" s="50">
        <f>PLANTILLA!AB13</f>
        <v>8.5999999999999979</v>
      </c>
      <c r="P10" s="50">
        <f>PLANTILLA!AC13</f>
        <v>3.01</v>
      </c>
      <c r="Q10" s="50">
        <f>PLANTILLA!AD13</f>
        <v>6</v>
      </c>
      <c r="R10" s="50">
        <f t="shared" si="75"/>
        <v>3.0249999999999995</v>
      </c>
      <c r="S10" s="50">
        <f t="shared" si="76"/>
        <v>0.33049999999999996</v>
      </c>
      <c r="T10" s="50">
        <f t="shared" si="77"/>
        <v>0.33999999999999997</v>
      </c>
      <c r="U10" s="50">
        <f t="shared" ca="1" si="78"/>
        <v>8.2526923368248255</v>
      </c>
      <c r="V10" s="50">
        <f t="shared" ca="1" si="79"/>
        <v>8.2526923368248255</v>
      </c>
      <c r="W10" s="40">
        <f t="shared" ca="1" si="80"/>
        <v>3.0706004100480717</v>
      </c>
      <c r="X10" s="40">
        <f t="shared" ca="1" si="81"/>
        <v>4.6082258068408484</v>
      </c>
      <c r="Y10" s="40">
        <f t="shared" ca="1" si="82"/>
        <v>3.0706004100480717</v>
      </c>
      <c r="Z10" s="40">
        <f t="shared" ca="1" si="83"/>
        <v>3.2263892458016095</v>
      </c>
      <c r="AA10" s="40">
        <f t="shared" ca="1" si="84"/>
        <v>6.2526923368248246</v>
      </c>
      <c r="AB10" s="40">
        <f t="shared" ca="1" si="85"/>
        <v>1.6131946229008047</v>
      </c>
      <c r="AC10" s="40">
        <f t="shared" ca="1" si="86"/>
        <v>3.3975498670733995</v>
      </c>
      <c r="AD10" s="40">
        <f t="shared" ca="1" si="87"/>
        <v>2.3635177033197836</v>
      </c>
      <c r="AE10" s="40">
        <f t="shared" ca="1" si="88"/>
        <v>4.5206965595243478</v>
      </c>
      <c r="AF10" s="40">
        <f t="shared" ca="1" si="89"/>
        <v>1.1817588516598918</v>
      </c>
      <c r="AG10" s="40">
        <f t="shared" ca="1" si="90"/>
        <v>5.4960365496775578</v>
      </c>
      <c r="AH10" s="40">
        <f t="shared" ca="1" si="91"/>
        <v>5.7524769498788393</v>
      </c>
      <c r="AI10" s="40">
        <f t="shared" ca="1" si="92"/>
        <v>2.5886146274454771</v>
      </c>
      <c r="AJ10" s="40">
        <f t="shared" ca="1" si="93"/>
        <v>2.3839950747952008</v>
      </c>
      <c r="AK10" s="40">
        <f t="shared" ca="1" si="94"/>
        <v>9.5957830940529973</v>
      </c>
      <c r="AL10" s="40">
        <f t="shared" ca="1" si="95"/>
        <v>4.7145300219659179</v>
      </c>
      <c r="AM10" s="40">
        <f t="shared" ca="1" si="96"/>
        <v>4.4269061744719753</v>
      </c>
      <c r="AN10" s="40">
        <f t="shared" ca="1" si="97"/>
        <v>1.378199620249746</v>
      </c>
      <c r="AO10" s="40">
        <f t="shared" ca="1" si="98"/>
        <v>1.5199753930055493</v>
      </c>
      <c r="AP10" s="40">
        <f t="shared" ca="1" si="99"/>
        <v>1.6882269309427027</v>
      </c>
      <c r="AQ10" s="40">
        <f t="shared" ca="1" si="100"/>
        <v>3.7140992480739459</v>
      </c>
      <c r="AR10" s="40">
        <f t="shared" ca="1" si="101"/>
        <v>0.84411346547135135</v>
      </c>
      <c r="AS10" s="40">
        <f t="shared" ca="1" si="102"/>
        <v>13.47599611141718</v>
      </c>
      <c r="AT10" s="40">
        <f t="shared" ca="1" si="103"/>
        <v>1.4108500037872271</v>
      </c>
      <c r="AU10" s="40">
        <f t="shared" ca="1" si="104"/>
        <v>2.2127688546896733</v>
      </c>
      <c r="AV10" s="40">
        <f t="shared" ca="1" si="105"/>
        <v>0.70542500189361357</v>
      </c>
      <c r="AW10" s="40">
        <f t="shared" ca="1" si="106"/>
        <v>1.1817588516598918</v>
      </c>
      <c r="AX10" s="40">
        <f t="shared" ca="1" si="107"/>
        <v>2.5010769347299302</v>
      </c>
      <c r="AY10" s="40">
        <f t="shared" ca="1" si="108"/>
        <v>0.5908794258299459</v>
      </c>
      <c r="AZ10" s="40">
        <f t="shared" ca="1" si="109"/>
        <v>14.275419609552099</v>
      </c>
      <c r="BA10" s="40">
        <f t="shared" ca="1" si="110"/>
        <v>2.7457311612166801</v>
      </c>
      <c r="BB10" s="40">
        <f t="shared" ca="1" si="111"/>
        <v>4.8059334775904778</v>
      </c>
      <c r="BC10" s="40">
        <f t="shared" ca="1" si="112"/>
        <v>1.3728655806083401</v>
      </c>
      <c r="BD10" s="40">
        <f t="shared" ca="1" si="113"/>
        <v>1.8195334700160239</v>
      </c>
      <c r="BE10" s="40">
        <f t="shared" ca="1" si="114"/>
        <v>2.1759369332150387</v>
      </c>
      <c r="BF10" s="40">
        <f t="shared" ca="1" si="115"/>
        <v>12.5766446760154</v>
      </c>
      <c r="BG10" s="40">
        <f t="shared" ca="1" si="116"/>
        <v>12.785910154103936</v>
      </c>
      <c r="BH10" s="40">
        <f t="shared" ca="1" si="117"/>
        <v>2.6154988531747825</v>
      </c>
      <c r="BI10" s="40">
        <f t="shared" ca="1" si="118"/>
        <v>3.0325557833600398</v>
      </c>
      <c r="BJ10" s="40">
        <f t="shared" ca="1" si="119"/>
        <v>1.6507107769217537</v>
      </c>
      <c r="BK10" s="40">
        <f t="shared" ca="1" si="120"/>
        <v>5.4389348712393497</v>
      </c>
      <c r="BL10" s="40">
        <f t="shared" ca="1" si="121"/>
        <v>13.164319769051565</v>
      </c>
      <c r="BM10" s="40">
        <f t="shared" ca="1" si="122"/>
        <v>0.56434000151489083</v>
      </c>
      <c r="BN10" s="40">
        <f t="shared" ca="1" si="123"/>
        <v>1.1254846206284683</v>
      </c>
      <c r="BO10" s="40">
        <f t="shared" ca="1" si="124"/>
        <v>0.42518307890408813</v>
      </c>
      <c r="BP10" s="40">
        <f t="shared" ca="1" si="125"/>
        <v>4.35400298091339</v>
      </c>
      <c r="BQ10" s="40">
        <f t="shared" ca="1" si="126"/>
        <v>19.423229011823391</v>
      </c>
      <c r="BR10" s="40">
        <f t="shared" ca="1" si="127"/>
        <v>1.4651134654713514</v>
      </c>
      <c r="BS10" s="40">
        <f t="shared" ca="1" si="128"/>
        <v>1.7757646236582501</v>
      </c>
      <c r="BT10" s="40">
        <f t="shared" ca="1" si="129"/>
        <v>1.5256569301852572</v>
      </c>
      <c r="BU10" s="40">
        <f t="shared" ca="1" si="130"/>
        <v>9.0077897736273744</v>
      </c>
      <c r="BV10" s="40">
        <f t="shared" ca="1" si="131"/>
        <v>13.550759641458217</v>
      </c>
      <c r="BW10" s="40">
        <f t="shared" ca="1" si="132"/>
        <v>1.6061984658500739</v>
      </c>
      <c r="BX10" s="40">
        <f t="shared" ca="1" si="133"/>
        <v>5.7958203614781523</v>
      </c>
      <c r="BY10" s="40">
        <f t="shared" ca="1" si="134"/>
        <v>5.7315227074857322</v>
      </c>
      <c r="BZ10" s="40">
        <f t="shared" ca="1" si="135"/>
        <v>8.9611615712647517</v>
      </c>
      <c r="CA10" s="40">
        <f t="shared" ca="1" si="136"/>
        <v>5.7315227074857322</v>
      </c>
      <c r="CB10" s="40">
        <f t="shared" ca="1" si="137"/>
        <v>6.5159606591751986</v>
      </c>
      <c r="CC10" s="40">
        <f t="shared" ca="1" si="138"/>
        <v>9.2673358091131846</v>
      </c>
      <c r="CD10" s="40">
        <f t="shared" ca="1" si="139"/>
        <v>6.5159606591751986</v>
      </c>
      <c r="CE10" s="40">
        <f t="shared" ca="1" si="140"/>
        <v>3.5688549023880247</v>
      </c>
    </row>
    <row r="11" spans="1:83" x14ac:dyDescent="0.25">
      <c r="A11" t="str">
        <f>PLANTILLA!D14</f>
        <v>Morgan Thomas</v>
      </c>
      <c r="B11">
        <f>PLANTILLA!E14</f>
        <v>32</v>
      </c>
      <c r="C11" s="36">
        <f ca="1">PLANTILLA!F14</f>
        <v>108</v>
      </c>
      <c r="D11" s="69" t="str">
        <f>PLANTILLA!G14</f>
        <v>CAB</v>
      </c>
      <c r="E11" s="33">
        <v>42336</v>
      </c>
      <c r="F11" s="51">
        <f>PLANTILLA!Q14</f>
        <v>4</v>
      </c>
      <c r="G11" s="52">
        <f t="shared" si="73"/>
        <v>0.7559289460184544</v>
      </c>
      <c r="H11" s="52">
        <f t="shared" si="74"/>
        <v>0.84430867747355465</v>
      </c>
      <c r="I11" s="55">
        <f t="shared" ca="1" si="6"/>
        <v>1</v>
      </c>
      <c r="J11" s="42">
        <f>PLANTILLA!I14</f>
        <v>10.199999999999999</v>
      </c>
      <c r="K11" s="50">
        <f>PLANTILLA!X14</f>
        <v>0</v>
      </c>
      <c r="L11" s="50">
        <f>PLANTILLA!Y14</f>
        <v>1.037037037037037</v>
      </c>
      <c r="M11" s="50">
        <f>PLANTILLA!Z14</f>
        <v>13.230909090909091</v>
      </c>
      <c r="N11" s="50">
        <f>PLANTILLA!AA14</f>
        <v>14.058518518518518</v>
      </c>
      <c r="O11" s="50">
        <f>PLANTILLA!AB14</f>
        <v>10.936666666666666</v>
      </c>
      <c r="P11" s="50">
        <f>PLANTILLA!AC14</f>
        <v>2.95</v>
      </c>
      <c r="Q11" s="50">
        <f>PLANTILLA!AD14</f>
        <v>10.333333333333334</v>
      </c>
      <c r="R11" s="50">
        <f t="shared" si="75"/>
        <v>3.2387962962962962</v>
      </c>
      <c r="S11" s="50">
        <f t="shared" si="76"/>
        <v>0.45750000000000002</v>
      </c>
      <c r="T11" s="50">
        <f t="shared" si="77"/>
        <v>0.35148148148148151</v>
      </c>
      <c r="U11" s="50">
        <f t="shared" ca="1" si="78"/>
        <v>9.583768141267841</v>
      </c>
      <c r="V11" s="50">
        <f t="shared" ca="1" si="79"/>
        <v>10.70425818086016</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2.1172483049123203</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2.5097764671016556</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5.6408882595210885</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6.3548842526506117</v>
      </c>
      <c r="BZ11" s="40">
        <f t="shared" ca="1" si="135"/>
        <v>10.298705057871892</v>
      </c>
      <c r="CA11" s="40">
        <f t="shared" ca="1" si="136"/>
        <v>6.3548842526506117</v>
      </c>
      <c r="CB11" s="40">
        <f t="shared" ca="1" si="137"/>
        <v>6.8877498019361578</v>
      </c>
      <c r="CC11" s="40">
        <f t="shared" ca="1" si="138"/>
        <v>10.195661513522754</v>
      </c>
      <c r="CD11" s="40">
        <f t="shared" ca="1" si="139"/>
        <v>6.8877498019361578</v>
      </c>
      <c r="CE11" s="40">
        <f t="shared" ca="1" si="140"/>
        <v>3.8939273299812451</v>
      </c>
    </row>
    <row r="12" spans="1:83" x14ac:dyDescent="0.25">
      <c r="A12" t="str">
        <f>PLANTILLA!D12</f>
        <v>Cezary Pauch</v>
      </c>
      <c r="B12">
        <f>PLANTILLA!E12</f>
        <v>30</v>
      </c>
      <c r="C12" s="36">
        <f ca="1">PLANTILLA!F12</f>
        <v>0</v>
      </c>
      <c r="D12" s="69" t="str">
        <f>PLANTILLA!G12</f>
        <v>RAP</v>
      </c>
      <c r="E12" s="33">
        <v>42630</v>
      </c>
      <c r="F12" s="51">
        <f>PLANTILLA!Q12</f>
        <v>4</v>
      </c>
      <c r="G12" s="52">
        <f>(F12/7)^0.5</f>
        <v>0.7559289460184544</v>
      </c>
      <c r="H12" s="52">
        <f>IF(F12=7,1,((F12+0.99)/7)^0.5)</f>
        <v>0.84430867747355465</v>
      </c>
      <c r="I12" s="55">
        <f ca="1">IF(TODAY()-E12&gt;335,1,((TODAY()-E12)^0.5)/336^0.5)</f>
        <v>1</v>
      </c>
      <c r="J12" s="42">
        <f>PLANTILLA!I12</f>
        <v>6.1</v>
      </c>
      <c r="K12" s="50">
        <f>PLANTILLA!X12</f>
        <v>0</v>
      </c>
      <c r="L12" s="50">
        <f>PLANTILLA!Y12</f>
        <v>2</v>
      </c>
      <c r="M12" s="50">
        <f>PLANTILLA!Z12</f>
        <v>13.022727272727273</v>
      </c>
      <c r="N12" s="50">
        <f>PLANTILLA!AA12</f>
        <v>14.00679012345679</v>
      </c>
      <c r="O12" s="50">
        <f>PLANTILLA!AB12</f>
        <v>6.9986111111111118</v>
      </c>
      <c r="P12" s="50">
        <f>PLANTILLA!AC12</f>
        <v>5.01</v>
      </c>
      <c r="Q12" s="50">
        <f>PLANTILLA!AD12</f>
        <v>1</v>
      </c>
      <c r="R12" s="50">
        <f>((2*(O12+1))+(L12+1))/8</f>
        <v>2.3746527777777779</v>
      </c>
      <c r="S12" s="50">
        <f>(0.5*P12+ 0.3*Q12)/10</f>
        <v>0.28049999999999997</v>
      </c>
      <c r="T12" s="50">
        <f>(0.4*L12+0.3*Q12)/10</f>
        <v>0.11000000000000001</v>
      </c>
      <c r="U12" s="50">
        <f ca="1">IF(TODAY()-E12&gt;335,(Q12+1+(LOG(J12)*4/3))*(F12/7)^0.5,(Q12+((TODAY()-E12)^0.5)/(336^0.5)+(LOG(J12)*4/3))*(F12/7)^0.5)</f>
        <v>2.303395964645623</v>
      </c>
      <c r="V12" s="50">
        <f ca="1">IF(F12=7,U12,IF(TODAY()-E12&gt;335,(Q12+1+(LOG(J12)*4/3))*((F12+0.99)/7)^0.5,(Q12+((TODAY()-E12)^0.5)/(336^0.5)+(LOG(J12)*4/3))*((F12+0.99)/7)^0.5))</f>
        <v>2.5726984141183968</v>
      </c>
      <c r="W12" s="40">
        <f ca="1">IF(TODAY()-E12&gt;335,((K12+1+(LOG(J12)*4/3))*0.597)+((L12+1+(LOG(J12)*4/3))*0.276),((K12+(((TODAY()-E12)^0.5)/(336^0.5))+(LOG(J12)*4/3))*0.597)+((L12+(((TODAY()-E12)^0.5)/(336^0.5))+(LOG(J12)*4/3))*0.276))</f>
        <v>2.3391239279525324</v>
      </c>
      <c r="X12" s="40">
        <f ca="1">IF(TODAY()-E12&gt;335,((K12+1+(LOG(J12)*4/3))*0.866)+((L12+1+(LOG(J12)*4/3))*0.425),((K12+(((TODAY()-E12)^0.5)/(336^0.5))+(LOG(J12)*4/3))*0.866)+((L12+(((TODAY()-E12)^0.5)/(336^0.5))+(LOG(J12)*4/3))*0.425))</f>
        <v>3.4928144226651998</v>
      </c>
      <c r="Y12" s="40">
        <f ca="1">W12</f>
        <v>2.3391239279525324</v>
      </c>
      <c r="Z12" s="40">
        <f ca="1">IF(TODAY()-E12&gt;335,((L12+1+(LOG(J12)*4/3))*0.516),((L12+(((TODAY()-E12)^0.5)/(336^0.516))+(LOG(J12)*4/3))*0.516))</f>
        <v>2.0883069264874075</v>
      </c>
      <c r="AA12" s="40">
        <f ca="1">IF(TODAY()-E12&gt;335,((L12+1+(LOG(J12)*4/3))*1),((L12+(((TODAY()-E12)^0.5)/(336^0.5))+(LOG(J12)*4/3))*1))</f>
        <v>4.0471064466810223</v>
      </c>
      <c r="AB12" s="40">
        <f ca="1">Z12/2</f>
        <v>1.0441534632437037</v>
      </c>
      <c r="AC12" s="40">
        <f ca="1">IF(TODAY()-E12&gt;335,((M12+1+(LOG(J12)*4/3))*0.238),((M12+(((TODAY()-E12)^0.5)/(336^0.238))+(LOG(J12)*4/3))*0.238))</f>
        <v>3.586620425219174</v>
      </c>
      <c r="AD12" s="40">
        <f ca="1">IF(TODAY()-E12&gt;335,((L12+1+(LOG(J12)*4/3))*0.378),((L12+(((TODAY()-E12)^0.5)/(336^0.516))+(LOG(J12)*4/3))*0.378))</f>
        <v>1.5298062368454264</v>
      </c>
      <c r="AE12" s="40">
        <f ca="1">IF(TODAY()-E12&gt;335,((L12+1+(LOG(J12)*4/3))*0.723),((L12+(((TODAY()-E12)^0.5)/(336^0.5))+(LOG(J12)*4/3))*0.723))</f>
        <v>2.926057960950379</v>
      </c>
      <c r="AF12" s="40">
        <f ca="1">AD12/2</f>
        <v>0.76490311842271319</v>
      </c>
      <c r="AG12" s="40">
        <f ca="1">IF(TODAY()-E12&gt;335,((M12+1+(LOG(J12)*4/3))*0.385),((M12+(((TODAY()-E12)^0.5)/(336^0.238))+(LOG(J12)*4/3))*0.385))</f>
        <v>5.8018859819721937</v>
      </c>
      <c r="AH12" s="40">
        <f ca="1">IF(TODAY()-E12&gt;335,((L12+1+(LOG(J12)*4/3))*0.92),((L12+(((TODAY()-E12)^0.5)/(336^0.5))+(LOG(J12)*4/3))*0.92))</f>
        <v>3.7233379309465406</v>
      </c>
      <c r="AI12" s="40">
        <f ca="1">IF(TODAY()-E12&gt;335,((L12+1+(LOG(J12)*4/3))*0.414),((L12+(((TODAY()-E12)^0.5)/(336^0.414))+(LOG(J12)*4/3))*0.414))</f>
        <v>1.6755020689259432</v>
      </c>
      <c r="AJ12" s="40">
        <f ca="1">IF(TODAY()-E12&gt;335,((M12+1+(LOG(J12)*4/3))*0.167),((M12+(((TODAY()-E12)^0.5)/(336^0.5))+(LOG(J12)*4/3))*0.167))</f>
        <v>2.5166622311411855</v>
      </c>
      <c r="AK12" s="40">
        <f ca="1">IF(TODAY()-E12&gt;335,((N12+1+(LOG(J12)*4/3))*0.588),((N12+(((TODAY()-E12)^0.5)/(336^0.5))+(LOG(J12)*4/3))*0.588))</f>
        <v>9.4396911832410328</v>
      </c>
      <c r="AL12" s="40">
        <f ca="1">IF(TODAY()-E12&gt;335,((L12+1+(LOG(J12)*4/3))*0.754),((L12+(((TODAY()-E12)^0.5)/(336^0.5))+(LOG(J12)*4/3))*0.754))</f>
        <v>3.0515182607974909</v>
      </c>
      <c r="AM12" s="40">
        <f ca="1">IF(TODAY()-E12&gt;335,((L12+1+(LOG(J12)*4/3))*0.708),((L12+(((TODAY()-E12)^0.5)/(336^0.414))+(LOG(J12)*4/3))*0.708))</f>
        <v>2.8653513642501638</v>
      </c>
      <c r="AN12" s="40">
        <f ca="1">IF(TODAY()-E12&gt;335,((Q12+1+(LOG(J12)*4/3))*0.167),((Q12+(((TODAY()-E12)^0.5)/(336^0.5))+(LOG(J12)*4/3))*0.167))</f>
        <v>0.50886677659573087</v>
      </c>
      <c r="AO12" s="40">
        <f ca="1">IF(TODAY()-E12&gt;335,((R12+1+(LOG(J12)*4/3))*0.288),((R12+(((TODAY()-E12)^0.5)/(336^0.5))+(LOG(J12)*4/3))*0.288))</f>
        <v>1.2734666566441344</v>
      </c>
      <c r="AP12" s="40">
        <f ca="1">IF(TODAY()-E12&gt;335,((L12+1+(LOG(J12)*4/3))*0.27),((L12+(((TODAY()-E12)^0.5)/(336^0.5))+(LOG(J12)*4/3))*0.27))</f>
        <v>1.0927187406038761</v>
      </c>
      <c r="AQ12" s="40">
        <f ca="1">IF(TODAY()-E12&gt;335,((L12+1+(LOG(J12)*4/3))*0.594),((L12+(((TODAY()-E12)^0.5)/(336^0.5))+(LOG(J12)*4/3))*0.594))</f>
        <v>2.4039812293285272</v>
      </c>
      <c r="AR12" s="40">
        <f ca="1">AP12/2</f>
        <v>0.54635937030193804</v>
      </c>
      <c r="AS12" s="40">
        <f ca="1">IF(TODAY()-E12&gt;335,((M12+1+(LOG(J12)*4/3))*0.944),((M12+(((TODAY()-E12)^0.5)/(336^0.5))+(LOG(J12)*4/3))*0.944))</f>
        <v>14.225923031121431</v>
      </c>
      <c r="AT12" s="40">
        <f ca="1">IF(TODAY()-E12&gt;335,((O12+1+(LOG(J12)*4/3))*0.13),((O12+(((TODAY()-E12)^0.5)/(336^0.5))+(LOG(J12)*4/3))*0.13))</f>
        <v>1.1759432825129774</v>
      </c>
      <c r="AU12" s="40">
        <f ca="1">IF(TODAY()-E12&gt;335,((P12+1+(LOG(J12)*4/3))*0.173)+((O12+1+(LOG(J12)*4/3))*0.12),((P12+(((TODAY()-E12)^0.5)/(336^0.5))+(LOG(J12)*4/3))*0.173)+((O12+(((TODAY()-E12)^0.5)/(336^0.5))+(LOG(J12)*4/3))*0.12))</f>
        <v>2.3063655222108728</v>
      </c>
      <c r="AV12" s="40">
        <f ca="1">AT12/2</f>
        <v>0.58797164125648871</v>
      </c>
      <c r="AW12" s="40">
        <f ca="1">IF(TODAY()-E12&gt;335,((L12+1+(LOG(J12)*4/3))*0.189),((L12+(((TODAY()-E12)^0.5)/(336^0.5))+(LOG(J12)*4/3))*0.189))</f>
        <v>0.76490311842271319</v>
      </c>
      <c r="AX12" s="40">
        <f ca="1">IF(TODAY()-E12&gt;335,((L12+1+(LOG(J12)*4/3))*0.4),((L12+(((TODAY()-E12)^0.5)/(336^0.5))+(LOG(J12)*4/3))*0.4))</f>
        <v>1.618842578672409</v>
      </c>
      <c r="AY12" s="40">
        <f ca="1">AW12/2</f>
        <v>0.3824515592113566</v>
      </c>
      <c r="AZ12" s="40">
        <f ca="1">IF(TODAY()-E12&gt;335,((M12+1+(LOG(J12)*4/3))*1),((M12+(((TODAY()-E12)^0.5)/(336^0.5))+(LOG(J12)*4/3))*1))</f>
        <v>15.069833719408296</v>
      </c>
      <c r="BA12" s="40">
        <f ca="1">IF(TODAY()-E12&gt;335,((O12+1+(LOG(J12)*4/3))*0.253),((O12+(((TODAY()-E12)^0.5)/(336^0.5))+(LOG(J12)*4/3))*0.253))</f>
        <v>2.2885665421214099</v>
      </c>
      <c r="BB12" s="40">
        <f ca="1">IF(TODAY()-E12&gt;335,((P12+1+(LOG(J12)*4/3))*0.21)+((O12+1+(LOG(J12)*4/3))*0.341),((P12+(((TODAY()-E12)^0.5)/(336^0.5))+(LOG(J12)*4/3))*0.21)+((O12+(((TODAY()-E12)^0.5)/(336^0.5))+(LOG(J12)*4/3))*0.341))</f>
        <v>4.5665820410101325</v>
      </c>
      <c r="BC12" s="40">
        <f ca="1">BA12/2</f>
        <v>1.1442832710607049</v>
      </c>
      <c r="BD12" s="40">
        <f ca="1">IF(TODAY()-E12&gt;335,((L12+1+(LOG(J12)*4/3))*0.291),((L12+(((TODAY()-E12)^0.5)/(336^0.5))+(LOG(J12)*4/3))*0.291))</f>
        <v>1.1777079759841773</v>
      </c>
      <c r="BE12" s="40">
        <f ca="1">IF(TODAY()-E12&gt;335,((L12+1+(LOG(J12)*4/3))*0.348),((L12+(((TODAY()-E12)^0.5)/(336^0.5))+(LOG(J12)*4/3))*0.348))</f>
        <v>1.4083930434449956</v>
      </c>
      <c r="BF12" s="40">
        <f ca="1">IF(TODAY()-E12&gt;335,((M12+1+(LOG(J12)*4/3))*0.881),((M12+(((TODAY()-E12)^0.5)/(336^0.5))+(LOG(J12)*4/3))*0.881))</f>
        <v>13.276523506798709</v>
      </c>
      <c r="BG12" s="40">
        <f ca="1">IF(TODAY()-E12&gt;335,((N12+1+(LOG(J12)*4/3))*0.574)+((O12+1+(LOG(J12)*4/3))*0.315),((N12+(((TODAY()-E12)^0.5)/(336^0.5))+(LOG(J12)*4/3))*0.574)+((O12+(((TODAY()-E12)^0.5)/(336^0.5))+(LOG(J12)*4/3))*0.315))</f>
        <v>12.064337661963625</v>
      </c>
      <c r="BH12" s="40">
        <f ca="1">IF(TODAY()-E12&gt;335,((O12+1+(LOG(J12)*4/3))*0.241),((O12+(((TODAY()-E12)^0.5)/(336^0.5))+(LOG(J12)*4/3))*0.241))</f>
        <v>2.1800179314279045</v>
      </c>
      <c r="BI12" s="40">
        <f ca="1">IF(TODAY()-E12&gt;335,((L12+1+(LOG(J12)*4/3))*0.485),((L12+(((TODAY()-E12)^0.5)/(336^0.5))+(LOG(J12)*4/3))*0.485))</f>
        <v>1.9628466266402957</v>
      </c>
      <c r="BJ12" s="40">
        <f ca="1">IF(TODAY()-E12&gt;335,((L12+1+(LOG(J12)*4/3))*0.264),((L12+(((TODAY()-E12)^0.5)/(336^0.5))+(LOG(J12)*4/3))*0.264))</f>
        <v>1.06843610192379</v>
      </c>
      <c r="BK12" s="40">
        <f ca="1">IF(TODAY()-E12&gt;335,((M12+1+(LOG(J12)*4/3))*0.381),((M12+(((TODAY()-E12)^0.5)/(336^0.5))+(LOG(J12)*4/3))*0.381))</f>
        <v>5.741606647094561</v>
      </c>
      <c r="BL12" s="40">
        <f ca="1">IF(TODAY()-E12&gt;335,((N12+1+(LOG(J12)*4/3))*0.673)+((O12+1+(LOG(J12)*4/3))*0.201),((N12+(((TODAY()-E12)^0.5)/(336^0.5))+(LOG(J12)*4/3))*0.673)+((O12+(((TODAY()-E12)^0.5)/(336^0.5))+(LOG(J12)*4/3))*0.201))</f>
        <v>12.622461620818967</v>
      </c>
      <c r="BM12" s="40">
        <f ca="1">IF(TODAY()-E12&gt;335,((O12+1+(LOG(J12)*4/3))*0.052),((O12+(((TODAY()-E12)^0.5)/(336^0.5))+(LOG(J12)*4/3))*0.052))</f>
        <v>0.47037731300519092</v>
      </c>
      <c r="BN12" s="40">
        <f ca="1">IF(TODAY()-E12&gt;335,((L12+1+(LOG(J12)*4/3))*0.18),((L12+(((TODAY()-E12)^0.5)/(336^0.5))+(LOG(J12)*4/3))*0.18))</f>
        <v>0.72847916040258398</v>
      </c>
      <c r="BO12" s="40">
        <f ca="1">IF(TODAY()-E12&gt;335,((L12+1+(LOG(J12)*4/3))*0.068),((L12+(((TODAY()-E12)^0.5)/(336^0.5))+(LOG(J12)*4/3))*0.068))</f>
        <v>0.27520323837430954</v>
      </c>
      <c r="BP12" s="40">
        <f ca="1">IF(TODAY()-E12&gt;335,((M12+1+(LOG(J12)*4/3))*0.305),((M12+(((TODAY()-E12)^0.5)/(336^0.5))+(LOG(J12)*4/3))*0.305))</f>
        <v>4.5962992844195298</v>
      </c>
      <c r="BQ12" s="40">
        <f ca="1">IF(TODAY()-E12&gt;335,((N12+1+(LOG(J12)*4/3))*1)+((O12+1+(LOG(J12)*4/3))*0.286),((N12+(((TODAY()-E12)^0.5)/(336^0.5))+(LOG(J12)*4/3))*1)+((O12+(((TODAY()-E12)^0.5)/(336^0.5))+(LOG(J12)*4/3))*0.286))</f>
        <v>18.640971791666363</v>
      </c>
      <c r="BR12" s="40">
        <f ca="1">IF(TODAY()-E12&gt;335,((O12+1+(LOG(J12)*4/3))*0.135),((O12+(((TODAY()-E12)^0.5)/(336^0.5))+(LOG(J12)*4/3))*0.135))</f>
        <v>1.2211718703019381</v>
      </c>
      <c r="BS12" s="40">
        <f ca="1">IF(TODAY()-E12&gt;335,((L12+1+(LOG(J12)*4/3))*0.284),((L12+(((TODAY()-E12)^0.5)/(336^0.5))+(LOG(J12)*4/3))*0.284))</f>
        <v>1.1493782308574103</v>
      </c>
      <c r="BT12" s="40">
        <f ca="1">IF(TODAY()-E12&gt;335,((L12+1+(LOG(J12)*4/3))*0.244),((L12+(((TODAY()-E12)^0.5)/(336^0.5))+(LOG(J12)*4/3))*0.244))</f>
        <v>0.98749397299016939</v>
      </c>
      <c r="BU12" s="40">
        <f ca="1">IF(TODAY()-E12&gt;335,((M12+1+(LOG(J12)*4/3))*0.631),((M12+(((TODAY()-E12)^0.5)/(336^0.5))+(LOG(J12)*4/3))*0.631))</f>
        <v>9.5090650769466354</v>
      </c>
      <c r="BV12" s="40">
        <f ca="1">IF(TODAY()-E12&gt;335,((N12+1+(LOG(J12)*4/3))*0.702)+((O12+1+(LOG(J12)*4/3))*0.193),((N12+(((TODAY()-E12)^0.5)/(336^0.5))+(LOG(J12)*4/3))*0.702)+((O12+(((TODAY()-E12)^0.5)/(336^0.5))+(LOG(J12)*4/3))*0.193))</f>
        <v>13.015658880890625</v>
      </c>
      <c r="BW12" s="40">
        <f ca="1">IF(TODAY()-E12&gt;335,((O12+1+(LOG(J12)*4/3))*0.148),((O12+(((TODAY()-E12)^0.5)/(336^0.5))+(LOG(J12)*4/3))*0.148))</f>
        <v>1.3387661985532358</v>
      </c>
      <c r="BX12" s="40">
        <f ca="1">IF(TODAY()-E12&gt;335,((M12+1+(LOG(J12)*4/3))*0.406),((M12+(((TODAY()-E12)^0.5)/(336^0.5))+(LOG(J12)*4/3))*0.406))</f>
        <v>6.1183524900797686</v>
      </c>
      <c r="BY12" s="40">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5.4694430142763686</v>
      </c>
      <c r="BZ12" s="40">
        <f ca="1">IF(D12="TEC",IF(TODAY()-E12&gt;335,((O12+1+(LOG(J12)*4/3))*0.543)+((P12+1+(LOG(J12)*4/3))*0.583),((O12+(((TODAY()-E12)^0.5)/(336^0.5))+(LOG(J12)*4/3))*0.543)+((P12+(((TODAY()-E12)^0.5)/(336^0.5))+(LOG(J12)*4/3))*0.583)),IF(TODAY()-E12&gt;335,((O12+1+(LOG(J12)*4/3))*0.543)+((P12+1+(LOG(J12)*4/3))*0.583),((O12+(((TODAY()-E12)^0.5)/(336^0.5))+(LOG(J12)*4/3))*0.543)+((P12+(((TODAY()-E12)^0.5)/(336^0.5))+(LOG(J12)*4/3))*0.583)))</f>
        <v>9.0261176922961646</v>
      </c>
      <c r="CA12" s="40">
        <f ca="1">BY12</f>
        <v>5.4694430142763686</v>
      </c>
      <c r="CB12" s="40">
        <f ca="1">IF(TODAY()-E12&gt;335,((P12+1+(LOG(J12)*4/3))*0.26)+((N12+1+(LOG(J12)*4/3))*0.221)+((O12+1+(LOG(J12)*4/3))*0.142),((P12+(((TODAY()-E12)^0.5)/(336^0.5))+(LOG(J12)*4/3))*0.26)+((N12+(((TODAY()-E12)^0.5)/(336^0.5))+(LOG(J12)*4/3))*0.221)+((P12+(((TODAY()-E12)^0.5)/(336^0.5))+(LOG(J12)*4/3))*0.142))</f>
        <v>6.667250711344006</v>
      </c>
      <c r="CC12" s="40">
        <f ca="1">IF(TODAY()-E12&gt;335,((P12+1+(LOG(J12)*4/3))*1)+((O12+1+(LOG(J12)*4/3))*0.369),((P12+(((TODAY()-E12)^0.5)/(336^0.5))+(LOG(J12)*4/3))*1)+((O12+(((TODAY()-E12)^0.5)/(336^0.5))+(LOG(J12)*4/3))*0.369))</f>
        <v>10.394976225506319</v>
      </c>
      <c r="CD12" s="40">
        <f ca="1">CB12</f>
        <v>6.667250711344006</v>
      </c>
      <c r="CE12" s="40">
        <f ca="1">IF(TODAY()-E12&gt;335,((M12+1+(LOG(J12)*4/3))*0.25),((M12+(((TODAY()-E12)^0.5)/(336^0.5))+(LOG(J12)*4/3))*0.25))</f>
        <v>3.7674584298520739</v>
      </c>
    </row>
    <row r="13" spans="1:83" x14ac:dyDescent="0.25">
      <c r="A13" t="str">
        <f>PLANTILLA!D15</f>
        <v>Gianfranco Rezza</v>
      </c>
      <c r="B13">
        <f>PLANTILLA!E15</f>
        <v>30</v>
      </c>
      <c r="C13" s="36">
        <f ca="1">PLANTILLA!F15</f>
        <v>10</v>
      </c>
      <c r="D13" s="69" t="str">
        <f>PLANTILLA!G15</f>
        <v>CAB</v>
      </c>
      <c r="E13" s="33">
        <v>42337</v>
      </c>
      <c r="F13" s="51">
        <f>PLANTILLA!Q15</f>
        <v>5</v>
      </c>
      <c r="G13" s="52">
        <f t="shared" si="73"/>
        <v>0.84515425472851657</v>
      </c>
      <c r="H13" s="52">
        <f t="shared" si="74"/>
        <v>0.92504826128926143</v>
      </c>
      <c r="I13" s="55">
        <f t="shared" ca="1" si="6"/>
        <v>1</v>
      </c>
      <c r="J13" s="42">
        <f>PLANTILLA!I15</f>
        <v>9.3000000000000007</v>
      </c>
      <c r="K13" s="50">
        <f>PLANTILLA!X15</f>
        <v>0</v>
      </c>
      <c r="L13" s="50">
        <f>PLANTILLA!Y15</f>
        <v>2</v>
      </c>
      <c r="M13" s="50">
        <f>PLANTILLA!Z15</f>
        <v>14.066666666666666</v>
      </c>
      <c r="N13" s="50">
        <f>PLANTILLA!AA15</f>
        <v>2.125</v>
      </c>
      <c r="O13" s="50">
        <f>PLANTILLA!AB15</f>
        <v>14.460000000000004</v>
      </c>
      <c r="P13" s="50">
        <f>PLANTILLA!AC15</f>
        <v>8.1057777777777762</v>
      </c>
      <c r="Q13" s="50">
        <f>PLANTILLA!AD15</f>
        <v>14.25</v>
      </c>
      <c r="R13" s="50">
        <f t="shared" si="75"/>
        <v>4.2400000000000011</v>
      </c>
      <c r="S13" s="50">
        <f t="shared" si="76"/>
        <v>0.8327888888888888</v>
      </c>
      <c r="T13" s="50">
        <f t="shared" si="77"/>
        <v>0.50749999999999995</v>
      </c>
      <c r="U13" s="50">
        <f t="shared" ca="1" si="78"/>
        <v>13.979959030746381</v>
      </c>
      <c r="V13" s="50">
        <f t="shared" ca="1" si="79"/>
        <v>15.301510608192057</v>
      </c>
      <c r="W13" s="40">
        <f t="shared" ca="1" si="80"/>
        <v>2.5523141521167805</v>
      </c>
      <c r="X13" s="40">
        <f t="shared" ca="1" si="81"/>
        <v>3.8080819821108403</v>
      </c>
      <c r="Y13" s="40">
        <f t="shared" ca="1" si="82"/>
        <v>2.5523141521167805</v>
      </c>
      <c r="Z13" s="40">
        <f t="shared" ca="1" si="83"/>
        <v>2.2143162686051072</v>
      </c>
      <c r="AA13" s="40">
        <f t="shared" ca="1" si="84"/>
        <v>4.2913105980719131</v>
      </c>
      <c r="AB13" s="40">
        <f t="shared" ca="1" si="85"/>
        <v>1.1071581343025536</v>
      </c>
      <c r="AC13" s="40">
        <f t="shared" ca="1" si="86"/>
        <v>3.8931985890077816</v>
      </c>
      <c r="AD13" s="40">
        <f t="shared" ca="1" si="87"/>
        <v>1.6221154060711831</v>
      </c>
      <c r="AE13" s="40">
        <f t="shared" ca="1" si="88"/>
        <v>3.1026175624059928</v>
      </c>
      <c r="AF13" s="40">
        <f t="shared" ca="1" si="89"/>
        <v>0.81105770303559155</v>
      </c>
      <c r="AG13" s="40">
        <f t="shared" ca="1" si="90"/>
        <v>6.2978212469243529</v>
      </c>
      <c r="AH13" s="40">
        <f t="shared" ca="1" si="91"/>
        <v>3.9480057502261601</v>
      </c>
      <c r="AI13" s="40">
        <f t="shared" ca="1" si="92"/>
        <v>1.7766025876017719</v>
      </c>
      <c r="AJ13" s="40">
        <f t="shared" ca="1" si="93"/>
        <v>2.7317822032113428</v>
      </c>
      <c r="AK13" s="40">
        <f t="shared" ca="1" si="94"/>
        <v>2.5967906316662845</v>
      </c>
      <c r="AL13" s="40">
        <f t="shared" ca="1" si="95"/>
        <v>3.2356481909462222</v>
      </c>
      <c r="AM13" s="40">
        <f t="shared" ca="1" si="96"/>
        <v>3.0382479034349141</v>
      </c>
      <c r="AN13" s="40">
        <f t="shared" ca="1" si="97"/>
        <v>2.7623988698780098</v>
      </c>
      <c r="AO13" s="40">
        <f t="shared" ca="1" si="98"/>
        <v>1.8810174522447114</v>
      </c>
      <c r="AP13" s="40">
        <f t="shared" ca="1" si="99"/>
        <v>1.1586538614794166</v>
      </c>
      <c r="AQ13" s="40">
        <f t="shared" ca="1" si="100"/>
        <v>2.5490384952547163</v>
      </c>
      <c r="AR13" s="40">
        <f t="shared" ca="1" si="101"/>
        <v>0.57932693073970831</v>
      </c>
      <c r="AS13" s="40">
        <f t="shared" ca="1" si="102"/>
        <v>15.441930537913219</v>
      </c>
      <c r="AT13" s="40">
        <f t="shared" ca="1" si="103"/>
        <v>2.1776703777493491</v>
      </c>
      <c r="AU13" s="40">
        <f t="shared" ca="1" si="104"/>
        <v>3.8088535607906264</v>
      </c>
      <c r="AV13" s="40">
        <f t="shared" ca="1" si="105"/>
        <v>1.0888351888746746</v>
      </c>
      <c r="AW13" s="40">
        <f t="shared" ca="1" si="106"/>
        <v>0.81105770303559155</v>
      </c>
      <c r="AX13" s="40">
        <f t="shared" ca="1" si="107"/>
        <v>1.7165242392287654</v>
      </c>
      <c r="AY13" s="40">
        <f t="shared" ca="1" si="108"/>
        <v>0.40552885151779577</v>
      </c>
      <c r="AZ13" s="40">
        <f t="shared" ca="1" si="109"/>
        <v>16.357977264738579</v>
      </c>
      <c r="BA13" s="40">
        <f t="shared" ca="1" si="110"/>
        <v>4.238081581312195</v>
      </c>
      <c r="BB13" s="40">
        <f t="shared" ca="1" si="111"/>
        <v>7.8955854728709589</v>
      </c>
      <c r="BC13" s="40">
        <f t="shared" ca="1" si="112"/>
        <v>2.1190407906560975</v>
      </c>
      <c r="BD13" s="40">
        <f t="shared" ca="1" si="113"/>
        <v>1.2487713840389265</v>
      </c>
      <c r="BE13" s="40">
        <f t="shared" ca="1" si="114"/>
        <v>1.4933760881290257</v>
      </c>
      <c r="BF13" s="40">
        <f t="shared" ca="1" si="115"/>
        <v>14.411377970234689</v>
      </c>
      <c r="BG13" s="40">
        <f t="shared" ca="1" si="116"/>
        <v>7.8116251216859318</v>
      </c>
      <c r="BH13" s="40">
        <f t="shared" ca="1" si="117"/>
        <v>4.0370658541353324</v>
      </c>
      <c r="BI13" s="40">
        <f t="shared" ca="1" si="118"/>
        <v>2.0812856400648778</v>
      </c>
      <c r="BJ13" s="40">
        <f t="shared" ca="1" si="119"/>
        <v>1.132905997890985</v>
      </c>
      <c r="BK13" s="40">
        <f t="shared" ca="1" si="120"/>
        <v>6.2323893378653992</v>
      </c>
      <c r="BL13" s="40">
        <f t="shared" ca="1" si="121"/>
        <v>6.3391904627148534</v>
      </c>
      <c r="BM13" s="40">
        <f t="shared" ca="1" si="122"/>
        <v>0.87106815109973967</v>
      </c>
      <c r="BN13" s="40">
        <f t="shared" ca="1" si="123"/>
        <v>0.77243590765294434</v>
      </c>
      <c r="BO13" s="40">
        <f t="shared" ca="1" si="124"/>
        <v>0.29180912066889009</v>
      </c>
      <c r="BP13" s="40">
        <f t="shared" ca="1" si="125"/>
        <v>4.9891830657452667</v>
      </c>
      <c r="BQ13" s="40">
        <f t="shared" ca="1" si="126"/>
        <v>9.2071854291204822</v>
      </c>
      <c r="BR13" s="40">
        <f t="shared" ca="1" si="127"/>
        <v>2.261426930739709</v>
      </c>
      <c r="BS13" s="40">
        <f t="shared" ca="1" si="128"/>
        <v>1.2187322098524231</v>
      </c>
      <c r="BT13" s="40">
        <f t="shared" ca="1" si="129"/>
        <v>1.0470797859295469</v>
      </c>
      <c r="BU13" s="40">
        <f t="shared" ca="1" si="130"/>
        <v>10.321883654050044</v>
      </c>
      <c r="BV13" s="40">
        <f t="shared" ca="1" si="131"/>
        <v>6.3332529852743633</v>
      </c>
      <c r="BW13" s="40">
        <f t="shared" ca="1" si="132"/>
        <v>2.4791939685146436</v>
      </c>
      <c r="BX13" s="40">
        <f t="shared" ca="1" si="133"/>
        <v>6.6413387694838635</v>
      </c>
      <c r="BY13" s="40">
        <f t="shared" ca="1" si="134"/>
        <v>6.1442065993732449</v>
      </c>
      <c r="BZ13" s="40">
        <f t="shared" ca="1" si="135"/>
        <v>15.157464177873422</v>
      </c>
      <c r="CA13" s="40">
        <f t="shared" ca="1" si="136"/>
        <v>6.1442065993732449</v>
      </c>
      <c r="CB13" s="40">
        <f t="shared" ca="1" si="137"/>
        <v>6.0579337248210248</v>
      </c>
      <c r="CC13" s="40">
        <f t="shared" ca="1" si="138"/>
        <v>16.578321986538228</v>
      </c>
      <c r="CD13" s="40">
        <f t="shared" ca="1" si="139"/>
        <v>6.0579337248210248</v>
      </c>
      <c r="CE13" s="40">
        <f t="shared" ca="1" si="140"/>
        <v>4.0894943161846449</v>
      </c>
    </row>
    <row r="14" spans="1:83" x14ac:dyDescent="0.25">
      <c r="A14" t="str">
        <f>PLANTILLA!D16</f>
        <v>Saul Piña</v>
      </c>
      <c r="B14">
        <f>PLANTILLA!E16</f>
        <v>29</v>
      </c>
      <c r="C14" s="36">
        <f ca="1">PLANTILLA!F16</f>
        <v>73</v>
      </c>
      <c r="D14" s="69" t="str">
        <f>PLANTILLA!G16</f>
        <v>TEC</v>
      </c>
      <c r="E14" s="33">
        <v>42338</v>
      </c>
      <c r="F14" s="51">
        <f>PLANTILLA!Q16</f>
        <v>5</v>
      </c>
      <c r="G14" s="52">
        <f t="shared" si="73"/>
        <v>0.84515425472851657</v>
      </c>
      <c r="H14" s="52">
        <f t="shared" si="74"/>
        <v>0.92504826128926143</v>
      </c>
      <c r="I14" s="55">
        <f t="shared" ca="1" si="6"/>
        <v>1</v>
      </c>
      <c r="J14" s="42">
        <f>PLANTILLA!I16</f>
        <v>8.4</v>
      </c>
      <c r="K14" s="50">
        <f>PLANTILLA!X16</f>
        <v>0</v>
      </c>
      <c r="L14" s="50">
        <f>PLANTILLA!Y16</f>
        <v>2.2000000000000002</v>
      </c>
      <c r="M14" s="50">
        <f>PLANTILLA!Z16</f>
        <v>14.399999999999999</v>
      </c>
      <c r="N14" s="50">
        <f>PLANTILLA!AA16</f>
        <v>1.33</v>
      </c>
      <c r="O14" s="50">
        <f>PLANTILLA!AB16</f>
        <v>14.142888888888882</v>
      </c>
      <c r="P14" s="50">
        <f>PLANTILLA!AC16</f>
        <v>9.3399999999999981</v>
      </c>
      <c r="Q14" s="50">
        <f>PLANTILLA!AD16</f>
        <v>15.399999999999999</v>
      </c>
      <c r="R14" s="50">
        <f t="shared" si="75"/>
        <v>4.1857222222222203</v>
      </c>
      <c r="S14" s="50">
        <f t="shared" si="76"/>
        <v>0.92899999999999994</v>
      </c>
      <c r="T14" s="50">
        <f t="shared" si="77"/>
        <v>0.54999999999999993</v>
      </c>
      <c r="U14" s="50">
        <f t="shared" ca="1" si="78"/>
        <v>14.902074539111185</v>
      </c>
      <c r="V14" s="50">
        <f t="shared" ca="1" si="79"/>
        <v>16.310795413833517</v>
      </c>
      <c r="W14" s="40">
        <f t="shared" ca="1" si="80"/>
        <v>2.5560610889760302</v>
      </c>
      <c r="X14" s="40">
        <f t="shared" ca="1" si="81"/>
        <v>3.8169927444078522</v>
      </c>
      <c r="Y14" s="40">
        <f t="shared" ca="1" si="82"/>
        <v>2.5560610889760302</v>
      </c>
      <c r="Z14" s="40">
        <f t="shared" ca="1" si="83"/>
        <v>2.2871041488105743</v>
      </c>
      <c r="AA14" s="40">
        <f t="shared" ca="1" si="84"/>
        <v>4.432372381415842</v>
      </c>
      <c r="AB14" s="40">
        <f t="shared" ca="1" si="85"/>
        <v>1.1435520744052872</v>
      </c>
      <c r="AC14" s="40">
        <f t="shared" ca="1" si="86"/>
        <v>3.9585046267769699</v>
      </c>
      <c r="AD14" s="40">
        <f t="shared" ca="1" si="87"/>
        <v>1.6754367601751883</v>
      </c>
      <c r="AE14" s="40">
        <f t="shared" ca="1" si="88"/>
        <v>3.2046052317636535</v>
      </c>
      <c r="AF14" s="40">
        <f t="shared" ca="1" si="89"/>
        <v>0.83771838008759414</v>
      </c>
      <c r="AG14" s="40">
        <f t="shared" ca="1" si="90"/>
        <v>6.4034633668450986</v>
      </c>
      <c r="AH14" s="40">
        <f t="shared" ca="1" si="91"/>
        <v>4.0777825909025749</v>
      </c>
      <c r="AI14" s="40">
        <f t="shared" ca="1" si="92"/>
        <v>1.8350021659061584</v>
      </c>
      <c r="AJ14" s="40">
        <f t="shared" ca="1" si="93"/>
        <v>2.7776061876964455</v>
      </c>
      <c r="AK14" s="40">
        <f t="shared" ca="1" si="94"/>
        <v>2.0946749602725152</v>
      </c>
      <c r="AL14" s="40">
        <f t="shared" ca="1" si="95"/>
        <v>3.3420087755875447</v>
      </c>
      <c r="AM14" s="40">
        <f t="shared" ca="1" si="96"/>
        <v>3.1381196460424161</v>
      </c>
      <c r="AN14" s="40">
        <f t="shared" ca="1" si="97"/>
        <v>2.9446061876964458</v>
      </c>
      <c r="AO14" s="40">
        <f t="shared" ca="1" si="98"/>
        <v>1.8484112458477617</v>
      </c>
      <c r="AP14" s="40">
        <f t="shared" ca="1" si="99"/>
        <v>1.1967405429822775</v>
      </c>
      <c r="AQ14" s="40">
        <f t="shared" ca="1" si="100"/>
        <v>2.6328291945610101</v>
      </c>
      <c r="AR14" s="40">
        <f t="shared" ca="1" si="101"/>
        <v>0.59837027149113875</v>
      </c>
      <c r="AS14" s="40">
        <f t="shared" ca="1" si="102"/>
        <v>15.700959528056554</v>
      </c>
      <c r="AT14" s="40">
        <f t="shared" ca="1" si="103"/>
        <v>2.1287839651396139</v>
      </c>
      <c r="AU14" s="40">
        <f t="shared" ca="1" si="104"/>
        <v>3.967051774421507</v>
      </c>
      <c r="AV14" s="40">
        <f t="shared" ca="1" si="105"/>
        <v>1.0643919825698069</v>
      </c>
      <c r="AW14" s="40">
        <f t="shared" ca="1" si="106"/>
        <v>0.83771838008759414</v>
      </c>
      <c r="AX14" s="40">
        <f t="shared" ca="1" si="107"/>
        <v>1.7729489525663369</v>
      </c>
      <c r="AY14" s="40">
        <f t="shared" ca="1" si="108"/>
        <v>0.41885919004379707</v>
      </c>
      <c r="AZ14" s="40">
        <f t="shared" ca="1" si="109"/>
        <v>16.632372381415841</v>
      </c>
      <c r="BA14" s="40">
        <f t="shared" ca="1" si="110"/>
        <v>4.1429411013870947</v>
      </c>
      <c r="BB14" s="40">
        <f t="shared" ca="1" si="111"/>
        <v>8.0141622932712373</v>
      </c>
      <c r="BC14" s="40">
        <f t="shared" ca="1" si="112"/>
        <v>2.0714705506935474</v>
      </c>
      <c r="BD14" s="40">
        <f t="shared" ca="1" si="113"/>
        <v>1.28982036299201</v>
      </c>
      <c r="BE14" s="40">
        <f t="shared" ca="1" si="114"/>
        <v>1.542465588732713</v>
      </c>
      <c r="BF14" s="40">
        <f t="shared" ca="1" si="115"/>
        <v>14.653120068027356</v>
      </c>
      <c r="BG14" s="40">
        <f t="shared" ca="1" si="116"/>
        <v>7.2030090470786812</v>
      </c>
      <c r="BH14" s="40">
        <f t="shared" ca="1" si="117"/>
        <v>3.9464379661434381</v>
      </c>
      <c r="BI14" s="40">
        <f t="shared" ca="1" si="118"/>
        <v>2.1497006049866831</v>
      </c>
      <c r="BJ14" s="40">
        <f t="shared" ca="1" si="119"/>
        <v>1.1701463086937824</v>
      </c>
      <c r="BK14" s="40">
        <f t="shared" ca="1" si="120"/>
        <v>6.3369338773194359</v>
      </c>
      <c r="BL14" s="40">
        <f t="shared" ca="1" si="121"/>
        <v>5.6889041280241113</v>
      </c>
      <c r="BM14" s="40">
        <f t="shared" ca="1" si="122"/>
        <v>0.85151358605584559</v>
      </c>
      <c r="BN14" s="40">
        <f t="shared" ca="1" si="123"/>
        <v>0.79782702865485156</v>
      </c>
      <c r="BO14" s="40">
        <f t="shared" ca="1" si="124"/>
        <v>0.30140132193627728</v>
      </c>
      <c r="BP14" s="40">
        <f t="shared" ca="1" si="125"/>
        <v>5.0728735763318316</v>
      </c>
      <c r="BQ14" s="40">
        <f t="shared" ca="1" si="126"/>
        <v>8.2456971047229928</v>
      </c>
      <c r="BR14" s="40">
        <f t="shared" ca="1" si="127"/>
        <v>2.2106602714911379</v>
      </c>
      <c r="BS14" s="40">
        <f t="shared" ca="1" si="128"/>
        <v>1.258793756322099</v>
      </c>
      <c r="BT14" s="40">
        <f t="shared" ca="1" si="129"/>
        <v>1.0814988610654654</v>
      </c>
      <c r="BU14" s="40">
        <f t="shared" ca="1" si="130"/>
        <v>10.495026972673395</v>
      </c>
      <c r="BV14" s="40">
        <f t="shared" ca="1" si="131"/>
        <v>5.6612108369227325</v>
      </c>
      <c r="BW14" s="40">
        <f t="shared" ca="1" si="132"/>
        <v>2.423538668005099</v>
      </c>
      <c r="BX14" s="40">
        <f t="shared" ca="1" si="133"/>
        <v>6.7527431868548318</v>
      </c>
      <c r="BY14" s="40">
        <f t="shared" ca="1" si="134"/>
        <v>7.3096318012309185</v>
      </c>
      <c r="BZ14" s="40">
        <f t="shared" ca="1" si="135"/>
        <v>15.6384599681409</v>
      </c>
      <c r="CA14" s="40">
        <f t="shared" ca="1" si="136"/>
        <v>7.3096318012309185</v>
      </c>
      <c r="CB14" s="40">
        <f t="shared" ca="1" si="137"/>
        <v>6.1213882158442896</v>
      </c>
      <c r="CC14" s="40">
        <f t="shared" ca="1" si="138"/>
        <v>17.614843790158282</v>
      </c>
      <c r="CD14" s="40">
        <f t="shared" ca="1" si="139"/>
        <v>6.1213882158442896</v>
      </c>
      <c r="CE14" s="40">
        <f t="shared" ca="1" si="140"/>
        <v>4.1580930953539603</v>
      </c>
    </row>
    <row r="15" spans="1:83" x14ac:dyDescent="0.25">
      <c r="A15" t="str">
        <f>PLANTILLA!D17</f>
        <v>Adam Moss</v>
      </c>
      <c r="B15">
        <f>PLANTILLA!E17</f>
        <v>30</v>
      </c>
      <c r="C15" s="36">
        <f ca="1">PLANTILLA!F17</f>
        <v>12</v>
      </c>
      <c r="D15" s="69" t="str">
        <f>PLANTILLA!G17</f>
        <v>RAP</v>
      </c>
      <c r="E15" s="33">
        <v>42339</v>
      </c>
      <c r="F15" s="51">
        <f>PLANTILLA!Q17</f>
        <v>6</v>
      </c>
      <c r="G15" s="52">
        <f t="shared" si="73"/>
        <v>0.92582009977255142</v>
      </c>
      <c r="H15" s="52">
        <f t="shared" si="74"/>
        <v>0.99928545900129484</v>
      </c>
      <c r="I15" s="55">
        <f t="shared" ca="1" si="6"/>
        <v>1</v>
      </c>
      <c r="J15" s="42">
        <f>PLANTILLA!I17</f>
        <v>9.8000000000000007</v>
      </c>
      <c r="K15" s="50">
        <f>PLANTILLA!X17</f>
        <v>0</v>
      </c>
      <c r="L15" s="50">
        <f>PLANTILLA!Y17</f>
        <v>3.2</v>
      </c>
      <c r="M15" s="50">
        <f>PLANTILLA!Z17</f>
        <v>14.399999999999999</v>
      </c>
      <c r="N15" s="50">
        <f>PLANTILLA!AA17</f>
        <v>2.2999999999999998</v>
      </c>
      <c r="O15" s="50">
        <f>PLANTILLA!AB17</f>
        <v>14.266</v>
      </c>
      <c r="P15" s="50">
        <f>PLANTILLA!AC17</f>
        <v>9.0999999999999961</v>
      </c>
      <c r="Q15" s="50">
        <f>PLANTILLA!AD17</f>
        <v>15.899999999999999</v>
      </c>
      <c r="R15" s="50">
        <f t="shared" si="75"/>
        <v>4.3414999999999999</v>
      </c>
      <c r="S15" s="50">
        <f t="shared" si="76"/>
        <v>0.93199999999999972</v>
      </c>
      <c r="T15" s="50">
        <f t="shared" si="77"/>
        <v>0.60499999999999998</v>
      </c>
      <c r="U15" s="50">
        <f t="shared" ca="1" si="78"/>
        <v>16.869955718549161</v>
      </c>
      <c r="V15" s="50">
        <f t="shared" ca="1" si="79"/>
        <v>18.208614662485118</v>
      </c>
      <c r="W15" s="40">
        <f t="shared" ca="1" si="80"/>
        <v>2.9099871521060638</v>
      </c>
      <c r="X15" s="40">
        <f t="shared" ca="1" si="81"/>
        <v>4.3572304849586807</v>
      </c>
      <c r="Y15" s="40">
        <f t="shared" ca="1" si="82"/>
        <v>2.9099871521060638</v>
      </c>
      <c r="Z15" s="40">
        <f t="shared" ca="1" si="83"/>
        <v>2.8491635400764364</v>
      </c>
      <c r="AA15" s="40">
        <f t="shared" ca="1" si="84"/>
        <v>5.5216347675899931</v>
      </c>
      <c r="AB15" s="40">
        <f t="shared" ca="1" si="85"/>
        <v>1.4245817700382182</v>
      </c>
      <c r="AC15" s="40">
        <f t="shared" ca="1" si="86"/>
        <v>3.9797490746864184</v>
      </c>
      <c r="AD15" s="40">
        <f t="shared" ca="1" si="87"/>
        <v>2.0871779421490175</v>
      </c>
      <c r="AE15" s="40">
        <f t="shared" ca="1" si="88"/>
        <v>3.992141936967565</v>
      </c>
      <c r="AF15" s="40">
        <f t="shared" ca="1" si="89"/>
        <v>1.0435889710745088</v>
      </c>
      <c r="AG15" s="40">
        <f t="shared" ca="1" si="90"/>
        <v>6.4378293855221473</v>
      </c>
      <c r="AH15" s="40">
        <f t="shared" ca="1" si="91"/>
        <v>5.0799039861827939</v>
      </c>
      <c r="AI15" s="40">
        <f t="shared" ca="1" si="92"/>
        <v>2.2859567937822569</v>
      </c>
      <c r="AJ15" s="40">
        <f t="shared" ca="1" si="93"/>
        <v>2.7925130061875292</v>
      </c>
      <c r="AK15" s="40">
        <f t="shared" ca="1" si="94"/>
        <v>2.7175212433429157</v>
      </c>
      <c r="AL15" s="40">
        <f t="shared" ca="1" si="95"/>
        <v>4.1633126147628552</v>
      </c>
      <c r="AM15" s="40">
        <f t="shared" ca="1" si="96"/>
        <v>3.9093174154537147</v>
      </c>
      <c r="AN15" s="40">
        <f t="shared" ca="1" si="97"/>
        <v>3.0430130061875289</v>
      </c>
      <c r="AO15" s="40">
        <f t="shared" ca="1" si="98"/>
        <v>1.9189828130659177</v>
      </c>
      <c r="AP15" s="40">
        <f t="shared" ca="1" si="99"/>
        <v>1.4908413872492983</v>
      </c>
      <c r="AQ15" s="40">
        <f t="shared" ca="1" si="100"/>
        <v>3.2798510519484556</v>
      </c>
      <c r="AR15" s="40">
        <f t="shared" ca="1" si="101"/>
        <v>0.74542069362464913</v>
      </c>
      <c r="AS15" s="40">
        <f t="shared" ca="1" si="102"/>
        <v>15.785223220604953</v>
      </c>
      <c r="AT15" s="40">
        <f t="shared" ca="1" si="103"/>
        <v>2.1563925197866993</v>
      </c>
      <c r="AU15" s="40">
        <f t="shared" ca="1" si="104"/>
        <v>3.9664589869038673</v>
      </c>
      <c r="AV15" s="40">
        <f t="shared" ca="1" si="105"/>
        <v>1.0781962598933497</v>
      </c>
      <c r="AW15" s="40">
        <f t="shared" ca="1" si="106"/>
        <v>1.0435889710745088</v>
      </c>
      <c r="AX15" s="40">
        <f t="shared" ca="1" si="107"/>
        <v>2.2086539070359974</v>
      </c>
      <c r="AY15" s="40">
        <f t="shared" ca="1" si="108"/>
        <v>0.52179448553725438</v>
      </c>
      <c r="AZ15" s="40">
        <f t="shared" ca="1" si="109"/>
        <v>16.721634767589993</v>
      </c>
      <c r="BA15" s="40">
        <f t="shared" ca="1" si="110"/>
        <v>4.1966715962002681</v>
      </c>
      <c r="BB15" s="40">
        <f t="shared" ca="1" si="111"/>
        <v>8.0549267569420842</v>
      </c>
      <c r="BC15" s="40">
        <f t="shared" ca="1" si="112"/>
        <v>2.098335798100134</v>
      </c>
      <c r="BD15" s="40">
        <f t="shared" ca="1" si="113"/>
        <v>1.606795717368688</v>
      </c>
      <c r="BE15" s="40">
        <f t="shared" ca="1" si="114"/>
        <v>1.9215288991213175</v>
      </c>
      <c r="BF15" s="40">
        <f t="shared" ca="1" si="115"/>
        <v>14.731760230246785</v>
      </c>
      <c r="BG15" s="40">
        <f t="shared" ca="1" si="116"/>
        <v>7.8779233083875031</v>
      </c>
      <c r="BH15" s="40">
        <f t="shared" ca="1" si="117"/>
        <v>3.9976199789891882</v>
      </c>
      <c r="BI15" s="40">
        <f t="shared" ca="1" si="118"/>
        <v>2.6779928622811466</v>
      </c>
      <c r="BJ15" s="40">
        <f t="shared" ca="1" si="119"/>
        <v>1.4577115786437582</v>
      </c>
      <c r="BK15" s="40">
        <f t="shared" ca="1" si="120"/>
        <v>6.3709428464517872</v>
      </c>
      <c r="BL15" s="40">
        <f t="shared" ca="1" si="121"/>
        <v>6.4444747868736538</v>
      </c>
      <c r="BM15" s="40">
        <f t="shared" ca="1" si="122"/>
        <v>0.8625570079146796</v>
      </c>
      <c r="BN15" s="40">
        <f t="shared" ca="1" si="123"/>
        <v>0.9938942581661987</v>
      </c>
      <c r="BO15" s="40">
        <f t="shared" ca="1" si="124"/>
        <v>0.37547116419611953</v>
      </c>
      <c r="BP15" s="40">
        <f t="shared" ca="1" si="125"/>
        <v>5.1000986041149474</v>
      </c>
      <c r="BQ15" s="40">
        <f t="shared" ca="1" si="126"/>
        <v>9.365698311120731</v>
      </c>
      <c r="BR15" s="40">
        <f t="shared" ca="1" si="127"/>
        <v>2.2393306936246491</v>
      </c>
      <c r="BS15" s="40">
        <f t="shared" ca="1" si="128"/>
        <v>1.5681442739955578</v>
      </c>
      <c r="BT15" s="40">
        <f t="shared" ca="1" si="129"/>
        <v>1.3472788832919582</v>
      </c>
      <c r="BU15" s="40">
        <f t="shared" ca="1" si="130"/>
        <v>10.551351538349286</v>
      </c>
      <c r="BV15" s="40">
        <f t="shared" ca="1" si="131"/>
        <v>6.4458011169930431</v>
      </c>
      <c r="BW15" s="40">
        <f t="shared" ca="1" si="132"/>
        <v>2.4549699456033189</v>
      </c>
      <c r="BX15" s="40">
        <f t="shared" ca="1" si="133"/>
        <v>6.788983715641538</v>
      </c>
      <c r="BY15" s="40">
        <f t="shared" ca="1" si="134"/>
        <v>6.2629717139143857</v>
      </c>
      <c r="BZ15" s="40">
        <f t="shared" ca="1" si="135"/>
        <v>15.665898748306329</v>
      </c>
      <c r="CA15" s="40">
        <f t="shared" ca="1" si="136"/>
        <v>6.2629717139143857</v>
      </c>
      <c r="CB15" s="40">
        <f t="shared" ca="1" si="137"/>
        <v>6.3464504602085645</v>
      </c>
      <c r="CC15" s="40">
        <f t="shared" ca="1" si="138"/>
        <v>17.542471996830695</v>
      </c>
      <c r="CD15" s="40">
        <f t="shared" ca="1" si="139"/>
        <v>6.3464504602085645</v>
      </c>
      <c r="CE15" s="40">
        <f t="shared" ca="1" si="140"/>
        <v>4.1804086918974983</v>
      </c>
    </row>
    <row r="16" spans="1:83" x14ac:dyDescent="0.25">
      <c r="A16" t="str">
        <f>PLANTILLA!D18</f>
        <v>Rasheed Da'na</v>
      </c>
      <c r="B16">
        <f>PLANTILLA!E18</f>
        <v>29</v>
      </c>
      <c r="C16" s="36">
        <f ca="1">PLANTILLA!F18</f>
        <v>69</v>
      </c>
      <c r="D16" s="69" t="str">
        <f>PLANTILLA!G18</f>
        <v>RAP</v>
      </c>
      <c r="E16" s="33">
        <v>42341</v>
      </c>
      <c r="F16" s="51">
        <f>PLANTILLA!Q18</f>
        <v>6</v>
      </c>
      <c r="G16" s="52">
        <f t="shared" si="73"/>
        <v>0.92582009977255142</v>
      </c>
      <c r="H16" s="52">
        <f t="shared" si="74"/>
        <v>0.99928545900129484</v>
      </c>
      <c r="I16" s="55">
        <f t="shared" ca="1" si="6"/>
        <v>1</v>
      </c>
      <c r="J16" s="42">
        <f>PLANTILLA!I18</f>
        <v>9.5</v>
      </c>
      <c r="K16" s="50">
        <f>PLANTILLA!X18</f>
        <v>0</v>
      </c>
      <c r="L16" s="50">
        <f>PLANTILLA!Y18</f>
        <v>2.0384615384615383</v>
      </c>
      <c r="M16" s="50">
        <f>PLANTILLA!Z18</f>
        <v>13.499999999999998</v>
      </c>
      <c r="N16" s="50">
        <f>PLANTILLA!AA18</f>
        <v>4.0999999999999996</v>
      </c>
      <c r="O16" s="50">
        <f>PLANTILLA!AB18</f>
        <v>14.352222222222222</v>
      </c>
      <c r="P16" s="50">
        <f>PLANTILLA!AC18</f>
        <v>10.095333333333334</v>
      </c>
      <c r="Q16" s="50">
        <f>PLANTILLA!AD18</f>
        <v>15</v>
      </c>
      <c r="R16" s="50">
        <f t="shared" si="75"/>
        <v>4.2178632478632476</v>
      </c>
      <c r="S16" s="50">
        <f t="shared" si="76"/>
        <v>0.95476666666666676</v>
      </c>
      <c r="T16" s="50">
        <f t="shared" si="77"/>
        <v>0.53153846153846152</v>
      </c>
      <c r="U16" s="50">
        <f t="shared" ca="1" si="78"/>
        <v>16.020049817425491</v>
      </c>
      <c r="V16" s="50">
        <f t="shared" ca="1" si="79"/>
        <v>17.291267319604007</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2.889706456110984</v>
      </c>
      <c r="AO16" s="40">
        <f t="shared" ca="1" si="98"/>
        <v>1.8781904798155327</v>
      </c>
      <c r="AP16" s="40">
        <f t="shared" ca="1" si="99"/>
        <v>1.1723651132886006</v>
      </c>
      <c r="AQ16" s="40">
        <f t="shared" ca="1" si="100"/>
        <v>2.5792032492349213</v>
      </c>
      <c r="AR16" s="40">
        <f t="shared" ca="1" si="101"/>
        <v>0.5861825566443003</v>
      </c>
      <c r="AS16" s="40">
        <f t="shared" ca="1" si="102"/>
        <v>14.918628111190227</v>
      </c>
      <c r="AT16" s="40">
        <f t="shared" ca="1" si="103"/>
        <v>2.1652609804722891</v>
      </c>
      <c r="AU16" s="40">
        <f t="shared" ca="1" si="104"/>
        <v>4.1437233551328427</v>
      </c>
      <c r="AV16" s="40">
        <f t="shared" ca="1" si="105"/>
        <v>1.0826304902361445</v>
      </c>
      <c r="AW16" s="40">
        <f t="shared" ca="1" si="106"/>
        <v>0.82065557930202038</v>
      </c>
      <c r="AX16" s="40">
        <f t="shared" ca="1" si="107"/>
        <v>1.7368372048720009</v>
      </c>
      <c r="AY16" s="40">
        <f t="shared" ca="1" si="108"/>
        <v>0.41032778965101019</v>
      </c>
      <c r="AZ16" s="40">
        <f t="shared" ca="1" si="109"/>
        <v>15.803631473718461</v>
      </c>
      <c r="BA16" s="40">
        <f t="shared" ca="1" si="110"/>
        <v>4.2139309850729934</v>
      </c>
      <c r="BB16" s="40">
        <f t="shared" ca="1" si="111"/>
        <v>8.2834287197966514</v>
      </c>
      <c r="BC16" s="40">
        <f t="shared" ca="1" si="112"/>
        <v>2.1069654925364967</v>
      </c>
      <c r="BD16" s="40">
        <f t="shared" ca="1" si="113"/>
        <v>1.2635490665443805</v>
      </c>
      <c r="BE16" s="40">
        <f t="shared" ca="1" si="114"/>
        <v>1.5110483682386406</v>
      </c>
      <c r="BF16" s="40">
        <f t="shared" ca="1" si="115"/>
        <v>13.922999328345965</v>
      </c>
      <c r="BG16" s="40">
        <f t="shared" ca="1" si="116"/>
        <v>8.9222783801357135</v>
      </c>
      <c r="BH16" s="40">
        <f t="shared" ca="1" si="117"/>
        <v>4.014060740721705</v>
      </c>
      <c r="BI16" s="40">
        <f t="shared" ca="1" si="118"/>
        <v>2.1059151109073011</v>
      </c>
      <c r="BJ16" s="40">
        <f t="shared" ca="1" si="119"/>
        <v>1.1463125552155207</v>
      </c>
      <c r="BK16" s="40">
        <f t="shared" ca="1" si="120"/>
        <v>6.021183591486734</v>
      </c>
      <c r="BL16" s="40">
        <f t="shared" ca="1" si="121"/>
        <v>7.6574705746966032</v>
      </c>
      <c r="BM16" s="40">
        <f t="shared" ca="1" si="122"/>
        <v>0.86610439218891555</v>
      </c>
      <c r="BN16" s="40">
        <f t="shared" ca="1" si="123"/>
        <v>0.78157674219240036</v>
      </c>
      <c r="BO16" s="40">
        <f t="shared" ca="1" si="124"/>
        <v>0.29526232482824016</v>
      </c>
      <c r="BP16" s="40">
        <f t="shared" ca="1" si="125"/>
        <v>4.8201075994841309</v>
      </c>
      <c r="BQ16" s="40">
        <f t="shared" ca="1" si="126"/>
        <v>11.167205630757499</v>
      </c>
      <c r="BR16" s="40">
        <f t="shared" ca="1" si="127"/>
        <v>2.2485402489519926</v>
      </c>
      <c r="BS16" s="40">
        <f t="shared" ca="1" si="128"/>
        <v>1.2331544154591205</v>
      </c>
      <c r="BT16" s="40">
        <f t="shared" ca="1" si="129"/>
        <v>1.0594706949719206</v>
      </c>
      <c r="BU16" s="40">
        <f t="shared" ca="1" si="130"/>
        <v>9.9720914599163493</v>
      </c>
      <c r="BV16" s="40">
        <f t="shared" ca="1" si="131"/>
        <v>7.7099290578669137</v>
      </c>
      <c r="BW16" s="40">
        <f t="shared" ca="1" si="132"/>
        <v>2.4650663469992211</v>
      </c>
      <c r="BX16" s="40">
        <f t="shared" ca="1" si="133"/>
        <v>6.416274378329696</v>
      </c>
      <c r="BY16" s="40">
        <f t="shared" ca="1" si="134"/>
        <v>6.6607548866962079</v>
      </c>
      <c r="BZ16" s="40">
        <f t="shared" ca="1" si="135"/>
        <v>16.272725039406989</v>
      </c>
      <c r="CA16" s="40">
        <f t="shared" ca="1" si="136"/>
        <v>6.6607548866962079</v>
      </c>
      <c r="CB16" s="40">
        <f t="shared" ca="1" si="137"/>
        <v>7.0040646303488252</v>
      </c>
      <c r="CC16" s="40">
        <f t="shared" ca="1" si="138"/>
        <v>18.544974820853909</v>
      </c>
      <c r="CD16" s="40">
        <f t="shared" ca="1" si="139"/>
        <v>7.0040646303488252</v>
      </c>
      <c r="CE16" s="40">
        <f t="shared" ca="1" si="140"/>
        <v>3.9509078684296153</v>
      </c>
    </row>
    <row r="17" spans="1:83" x14ac:dyDescent="0.25">
      <c r="A17" t="str">
        <f>PLANTILLA!D19</f>
        <v>Enrique Cubas</v>
      </c>
      <c r="B17">
        <f>PLANTILLA!E19</f>
        <v>17</v>
      </c>
      <c r="C17" s="36">
        <f ca="1">PLANTILLA!F19</f>
        <v>23</v>
      </c>
      <c r="D17" s="242" t="str">
        <f>PLANTILLA!G19</f>
        <v>RAP</v>
      </c>
      <c r="E17" s="33">
        <v>42342</v>
      </c>
      <c r="F17" s="51">
        <f>PLANTILLA!Q19</f>
        <v>5</v>
      </c>
      <c r="G17" s="52">
        <f t="shared" ref="G17:G28" si="141">(F17/7)^0.5</f>
        <v>0.84515425472851657</v>
      </c>
      <c r="H17" s="52">
        <f t="shared" ref="H17:H28" si="142">IF(F17=7,1,((F17+0.99)/7)^0.5)</f>
        <v>0.92504826128926143</v>
      </c>
      <c r="I17" s="55">
        <f t="shared" ref="I17:I28" ca="1" si="143">IF(TODAY()-E17&gt;335,1,((TODAY()-E17)^0.5)/336^0.5)</f>
        <v>1</v>
      </c>
      <c r="J17" s="42">
        <f>PLANTILLA!I19</f>
        <v>1</v>
      </c>
      <c r="K17" s="50">
        <f>PLANTILLA!X19</f>
        <v>0</v>
      </c>
      <c r="L17" s="50">
        <f>PLANTILLA!Y19</f>
        <v>2</v>
      </c>
      <c r="M17" s="50">
        <f>PLANTILLA!Z19</f>
        <v>5.7</v>
      </c>
      <c r="N17" s="50">
        <f>PLANTILLA!AA19</f>
        <v>5.5</v>
      </c>
      <c r="O17" s="50">
        <f>PLANTILLA!AB19</f>
        <v>5.25</v>
      </c>
      <c r="P17" s="50">
        <f>PLANTILLA!AC19</f>
        <v>3</v>
      </c>
      <c r="Q17" s="50">
        <f>PLANTILLA!AD19</f>
        <v>3</v>
      </c>
      <c r="R17" s="50">
        <f t="shared" ref="R17:R28" si="144">((2*(O17+1))+(L17+1))/8</f>
        <v>1.9375</v>
      </c>
      <c r="S17" s="50">
        <f t="shared" ref="S17:S28" si="145">(0.5*P17+ 0.3*Q17)/10</f>
        <v>0.24</v>
      </c>
      <c r="T17" s="50">
        <f t="shared" ref="T17:T28" si="146">(0.4*L17+0.3*Q17)/10</f>
        <v>0.16999999999999998</v>
      </c>
      <c r="U17" s="50">
        <f t="shared" ref="U17:U28" ca="1" si="147">IF(TODAY()-E17&gt;335,(Q17+1+(LOG(J17)*4/3))*(F17/7)^0.5,(Q17+((TODAY()-E17)^0.5)/(336^0.5)+(LOG(J17)*4/3))*(F17/7)^0.5)</f>
        <v>3.3806170189140663</v>
      </c>
      <c r="V17" s="50">
        <f t="shared" ref="V17:V28" ca="1" si="148">IF(F17=7,U17,IF(TODAY()-E17&gt;335,(Q17+1+(LOG(J17)*4/3))*((F17+0.99)/7)^0.5,(Q17+((TODAY()-E17)^0.5)/(336^0.5)+(LOG(J17)*4/3))*((F17+0.99)/7)^0.5))</f>
        <v>3.7001930451570457</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0.66800000000000004</v>
      </c>
      <c r="AO17" s="40">
        <f t="shared" ref="AO17:AO28" ca="1" si="167">IF(TODAY()-E17&gt;335,((R17+1+(LOG(J17)*4/3))*0.288),((R17+(((TODAY()-E17)^0.5)/(336^0.5))+(LOG(J17)*4/3))*0.288))</f>
        <v>0.84599999999999997</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0.8125</v>
      </c>
      <c r="AU17" s="40">
        <f t="shared" ref="AU17:AU28" ca="1" si="173">IF(TODAY()-E17&gt;335,((P17+1+(LOG(J17)*4/3))*0.173)+((O17+1+(LOG(J17)*4/3))*0.12),((P17+(((TODAY()-E17)^0.5)/(336^0.5))+(LOG(J17)*4/3))*0.173)+((O17+(((TODAY()-E17)^0.5)/(336^0.5))+(LOG(J17)*4/3))*0.12))</f>
        <v>1.4419999999999999</v>
      </c>
      <c r="AV17" s="40">
        <f t="shared" ref="AV17:AV28" ca="1" si="174">AT17/2</f>
        <v>0.40625</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1.58125</v>
      </c>
      <c r="BB17" s="40">
        <f t="shared" ref="BB17:BB28" ca="1" si="180">IF(TODAY()-E17&gt;335,((P17+1+(LOG(J17)*4/3))*0.21)+((O17+1+(LOG(J17)*4/3))*0.341),((P17+(((TODAY()-E17)^0.5)/(336^0.5))+(LOG(J17)*4/3))*0.21)+((O17+(((TODAY()-E17)^0.5)/(336^0.5))+(LOG(J17)*4/3))*0.341))</f>
        <v>2.9712499999999999</v>
      </c>
      <c r="BC17" s="40">
        <f t="shared" ref="BC17:BC28" ca="1" si="181">BA17/2</f>
        <v>0.79062500000000002</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5.6997499999999999</v>
      </c>
      <c r="BH17" s="40">
        <f t="shared" ref="BH17:BH28" ca="1" si="186">IF(TODAY()-E17&gt;335,((O17+1+(LOG(J17)*4/3))*0.241),((O17+(((TODAY()-E17)^0.5)/(336^0.5))+(LOG(J17)*4/3))*0.241))</f>
        <v>1.5062499999999999</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5.6307500000000008</v>
      </c>
      <c r="BM17" s="40">
        <f t="shared" ref="BM17:BM28" ca="1" si="191">IF(TODAY()-E17&gt;335,((O17+1+(LOG(J17)*4/3))*0.052),((O17+(((TODAY()-E17)^0.5)/(336^0.5))+(LOG(J17)*4/3))*0.052))</f>
        <v>0.32500000000000001</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8.2874999999999996</v>
      </c>
      <c r="BR17" s="40">
        <f t="shared" ref="BR17:BR28" ca="1" si="196">IF(TODAY()-E17&gt;335,((O17+1+(LOG(J17)*4/3))*0.135),((O17+(((TODAY()-E17)^0.5)/(336^0.5))+(LOG(J17)*4/3))*0.135))</f>
        <v>0.84375</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5.7692499999999995</v>
      </c>
      <c r="BW17" s="40">
        <f t="shared" ref="BW17:BW28" ca="1" si="201">IF(TODAY()-E17&gt;335,((O17+1+(LOG(J17)*4/3))*0.148),((O17+(((TODAY()-E17)^0.5)/(336^0.5))+(LOG(J17)*4/3))*0.148))</f>
        <v>0.92499999999999993</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3.0065</v>
      </c>
      <c r="BZ17" s="40">
        <f t="shared" ref="BZ17:BZ28" ca="1" si="204">IF(D17="TEC",IF(TODAY()-E17&gt;335,((O17+1+(LOG(J17)*4/3))*0.543)+((P17+1+(LOG(J17)*4/3))*0.583),((O17+(((TODAY()-E17)^0.5)/(336^0.5))+(LOG(J17)*4/3))*0.543)+((P17+(((TODAY()-E17)^0.5)/(336^0.5))+(LOG(J17)*4/3))*0.583)),IF(TODAY()-E17&gt;335,((O17+1+(LOG(J17)*4/3))*0.543)+((P17+1+(LOG(J17)*4/3))*0.583),((O17+(((TODAY()-E17)^0.5)/(336^0.5))+(LOG(J17)*4/3))*0.543)+((P17+(((TODAY()-E17)^0.5)/(336^0.5))+(LOG(J17)*4/3))*0.583)))</f>
        <v>5.7257499999999997</v>
      </c>
      <c r="CA17" s="40">
        <f t="shared" ref="CA17:CA28" ca="1" si="205">BY17</f>
        <v>3.0065</v>
      </c>
      <c r="CB17" s="40">
        <f t="shared" ref="CB17:CB28" ca="1" si="206">IF(TODAY()-E17&gt;335,((P17+1+(LOG(J17)*4/3))*0.26)+((N17+1+(LOG(J17)*4/3))*0.221)+((O17+1+(LOG(J17)*4/3))*0.142),((P17+(((TODAY()-E17)^0.5)/(336^0.5))+(LOG(J17)*4/3))*0.26)+((N17+(((TODAY()-E17)^0.5)/(336^0.5))+(LOG(J17)*4/3))*0.221)+((P17+(((TODAY()-E17)^0.5)/(336^0.5))+(LOG(J17)*4/3))*0.142))</f>
        <v>3.3639999999999999</v>
      </c>
      <c r="CC17" s="40">
        <f t="shared" ref="CC17:CC28" ca="1" si="207">IF(TODAY()-E17&gt;335,((P17+1+(LOG(J17)*4/3))*1)+((O17+1+(LOG(J17)*4/3))*0.369),((P17+(((TODAY()-E17)^0.5)/(336^0.5))+(LOG(J17)*4/3))*1)+((O17+(((TODAY()-E17)^0.5)/(336^0.5))+(LOG(J17)*4/3))*0.369))</f>
        <v>6.3062500000000004</v>
      </c>
      <c r="CD17" s="40">
        <f t="shared" ref="CD17:CD28" ca="1" si="208">CB17</f>
        <v>3.3639999999999999</v>
      </c>
      <c r="CE17" s="40">
        <f t="shared" ref="CE17:CE28" ca="1" si="209">IF(TODAY()-E17&gt;335,((M17+1+(LOG(J17)*4/3))*0.25),((M17+(((TODAY()-E17)^0.5)/(336^0.5))+(LOG(J17)*4/3))*0.25))</f>
        <v>1.675</v>
      </c>
    </row>
    <row r="18" spans="1:83" x14ac:dyDescent="0.25">
      <c r="A18" t="str">
        <f>PLANTILLA!D20</f>
        <v>Valeri Gomis</v>
      </c>
      <c r="B18">
        <f>PLANTILLA!E20</f>
        <v>17</v>
      </c>
      <c r="C18" s="36">
        <f ca="1">PLANTILLA!F20</f>
        <v>27</v>
      </c>
      <c r="D18" s="242" t="str">
        <f>PLANTILLA!G20</f>
        <v>IMP</v>
      </c>
      <c r="E18" s="33">
        <v>42343</v>
      </c>
      <c r="F18" s="51">
        <f>PLANTILLA!Q20</f>
        <v>5</v>
      </c>
      <c r="G18" s="52">
        <f t="shared" si="141"/>
        <v>0.84515425472851657</v>
      </c>
      <c r="H18" s="52">
        <f t="shared" si="142"/>
        <v>0.92504826128926143</v>
      </c>
      <c r="I18" s="55">
        <f t="shared" ca="1" si="143"/>
        <v>1</v>
      </c>
      <c r="J18" s="42">
        <f>PLANTILLA!I20</f>
        <v>1</v>
      </c>
      <c r="K18" s="50">
        <f>PLANTILLA!X20</f>
        <v>0</v>
      </c>
      <c r="L18" s="50">
        <f>PLANTILLA!Y20</f>
        <v>6</v>
      </c>
      <c r="M18" s="50">
        <f>PLANTILLA!Z20</f>
        <v>3</v>
      </c>
      <c r="N18" s="50">
        <f>PLANTILLA!AA20</f>
        <v>3</v>
      </c>
      <c r="O18" s="50">
        <f>PLANTILLA!AB20</f>
        <v>5.2</v>
      </c>
      <c r="P18" s="50">
        <f>PLANTILLA!AC20</f>
        <v>2</v>
      </c>
      <c r="Q18" s="50">
        <f>PLANTILLA!AD20</f>
        <v>1</v>
      </c>
      <c r="R18" s="50">
        <f t="shared" si="144"/>
        <v>2.4249999999999998</v>
      </c>
      <c r="S18" s="50">
        <f t="shared" si="145"/>
        <v>0.13</v>
      </c>
      <c r="T18" s="50">
        <f t="shared" si="146"/>
        <v>0.27</v>
      </c>
      <c r="U18" s="50">
        <f t="shared" ca="1" si="147"/>
        <v>1.6903085094570331</v>
      </c>
      <c r="V18" s="50">
        <f t="shared" ca="1" si="148"/>
        <v>1.8500965225785229</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0.33400000000000002</v>
      </c>
      <c r="AO18" s="40">
        <f t="shared" ca="1" si="167"/>
        <v>0.98639999999999983</v>
      </c>
      <c r="AP18" s="40">
        <f t="shared" ca="1" si="168"/>
        <v>1.8900000000000001</v>
      </c>
      <c r="AQ18" s="40">
        <f t="shared" ca="1" si="169"/>
        <v>4.1579999999999995</v>
      </c>
      <c r="AR18" s="40">
        <f t="shared" ca="1" si="170"/>
        <v>0.94500000000000006</v>
      </c>
      <c r="AS18" s="40">
        <f t="shared" ca="1" si="171"/>
        <v>3.7759999999999998</v>
      </c>
      <c r="AT18" s="40">
        <f t="shared" ca="1" si="172"/>
        <v>0.80600000000000005</v>
      </c>
      <c r="AU18" s="40">
        <f t="shared" ca="1" si="173"/>
        <v>1.2629999999999999</v>
      </c>
      <c r="AV18" s="40">
        <f t="shared" ca="1" si="174"/>
        <v>0.40300000000000002</v>
      </c>
      <c r="AW18" s="40">
        <f t="shared" ca="1" si="175"/>
        <v>1.323</v>
      </c>
      <c r="AX18" s="40">
        <f t="shared" ca="1" si="176"/>
        <v>2.8000000000000003</v>
      </c>
      <c r="AY18" s="40">
        <f t="shared" ca="1" si="177"/>
        <v>0.66149999999999998</v>
      </c>
      <c r="AZ18" s="40">
        <f t="shared" ca="1" si="178"/>
        <v>4</v>
      </c>
      <c r="BA18" s="40">
        <f t="shared" ca="1" si="179"/>
        <v>1.5686</v>
      </c>
      <c r="BB18" s="40">
        <f t="shared" ca="1" si="180"/>
        <v>2.7442000000000002</v>
      </c>
      <c r="BC18" s="40">
        <f t="shared" ca="1" si="181"/>
        <v>0.7843</v>
      </c>
      <c r="BD18" s="40">
        <f t="shared" ca="1" si="182"/>
        <v>2.0369999999999999</v>
      </c>
      <c r="BE18" s="40">
        <f t="shared" ca="1" si="183"/>
        <v>2.4359999999999999</v>
      </c>
      <c r="BF18" s="40">
        <f t="shared" ca="1" si="184"/>
        <v>3.524</v>
      </c>
      <c r="BG18" s="40">
        <f t="shared" ca="1" si="185"/>
        <v>4.2489999999999997</v>
      </c>
      <c r="BH18" s="40">
        <f t="shared" ca="1" si="186"/>
        <v>1.4942</v>
      </c>
      <c r="BI18" s="40">
        <f t="shared" ca="1" si="187"/>
        <v>3.395</v>
      </c>
      <c r="BJ18" s="40">
        <f t="shared" ca="1" si="188"/>
        <v>1.8480000000000001</v>
      </c>
      <c r="BK18" s="40">
        <f t="shared" ca="1" si="189"/>
        <v>1.524</v>
      </c>
      <c r="BL18" s="40">
        <f t="shared" ca="1" si="190"/>
        <v>3.9382000000000001</v>
      </c>
      <c r="BM18" s="40">
        <f t="shared" ca="1" si="191"/>
        <v>0.32240000000000002</v>
      </c>
      <c r="BN18" s="40">
        <f t="shared" ca="1" si="192"/>
        <v>1.26</v>
      </c>
      <c r="BO18" s="40">
        <f t="shared" ca="1" si="193"/>
        <v>0.47600000000000003</v>
      </c>
      <c r="BP18" s="40">
        <f t="shared" ca="1" si="194"/>
        <v>1.22</v>
      </c>
      <c r="BQ18" s="40">
        <f t="shared" ca="1" si="195"/>
        <v>5.7732000000000001</v>
      </c>
      <c r="BR18" s="40">
        <f t="shared" ca="1" si="196"/>
        <v>0.83700000000000008</v>
      </c>
      <c r="BS18" s="40">
        <f t="shared" ca="1" si="197"/>
        <v>1.9879999999999998</v>
      </c>
      <c r="BT18" s="40">
        <f t="shared" ca="1" si="198"/>
        <v>1.708</v>
      </c>
      <c r="BU18" s="40">
        <f t="shared" ca="1" si="199"/>
        <v>2.524</v>
      </c>
      <c r="BV18" s="40">
        <f t="shared" ca="1" si="200"/>
        <v>4.0045999999999999</v>
      </c>
      <c r="BW18" s="40">
        <f t="shared" ca="1" si="201"/>
        <v>0.91759999999999997</v>
      </c>
      <c r="BX18" s="40">
        <f t="shared" ca="1" si="202"/>
        <v>1.6240000000000001</v>
      </c>
      <c r="BY18" s="40">
        <f t="shared" ca="1" si="203"/>
        <v>2.5069999999999997</v>
      </c>
      <c r="BZ18" s="40">
        <f t="shared" ca="1" si="204"/>
        <v>5.1156000000000006</v>
      </c>
      <c r="CA18" s="40">
        <f t="shared" ca="1" si="205"/>
        <v>2.5069999999999997</v>
      </c>
      <c r="CB18" s="40">
        <f t="shared" ca="1" si="206"/>
        <v>2.5444</v>
      </c>
      <c r="CC18" s="40">
        <f t="shared" ca="1" si="207"/>
        <v>5.2877999999999998</v>
      </c>
      <c r="CD18" s="40">
        <f t="shared" ca="1" si="208"/>
        <v>2.5444</v>
      </c>
      <c r="CE18" s="40">
        <f t="shared" ca="1" si="209"/>
        <v>1</v>
      </c>
    </row>
    <row r="19" spans="1:83" x14ac:dyDescent="0.25">
      <c r="A19" t="str">
        <f>PLANTILLA!D21</f>
        <v>Juan Garcia Peñuela</v>
      </c>
      <c r="B19">
        <f>PLANTILLA!E21</f>
        <v>17</v>
      </c>
      <c r="C19" s="36">
        <f ca="1">PLANTILLA!F21</f>
        <v>23</v>
      </c>
      <c r="D19" s="242" t="str">
        <f>PLANTILLA!G21</f>
        <v>IMP</v>
      </c>
      <c r="E19" s="33">
        <v>42344</v>
      </c>
      <c r="F19" s="51">
        <f>PLANTILLA!Q21</f>
        <v>4</v>
      </c>
      <c r="G19" s="52">
        <f t="shared" si="141"/>
        <v>0.7559289460184544</v>
      </c>
      <c r="H19" s="52">
        <f t="shared" si="142"/>
        <v>0.84430867747355465</v>
      </c>
      <c r="I19" s="55">
        <f t="shared" ca="1" si="143"/>
        <v>1</v>
      </c>
      <c r="J19" s="42">
        <f>PLANTILLA!I21</f>
        <v>0.5</v>
      </c>
      <c r="K19" s="50">
        <f>PLANTILLA!X21</f>
        <v>0</v>
      </c>
      <c r="L19" s="50">
        <f>PLANTILLA!Y21</f>
        <v>3</v>
      </c>
      <c r="M19" s="50">
        <f>PLANTILLA!Z21</f>
        <v>5</v>
      </c>
      <c r="N19" s="50">
        <f>PLANTILLA!AA21</f>
        <v>4</v>
      </c>
      <c r="O19" s="50">
        <f>PLANTILLA!AB21</f>
        <v>4</v>
      </c>
      <c r="P19" s="50">
        <f>PLANTILLA!AC21</f>
        <v>3</v>
      </c>
      <c r="Q19" s="50">
        <f>PLANTILLA!AD21</f>
        <v>1</v>
      </c>
      <c r="R19" s="50">
        <f t="shared" si="144"/>
        <v>1.75</v>
      </c>
      <c r="S19" s="50">
        <f t="shared" si="145"/>
        <v>0.18</v>
      </c>
      <c r="T19" s="50">
        <f t="shared" si="146"/>
        <v>0.15000000000000002</v>
      </c>
      <c r="U19" s="50">
        <f t="shared" ca="1" si="147"/>
        <v>1.2084481755806247</v>
      </c>
      <c r="V19" s="50">
        <f t="shared" ca="1" si="148"/>
        <v>1.3497343715885415</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0.26697065429882022</v>
      </c>
      <c r="AO19" s="40">
        <f t="shared" ca="1" si="167"/>
        <v>0.6764044816650312</v>
      </c>
      <c r="AP19" s="40">
        <f t="shared" ca="1" si="168"/>
        <v>0.97162920156096688</v>
      </c>
      <c r="AQ19" s="40">
        <f t="shared" ca="1" si="169"/>
        <v>2.137584243434127</v>
      </c>
      <c r="AR19" s="40">
        <f t="shared" ca="1" si="170"/>
        <v>0.48581460078048344</v>
      </c>
      <c r="AS19" s="40">
        <f t="shared" ca="1" si="171"/>
        <v>5.2851035787909346</v>
      </c>
      <c r="AT19" s="40">
        <f t="shared" ca="1" si="172"/>
        <v>0.59782146741824327</v>
      </c>
      <c r="AU19" s="40">
        <f t="shared" ca="1" si="173"/>
        <v>1.1743976150272712</v>
      </c>
      <c r="AV19" s="40">
        <f t="shared" ca="1" si="174"/>
        <v>0.29891073370912163</v>
      </c>
      <c r="AW19" s="40">
        <f t="shared" ca="1" si="175"/>
        <v>0.6801404410926768</v>
      </c>
      <c r="AX19" s="40">
        <f t="shared" ca="1" si="176"/>
        <v>1.4394506689792101</v>
      </c>
      <c r="AY19" s="40">
        <f t="shared" ca="1" si="177"/>
        <v>0.3400702205463384</v>
      </c>
      <c r="AZ19" s="40">
        <f t="shared" ca="1" si="178"/>
        <v>5.5986266724480247</v>
      </c>
      <c r="BA19" s="40">
        <f t="shared" ca="1" si="179"/>
        <v>1.1634525481293503</v>
      </c>
      <c r="BB19" s="40">
        <f t="shared" ca="1" si="180"/>
        <v>2.323843296518862</v>
      </c>
      <c r="BC19" s="40">
        <f t="shared" ca="1" si="181"/>
        <v>0.58172627406467514</v>
      </c>
      <c r="BD19" s="40">
        <f t="shared" ca="1" si="182"/>
        <v>1.0472003616823753</v>
      </c>
      <c r="BE19" s="40">
        <f t="shared" ca="1" si="183"/>
        <v>1.2523220820119128</v>
      </c>
      <c r="BF19" s="40">
        <f t="shared" ca="1" si="184"/>
        <v>4.9323900984267102</v>
      </c>
      <c r="BG19" s="40">
        <f t="shared" ca="1" si="185"/>
        <v>4.0881791118062942</v>
      </c>
      <c r="BH19" s="40">
        <f t="shared" ca="1" si="186"/>
        <v>1.1082690280599738</v>
      </c>
      <c r="BI19" s="40">
        <f t="shared" ca="1" si="187"/>
        <v>1.7453339361372922</v>
      </c>
      <c r="BJ19" s="40">
        <f t="shared" ca="1" si="188"/>
        <v>0.95003744152627867</v>
      </c>
      <c r="BK19" s="40">
        <f t="shared" ca="1" si="189"/>
        <v>2.1330767622026974</v>
      </c>
      <c r="BL19" s="40">
        <f t="shared" ca="1" si="190"/>
        <v>4.0191997117195735</v>
      </c>
      <c r="BM19" s="40">
        <f t="shared" ca="1" si="191"/>
        <v>0.23912858696729727</v>
      </c>
      <c r="BN19" s="40">
        <f t="shared" ca="1" si="192"/>
        <v>0.64775280104064448</v>
      </c>
      <c r="BO19" s="40">
        <f t="shared" ca="1" si="193"/>
        <v>0.24470661372646574</v>
      </c>
      <c r="BP19" s="40">
        <f t="shared" ca="1" si="194"/>
        <v>1.7075811350966474</v>
      </c>
      <c r="BQ19" s="40">
        <f t="shared" ca="1" si="195"/>
        <v>5.91383390076816</v>
      </c>
      <c r="BR19" s="40">
        <f t="shared" ca="1" si="196"/>
        <v>0.62081460078048334</v>
      </c>
      <c r="BS19" s="40">
        <f t="shared" ca="1" si="197"/>
        <v>1.0220099749752392</v>
      </c>
      <c r="BT19" s="40">
        <f t="shared" ca="1" si="198"/>
        <v>0.87806490807731807</v>
      </c>
      <c r="BU19" s="40">
        <f t="shared" ca="1" si="199"/>
        <v>3.5327334303147038</v>
      </c>
      <c r="BV19" s="40">
        <f t="shared" ca="1" si="200"/>
        <v>4.115770871840982</v>
      </c>
      <c r="BW19" s="40">
        <f t="shared" ca="1" si="201"/>
        <v>0.68059674752230759</v>
      </c>
      <c r="BX19" s="40">
        <f t="shared" ca="1" si="202"/>
        <v>2.273042429013898</v>
      </c>
      <c r="BY19" s="40">
        <f t="shared" ca="1" si="203"/>
        <v>2.2688844963454211</v>
      </c>
      <c r="BZ19" s="40">
        <f t="shared" ca="1" si="204"/>
        <v>4.5950536331764766</v>
      </c>
      <c r="CA19" s="40">
        <f t="shared" ca="1" si="205"/>
        <v>2.2688844963454211</v>
      </c>
      <c r="CB19" s="40">
        <f t="shared" ca="1" si="206"/>
        <v>2.6049444169351195</v>
      </c>
      <c r="CC19" s="40">
        <f t="shared" ca="1" si="207"/>
        <v>5.2955199145813463</v>
      </c>
      <c r="CD19" s="40">
        <f t="shared" ca="1" si="208"/>
        <v>2.6049444169351195</v>
      </c>
      <c r="CE19" s="40">
        <f t="shared" ca="1" si="209"/>
        <v>1.3996566681120062</v>
      </c>
    </row>
    <row r="20" spans="1:83" x14ac:dyDescent="0.25">
      <c r="A20" t="str">
        <f>PLANTILLA!D22</f>
        <v>Fernando Gazón</v>
      </c>
      <c r="B20">
        <f>PLANTILLA!E22</f>
        <v>17</v>
      </c>
      <c r="C20" s="36">
        <f ca="1">PLANTILLA!F22</f>
        <v>64</v>
      </c>
      <c r="D20" s="242" t="str">
        <f>PLANTILLA!G22</f>
        <v>IMP</v>
      </c>
      <c r="E20" s="33">
        <v>42345</v>
      </c>
      <c r="F20" s="51">
        <f>PLANTILLA!Q22</f>
        <v>5</v>
      </c>
      <c r="G20" s="52">
        <f t="shared" si="141"/>
        <v>0.84515425472851657</v>
      </c>
      <c r="H20" s="52">
        <f t="shared" si="142"/>
        <v>0.92504826128926143</v>
      </c>
      <c r="I20" s="55">
        <f t="shared" ca="1" si="143"/>
        <v>1</v>
      </c>
      <c r="J20" s="42">
        <f>PLANTILLA!I22</f>
        <v>0.5</v>
      </c>
      <c r="K20" s="50">
        <f>PLANTILLA!X22</f>
        <v>0</v>
      </c>
      <c r="L20" s="50">
        <f>PLANTILLA!Y22</f>
        <v>3</v>
      </c>
      <c r="M20" s="50">
        <f>PLANTILLA!Z22</f>
        <v>6</v>
      </c>
      <c r="N20" s="50">
        <f>PLANTILLA!AA22</f>
        <v>3</v>
      </c>
      <c r="O20" s="50">
        <f>PLANTILLA!AB22</f>
        <v>3.5</v>
      </c>
      <c r="P20" s="50">
        <f>PLANTILLA!AC22</f>
        <v>4</v>
      </c>
      <c r="Q20" s="50">
        <f>PLANTILLA!AD22</f>
        <v>1</v>
      </c>
      <c r="R20" s="50">
        <f t="shared" si="144"/>
        <v>1.625</v>
      </c>
      <c r="S20" s="50">
        <f t="shared" si="145"/>
        <v>0.22999999999999998</v>
      </c>
      <c r="T20" s="50">
        <f t="shared" si="146"/>
        <v>0.15000000000000002</v>
      </c>
      <c r="U20" s="50">
        <f t="shared" ca="1" si="147"/>
        <v>1.3510861339419391</v>
      </c>
      <c r="V20" s="50">
        <f t="shared" ca="1" si="148"/>
        <v>1.4788068237986833</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0.26697065429882022</v>
      </c>
      <c r="AO20" s="40">
        <f t="shared" ca="1" si="167"/>
        <v>0.64040448166503117</v>
      </c>
      <c r="AP20" s="40">
        <f t="shared" ca="1" si="168"/>
        <v>0.97162920156096688</v>
      </c>
      <c r="AQ20" s="40">
        <f t="shared" ca="1" si="169"/>
        <v>2.137584243434127</v>
      </c>
      <c r="AR20" s="40">
        <f t="shared" ca="1" si="170"/>
        <v>0.48581460078048344</v>
      </c>
      <c r="AS20" s="40">
        <f t="shared" ca="1" si="171"/>
        <v>6.2291035787909346</v>
      </c>
      <c r="AT20" s="40">
        <f t="shared" ca="1" si="172"/>
        <v>0.53282146741824321</v>
      </c>
      <c r="AU20" s="40">
        <f t="shared" ca="1" si="173"/>
        <v>1.2873976150272712</v>
      </c>
      <c r="AV20" s="40">
        <f t="shared" ca="1" si="174"/>
        <v>0.26641073370912161</v>
      </c>
      <c r="AW20" s="40">
        <f t="shared" ca="1" si="175"/>
        <v>0.6801404410926768</v>
      </c>
      <c r="AX20" s="40">
        <f t="shared" ca="1" si="176"/>
        <v>1.4394506689792101</v>
      </c>
      <c r="AY20" s="40">
        <f t="shared" ca="1" si="177"/>
        <v>0.3400702205463384</v>
      </c>
      <c r="AZ20" s="40">
        <f t="shared" ca="1" si="178"/>
        <v>6.5986266724480247</v>
      </c>
      <c r="BA20" s="40">
        <f t="shared" ca="1" si="179"/>
        <v>1.0369525481293502</v>
      </c>
      <c r="BB20" s="40">
        <f t="shared" ca="1" si="180"/>
        <v>2.3633432965188614</v>
      </c>
      <c r="BC20" s="40">
        <f t="shared" ca="1" si="181"/>
        <v>0.51847627406467511</v>
      </c>
      <c r="BD20" s="40">
        <f t="shared" ca="1" si="182"/>
        <v>1.0472003616823753</v>
      </c>
      <c r="BE20" s="40">
        <f t="shared" ca="1" si="183"/>
        <v>1.2523220820119128</v>
      </c>
      <c r="BF20" s="40">
        <f t="shared" ca="1" si="184"/>
        <v>5.8133900984267095</v>
      </c>
      <c r="BG20" s="40">
        <f t="shared" ca="1" si="185"/>
        <v>3.3566791118062942</v>
      </c>
      <c r="BH20" s="40">
        <f t="shared" ca="1" si="186"/>
        <v>0.98776902805997391</v>
      </c>
      <c r="BI20" s="40">
        <f t="shared" ca="1" si="187"/>
        <v>1.7453339361372922</v>
      </c>
      <c r="BJ20" s="40">
        <f t="shared" ca="1" si="188"/>
        <v>0.95003744152627867</v>
      </c>
      <c r="BK20" s="40">
        <f t="shared" ca="1" si="189"/>
        <v>2.5140767622026976</v>
      </c>
      <c r="BL20" s="40">
        <f t="shared" ca="1" si="190"/>
        <v>3.2456997117195741</v>
      </c>
      <c r="BM20" s="40">
        <f t="shared" ca="1" si="191"/>
        <v>0.21312858696729728</v>
      </c>
      <c r="BN20" s="40">
        <f t="shared" ca="1" si="192"/>
        <v>0.64775280104064448</v>
      </c>
      <c r="BO20" s="40">
        <f t="shared" ca="1" si="193"/>
        <v>0.24470661372646574</v>
      </c>
      <c r="BP20" s="40">
        <f t="shared" ca="1" si="194"/>
        <v>2.0125811350966476</v>
      </c>
      <c r="BQ20" s="40">
        <f t="shared" ca="1" si="195"/>
        <v>4.7708339007681602</v>
      </c>
      <c r="BR20" s="40">
        <f t="shared" ca="1" si="196"/>
        <v>0.55331460078048333</v>
      </c>
      <c r="BS20" s="40">
        <f t="shared" ca="1" si="197"/>
        <v>1.0220099749752392</v>
      </c>
      <c r="BT20" s="40">
        <f t="shared" ca="1" si="198"/>
        <v>0.87806490807731807</v>
      </c>
      <c r="BU20" s="40">
        <f t="shared" ca="1" si="199"/>
        <v>4.1637334303147036</v>
      </c>
      <c r="BV20" s="40">
        <f t="shared" ca="1" si="200"/>
        <v>3.3172708718409822</v>
      </c>
      <c r="BW20" s="40">
        <f t="shared" ca="1" si="201"/>
        <v>0.60659674752230763</v>
      </c>
      <c r="BX20" s="40">
        <f t="shared" ca="1" si="202"/>
        <v>2.6790424290138981</v>
      </c>
      <c r="BY20" s="40">
        <f t="shared" ca="1" si="203"/>
        <v>2.1268844963454208</v>
      </c>
      <c r="BZ20" s="40">
        <f t="shared" ca="1" si="204"/>
        <v>4.9065536331764754</v>
      </c>
      <c r="CA20" s="40">
        <f t="shared" ca="1" si="205"/>
        <v>2.1268844963454208</v>
      </c>
      <c r="CB20" s="40">
        <f t="shared" ca="1" si="206"/>
        <v>2.5729444169351199</v>
      </c>
      <c r="CC20" s="40">
        <f t="shared" ca="1" si="207"/>
        <v>6.1110199145813455</v>
      </c>
      <c r="CD20" s="40">
        <f t="shared" ca="1" si="208"/>
        <v>2.5729444169351199</v>
      </c>
      <c r="CE20" s="40">
        <f t="shared" ca="1" si="209"/>
        <v>1.6496566681120062</v>
      </c>
    </row>
    <row r="21" spans="1:83" x14ac:dyDescent="0.25">
      <c r="A21" t="str">
        <f>PLANTILLA!D23</f>
        <v>Santiago Serra</v>
      </c>
      <c r="B21">
        <f>PLANTILLA!E23</f>
        <v>17</v>
      </c>
      <c r="C21" s="36">
        <f ca="1">PLANTILLA!F23</f>
        <v>21</v>
      </c>
      <c r="D21" s="242" t="str">
        <f>PLANTILLA!G23</f>
        <v>CAB</v>
      </c>
      <c r="E21" s="33">
        <v>42346</v>
      </c>
      <c r="F21" s="51">
        <f>PLANTILLA!Q23</f>
        <v>5</v>
      </c>
      <c r="G21" s="52">
        <f t="shared" si="141"/>
        <v>0.84515425472851657</v>
      </c>
      <c r="H21" s="52">
        <f t="shared" si="142"/>
        <v>0.92504826128926143</v>
      </c>
      <c r="I21" s="55">
        <f t="shared" ca="1" si="143"/>
        <v>1</v>
      </c>
      <c r="J21" s="42">
        <f>PLANTILLA!I23</f>
        <v>1</v>
      </c>
      <c r="K21" s="50">
        <f>PLANTILLA!X23</f>
        <v>1</v>
      </c>
      <c r="L21" s="50">
        <f>PLANTILLA!Y23</f>
        <v>4</v>
      </c>
      <c r="M21" s="50">
        <f>PLANTILLA!Z23</f>
        <v>2</v>
      </c>
      <c r="N21" s="50">
        <f>PLANTILLA!AA23</f>
        <v>3</v>
      </c>
      <c r="O21" s="50">
        <f>PLANTILLA!AB23</f>
        <v>4.25</v>
      </c>
      <c r="P21" s="50">
        <f>PLANTILLA!AC23</f>
        <v>5</v>
      </c>
      <c r="Q21" s="50">
        <f>PLANTILLA!AD23</f>
        <v>4</v>
      </c>
      <c r="R21" s="50">
        <f t="shared" si="144"/>
        <v>1.9375</v>
      </c>
      <c r="S21" s="50">
        <f t="shared" si="145"/>
        <v>0.37</v>
      </c>
      <c r="T21" s="50">
        <f t="shared" si="146"/>
        <v>0.27999999999999997</v>
      </c>
      <c r="U21" s="50">
        <f t="shared" ca="1" si="147"/>
        <v>4.2257712736425832</v>
      </c>
      <c r="V21" s="50">
        <f t="shared" ca="1" si="148"/>
        <v>4.6252413064463074</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0.83500000000000008</v>
      </c>
      <c r="AO21" s="40">
        <f t="shared" ca="1" si="167"/>
        <v>0.84599999999999997</v>
      </c>
      <c r="AP21" s="40">
        <f t="shared" ca="1" si="168"/>
        <v>1.35</v>
      </c>
      <c r="AQ21" s="40">
        <f t="shared" ca="1" si="169"/>
        <v>2.9699999999999998</v>
      </c>
      <c r="AR21" s="40">
        <f t="shared" ca="1" si="170"/>
        <v>0.67500000000000004</v>
      </c>
      <c r="AS21" s="40">
        <f t="shared" ca="1" si="171"/>
        <v>2.8319999999999999</v>
      </c>
      <c r="AT21" s="40">
        <f t="shared" ca="1" si="172"/>
        <v>0.6825</v>
      </c>
      <c r="AU21" s="40">
        <f t="shared" ca="1" si="173"/>
        <v>1.6679999999999997</v>
      </c>
      <c r="AV21" s="40">
        <f t="shared" ca="1" si="174"/>
        <v>0.34125</v>
      </c>
      <c r="AW21" s="40">
        <f t="shared" ca="1" si="175"/>
        <v>0.94500000000000006</v>
      </c>
      <c r="AX21" s="40">
        <f t="shared" ca="1" si="176"/>
        <v>2</v>
      </c>
      <c r="AY21" s="40">
        <f t="shared" ca="1" si="177"/>
        <v>0.47250000000000003</v>
      </c>
      <c r="AZ21" s="40">
        <f t="shared" ca="1" si="178"/>
        <v>3</v>
      </c>
      <c r="BA21" s="40">
        <f t="shared" ca="1" si="179"/>
        <v>1.3282499999999999</v>
      </c>
      <c r="BB21" s="40">
        <f t="shared" ca="1" si="180"/>
        <v>3.0502500000000001</v>
      </c>
      <c r="BC21" s="40">
        <f t="shared" ca="1" si="181"/>
        <v>0.66412499999999997</v>
      </c>
      <c r="BD21" s="40">
        <f t="shared" ca="1" si="182"/>
        <v>1.4549999999999998</v>
      </c>
      <c r="BE21" s="40">
        <f t="shared" ca="1" si="183"/>
        <v>1.7399999999999998</v>
      </c>
      <c r="BF21" s="40">
        <f t="shared" ca="1" si="184"/>
        <v>2.6429999999999998</v>
      </c>
      <c r="BG21" s="40">
        <f t="shared" ca="1" si="185"/>
        <v>3.9497499999999999</v>
      </c>
      <c r="BH21" s="40">
        <f t="shared" ca="1" si="186"/>
        <v>1.26525</v>
      </c>
      <c r="BI21" s="40">
        <f t="shared" ca="1" si="187"/>
        <v>2.4249999999999998</v>
      </c>
      <c r="BJ21" s="40">
        <f t="shared" ca="1" si="188"/>
        <v>1.32</v>
      </c>
      <c r="BK21" s="40">
        <f t="shared" ca="1" si="189"/>
        <v>1.143</v>
      </c>
      <c r="BL21" s="40">
        <f t="shared" ca="1" si="190"/>
        <v>3.7472500000000002</v>
      </c>
      <c r="BM21" s="40">
        <f t="shared" ca="1" si="191"/>
        <v>0.27299999999999996</v>
      </c>
      <c r="BN21" s="40">
        <f t="shared" ca="1" si="192"/>
        <v>0.89999999999999991</v>
      </c>
      <c r="BO21" s="40">
        <f t="shared" ca="1" si="193"/>
        <v>0.34</v>
      </c>
      <c r="BP21" s="40">
        <f t="shared" ca="1" si="194"/>
        <v>0.91500000000000004</v>
      </c>
      <c r="BQ21" s="40">
        <f t="shared" ca="1" si="195"/>
        <v>5.5015000000000001</v>
      </c>
      <c r="BR21" s="40">
        <f t="shared" ca="1" si="196"/>
        <v>0.70874999999999999</v>
      </c>
      <c r="BS21" s="40">
        <f t="shared" ca="1" si="197"/>
        <v>1.42</v>
      </c>
      <c r="BT21" s="40">
        <f t="shared" ca="1" si="198"/>
        <v>1.22</v>
      </c>
      <c r="BU21" s="40">
        <f t="shared" ca="1" si="199"/>
        <v>1.893</v>
      </c>
      <c r="BV21" s="40">
        <f t="shared" ca="1" si="200"/>
        <v>3.82125</v>
      </c>
      <c r="BW21" s="40">
        <f t="shared" ca="1" si="201"/>
        <v>0.77699999999999991</v>
      </c>
      <c r="BX21" s="40">
        <f t="shared" ca="1" si="202"/>
        <v>1.218</v>
      </c>
      <c r="BY21" s="40">
        <f t="shared" ca="1" si="203"/>
        <v>2.6505000000000001</v>
      </c>
      <c r="BZ21" s="40">
        <f t="shared" ca="1" si="204"/>
        <v>6.3487499999999999</v>
      </c>
      <c r="CA21" s="40">
        <f t="shared" ca="1" si="205"/>
        <v>2.6505000000000001</v>
      </c>
      <c r="CB21" s="40">
        <f t="shared" ca="1" si="206"/>
        <v>3.1894999999999998</v>
      </c>
      <c r="CC21" s="40">
        <f t="shared" ca="1" si="207"/>
        <v>7.9372499999999997</v>
      </c>
      <c r="CD21" s="40">
        <f t="shared" ca="1" si="208"/>
        <v>3.1894999999999998</v>
      </c>
      <c r="CE21" s="40">
        <f t="shared" ca="1" si="209"/>
        <v>0.75</v>
      </c>
    </row>
    <row r="22" spans="1:83" x14ac:dyDescent="0.25">
      <c r="A22" t="str">
        <f>PLANTILLA!D24</f>
        <v>Eckardt Hägerling</v>
      </c>
      <c r="B22">
        <f>PLANTILLA!E24</f>
        <v>17</v>
      </c>
      <c r="C22" s="36">
        <f ca="1">PLANTILLA!F24</f>
        <v>23</v>
      </c>
      <c r="D22" s="242" t="str">
        <f>PLANTILLA!G24</f>
        <v>IMP</v>
      </c>
      <c r="E22" s="33">
        <v>42347</v>
      </c>
      <c r="F22" s="51">
        <f>PLANTILLA!Q24</f>
        <v>5</v>
      </c>
      <c r="G22" s="52">
        <f t="shared" si="141"/>
        <v>0.84515425472851657</v>
      </c>
      <c r="H22" s="52">
        <f t="shared" si="142"/>
        <v>0.92504826128926143</v>
      </c>
      <c r="I22" s="55">
        <f t="shared" ca="1" si="143"/>
        <v>1</v>
      </c>
      <c r="J22" s="42">
        <f>PLANTILLA!I24</f>
        <v>1</v>
      </c>
      <c r="K22" s="50">
        <f>PLANTILLA!X24</f>
        <v>0</v>
      </c>
      <c r="L22" s="50">
        <f>PLANTILLA!Y24</f>
        <v>5</v>
      </c>
      <c r="M22" s="50">
        <f>PLANTILLA!Z24</f>
        <v>3</v>
      </c>
      <c r="N22" s="50">
        <f>PLANTILLA!AA24</f>
        <v>4</v>
      </c>
      <c r="O22" s="50">
        <f>PLANTILLA!AB24</f>
        <v>2.3828</v>
      </c>
      <c r="P22" s="50">
        <f>PLANTILLA!AC24</f>
        <v>3</v>
      </c>
      <c r="Q22" s="50">
        <f>PLANTILLA!AD24</f>
        <v>1</v>
      </c>
      <c r="R22" s="50">
        <f t="shared" si="144"/>
        <v>1.5956999999999999</v>
      </c>
      <c r="S22" s="50">
        <f t="shared" si="145"/>
        <v>0.18</v>
      </c>
      <c r="T22" s="50">
        <f t="shared" si="146"/>
        <v>0.22999999999999998</v>
      </c>
      <c r="U22" s="50">
        <f t="shared" ca="1" si="147"/>
        <v>1.6903085094570331</v>
      </c>
      <c r="V22" s="50">
        <f t="shared" ca="1" si="148"/>
        <v>1.8500965225785229</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0.33400000000000002</v>
      </c>
      <c r="AO22" s="40">
        <f t="shared" ca="1" si="167"/>
        <v>0.74756159999999994</v>
      </c>
      <c r="AP22" s="40">
        <f t="shared" ca="1" si="168"/>
        <v>1.62</v>
      </c>
      <c r="AQ22" s="40">
        <f t="shared" ca="1" si="169"/>
        <v>3.5640000000000001</v>
      </c>
      <c r="AR22" s="40">
        <f t="shared" ca="1" si="170"/>
        <v>0.81</v>
      </c>
      <c r="AS22" s="40">
        <f t="shared" ca="1" si="171"/>
        <v>3.7759999999999998</v>
      </c>
      <c r="AT22" s="40">
        <f t="shared" ca="1" si="172"/>
        <v>0.43976400000000004</v>
      </c>
      <c r="AU22" s="40">
        <f t="shared" ca="1" si="173"/>
        <v>1.0979359999999998</v>
      </c>
      <c r="AV22" s="40">
        <f t="shared" ca="1" si="174"/>
        <v>0.21988200000000002</v>
      </c>
      <c r="AW22" s="40">
        <f t="shared" ca="1" si="175"/>
        <v>1.1339999999999999</v>
      </c>
      <c r="AX22" s="40">
        <f t="shared" ca="1" si="176"/>
        <v>2.4000000000000004</v>
      </c>
      <c r="AY22" s="40">
        <f t="shared" ca="1" si="177"/>
        <v>0.56699999999999995</v>
      </c>
      <c r="AZ22" s="40">
        <f t="shared" ca="1" si="178"/>
        <v>4</v>
      </c>
      <c r="BA22" s="40">
        <f t="shared" ca="1" si="179"/>
        <v>0.85584840000000006</v>
      </c>
      <c r="BB22" s="40">
        <f t="shared" ca="1" si="180"/>
        <v>1.9935347999999999</v>
      </c>
      <c r="BC22" s="40">
        <f t="shared" ca="1" si="181"/>
        <v>0.42792420000000003</v>
      </c>
      <c r="BD22" s="40">
        <f t="shared" ca="1" si="182"/>
        <v>1.746</v>
      </c>
      <c r="BE22" s="40">
        <f t="shared" ca="1" si="183"/>
        <v>2.0880000000000001</v>
      </c>
      <c r="BF22" s="40">
        <f t="shared" ca="1" si="184"/>
        <v>3.524</v>
      </c>
      <c r="BG22" s="40">
        <f t="shared" ca="1" si="185"/>
        <v>3.9355819999999997</v>
      </c>
      <c r="BH22" s="40">
        <f t="shared" ca="1" si="186"/>
        <v>0.81525479999999995</v>
      </c>
      <c r="BI22" s="40">
        <f t="shared" ca="1" si="187"/>
        <v>2.91</v>
      </c>
      <c r="BJ22" s="40">
        <f t="shared" ca="1" si="188"/>
        <v>1.5840000000000001</v>
      </c>
      <c r="BK22" s="40">
        <f t="shared" ca="1" si="189"/>
        <v>1.524</v>
      </c>
      <c r="BL22" s="40">
        <f t="shared" ca="1" si="190"/>
        <v>4.0449428000000003</v>
      </c>
      <c r="BM22" s="40">
        <f t="shared" ca="1" si="191"/>
        <v>0.1759056</v>
      </c>
      <c r="BN22" s="40">
        <f t="shared" ca="1" si="192"/>
        <v>1.08</v>
      </c>
      <c r="BO22" s="40">
        <f t="shared" ca="1" si="193"/>
        <v>0.40800000000000003</v>
      </c>
      <c r="BP22" s="40">
        <f t="shared" ca="1" si="194"/>
        <v>1.22</v>
      </c>
      <c r="BQ22" s="40">
        <f t="shared" ca="1" si="195"/>
        <v>5.9674807999999997</v>
      </c>
      <c r="BR22" s="40">
        <f t="shared" ca="1" si="196"/>
        <v>0.45667800000000003</v>
      </c>
      <c r="BS22" s="40">
        <f t="shared" ca="1" si="197"/>
        <v>1.7039999999999997</v>
      </c>
      <c r="BT22" s="40">
        <f t="shared" ca="1" si="198"/>
        <v>1.464</v>
      </c>
      <c r="BU22" s="40">
        <f t="shared" ca="1" si="199"/>
        <v>2.524</v>
      </c>
      <c r="BV22" s="40">
        <f t="shared" ca="1" si="200"/>
        <v>4.1628803999999997</v>
      </c>
      <c r="BW22" s="40">
        <f t="shared" ca="1" si="201"/>
        <v>0.50065439999999994</v>
      </c>
      <c r="BX22" s="40">
        <f t="shared" ca="1" si="202"/>
        <v>1.6240000000000001</v>
      </c>
      <c r="BY22" s="40">
        <f t="shared" ca="1" si="203"/>
        <v>2.0737000000000001</v>
      </c>
      <c r="BZ22" s="40">
        <f t="shared" ca="1" si="204"/>
        <v>4.1688603999999998</v>
      </c>
      <c r="CA22" s="40">
        <f t="shared" ca="1" si="205"/>
        <v>2.0737000000000001</v>
      </c>
      <c r="CB22" s="40">
        <f t="shared" ca="1" si="206"/>
        <v>2.6253576000000001</v>
      </c>
      <c r="CC22" s="40">
        <f t="shared" ca="1" si="207"/>
        <v>5.2482531999999997</v>
      </c>
      <c r="CD22" s="40">
        <f t="shared" ca="1" si="208"/>
        <v>2.6253576000000001</v>
      </c>
      <c r="CE22" s="40">
        <f t="shared" ca="1" si="209"/>
        <v>1</v>
      </c>
    </row>
    <row r="23" spans="1:83" x14ac:dyDescent="0.25">
      <c r="A23" t="str">
        <f>PLANTILLA!D25</f>
        <v>Paulo Beltrán</v>
      </c>
      <c r="B23">
        <f>PLANTILLA!E25</f>
        <v>17</v>
      </c>
      <c r="C23" s="36">
        <f ca="1">PLANTILLA!F25</f>
        <v>31</v>
      </c>
      <c r="D23" s="242" t="str">
        <f>PLANTILLA!G25</f>
        <v>RAP</v>
      </c>
      <c r="E23" s="33">
        <v>42348</v>
      </c>
      <c r="F23" s="51">
        <f>PLANTILLA!Q25</f>
        <v>4</v>
      </c>
      <c r="G23" s="52">
        <f t="shared" si="141"/>
        <v>0.7559289460184544</v>
      </c>
      <c r="H23" s="52">
        <f t="shared" si="142"/>
        <v>0.84430867747355465</v>
      </c>
      <c r="I23" s="55">
        <f t="shared" ca="1" si="143"/>
        <v>1</v>
      </c>
      <c r="J23" s="42">
        <f>PLANTILLA!I25</f>
        <v>0.5</v>
      </c>
      <c r="K23" s="50">
        <f>PLANTILLA!X25</f>
        <v>0</v>
      </c>
      <c r="L23" s="50">
        <f>PLANTILLA!Y25</f>
        <v>4</v>
      </c>
      <c r="M23" s="50">
        <f>PLANTILLA!Z25</f>
        <v>2</v>
      </c>
      <c r="N23" s="50">
        <f>PLANTILLA!AA25</f>
        <v>5</v>
      </c>
      <c r="O23" s="50">
        <f>PLANTILLA!AB25</f>
        <v>3.29</v>
      </c>
      <c r="P23" s="50">
        <f>PLANTILLA!AC25</f>
        <v>4</v>
      </c>
      <c r="Q23" s="50">
        <f>PLANTILLA!AD25</f>
        <v>2</v>
      </c>
      <c r="R23" s="50">
        <f t="shared" si="144"/>
        <v>1.6975</v>
      </c>
      <c r="S23" s="50">
        <f t="shared" si="145"/>
        <v>0.26</v>
      </c>
      <c r="T23" s="50">
        <f t="shared" si="146"/>
        <v>0.22000000000000003</v>
      </c>
      <c r="U23" s="50">
        <f t="shared" ca="1" si="147"/>
        <v>1.9643771215990791</v>
      </c>
      <c r="V23" s="50">
        <f t="shared" ca="1" si="148"/>
        <v>2.1940430490620964</v>
      </c>
      <c r="W23" s="40">
        <f t="shared" ca="1" si="149"/>
        <v>1.626601085047126</v>
      </c>
      <c r="X23" s="40">
        <f t="shared" ca="1" si="150"/>
        <v>2.4728270341304004</v>
      </c>
      <c r="Y23" s="40">
        <f t="shared" ca="1" si="151"/>
        <v>1.626601085047126</v>
      </c>
      <c r="Z23" s="40">
        <f t="shared" ca="1" si="152"/>
        <v>2.3728913629831809</v>
      </c>
      <c r="AA23" s="40">
        <f t="shared" ca="1" si="153"/>
        <v>4.5986266724480247</v>
      </c>
      <c r="AB23" s="40">
        <f t="shared" ca="1" si="154"/>
        <v>1.1864456814915905</v>
      </c>
      <c r="AC23" s="40">
        <f t="shared" ca="1" si="155"/>
        <v>0.61847314804262998</v>
      </c>
      <c r="AD23" s="40">
        <f t="shared" ca="1" si="156"/>
        <v>1.7382808821853533</v>
      </c>
      <c r="AE23" s="40">
        <f t="shared" ca="1" si="157"/>
        <v>3.3248070841799215</v>
      </c>
      <c r="AF23" s="40">
        <f t="shared" ca="1" si="158"/>
        <v>0.86914044109267663</v>
      </c>
      <c r="AG23" s="40">
        <f t="shared" ca="1" si="159"/>
        <v>1.0004712688924897</v>
      </c>
      <c r="AH23" s="40">
        <f t="shared" ca="1" si="160"/>
        <v>4.2307365386521827</v>
      </c>
      <c r="AI23" s="40">
        <f t="shared" ca="1" si="161"/>
        <v>1.9038314423934821</v>
      </c>
      <c r="AJ23" s="40">
        <f t="shared" ca="1" si="162"/>
        <v>0.4339706542988202</v>
      </c>
      <c r="AK23" s="40">
        <f t="shared" ca="1" si="163"/>
        <v>3.2919924833994383</v>
      </c>
      <c r="AL23" s="40">
        <f t="shared" ca="1" si="164"/>
        <v>3.4673645110258104</v>
      </c>
      <c r="AM23" s="40">
        <f t="shared" ca="1" si="165"/>
        <v>3.2558276840932012</v>
      </c>
      <c r="AN23" s="40">
        <f t="shared" ca="1" si="166"/>
        <v>0.4339706542988202</v>
      </c>
      <c r="AO23" s="40">
        <f t="shared" ca="1" si="167"/>
        <v>0.66128448166503118</v>
      </c>
      <c r="AP23" s="40">
        <f t="shared" ca="1" si="168"/>
        <v>1.2416292015609667</v>
      </c>
      <c r="AQ23" s="40">
        <f t="shared" ca="1" si="169"/>
        <v>2.7315842434341264</v>
      </c>
      <c r="AR23" s="40">
        <f t="shared" ca="1" si="170"/>
        <v>0.62081460078048334</v>
      </c>
      <c r="AS23" s="40">
        <f t="shared" ca="1" si="171"/>
        <v>2.4531035787909357</v>
      </c>
      <c r="AT23" s="40">
        <f t="shared" ca="1" si="172"/>
        <v>0.50552146741824333</v>
      </c>
      <c r="AU23" s="40">
        <f t="shared" ca="1" si="173"/>
        <v>1.2621976150272711</v>
      </c>
      <c r="AV23" s="40">
        <f t="shared" ca="1" si="174"/>
        <v>0.25276073370912167</v>
      </c>
      <c r="AW23" s="40">
        <f t="shared" ca="1" si="175"/>
        <v>0.86914044109267663</v>
      </c>
      <c r="AX23" s="40">
        <f t="shared" ca="1" si="176"/>
        <v>1.8394506689792101</v>
      </c>
      <c r="AY23" s="40">
        <f t="shared" ca="1" si="177"/>
        <v>0.43457022054633831</v>
      </c>
      <c r="AZ23" s="40">
        <f t="shared" ca="1" si="178"/>
        <v>2.5986266724480251</v>
      </c>
      <c r="BA23" s="40">
        <f t="shared" ca="1" si="179"/>
        <v>0.98382254812935033</v>
      </c>
      <c r="BB23" s="40">
        <f t="shared" ca="1" si="180"/>
        <v>2.2917332965188617</v>
      </c>
      <c r="BC23" s="40">
        <f t="shared" ca="1" si="181"/>
        <v>0.49191127406467516</v>
      </c>
      <c r="BD23" s="40">
        <f t="shared" ca="1" si="182"/>
        <v>1.338200361682375</v>
      </c>
      <c r="BE23" s="40">
        <f t="shared" ca="1" si="183"/>
        <v>1.6003220820119124</v>
      </c>
      <c r="BF23" s="40">
        <f t="shared" ca="1" si="184"/>
        <v>2.2893900984267104</v>
      </c>
      <c r="BG23" s="40">
        <f t="shared" ca="1" si="185"/>
        <v>4.4385291118062939</v>
      </c>
      <c r="BH23" s="40">
        <f t="shared" ca="1" si="186"/>
        <v>0.93715902805997409</v>
      </c>
      <c r="BI23" s="40">
        <f t="shared" ca="1" si="187"/>
        <v>2.230333936137292</v>
      </c>
      <c r="BJ23" s="40">
        <f t="shared" ca="1" si="188"/>
        <v>1.2140374415262787</v>
      </c>
      <c r="BK23" s="40">
        <f t="shared" ca="1" si="189"/>
        <v>0.99007676220269758</v>
      </c>
      <c r="BL23" s="40">
        <f t="shared" ca="1" si="190"/>
        <v>4.5494897117195734</v>
      </c>
      <c r="BM23" s="40">
        <f t="shared" ca="1" si="191"/>
        <v>0.20220858696729729</v>
      </c>
      <c r="BN23" s="40">
        <f t="shared" ca="1" si="192"/>
        <v>0.82775280104064441</v>
      </c>
      <c r="BO23" s="40">
        <f t="shared" ca="1" si="193"/>
        <v>0.31270661372646569</v>
      </c>
      <c r="BP23" s="40">
        <f t="shared" ca="1" si="194"/>
        <v>0.79258113509664763</v>
      </c>
      <c r="BQ23" s="40">
        <f t="shared" ca="1" si="195"/>
        <v>6.7107739007681602</v>
      </c>
      <c r="BR23" s="40">
        <f t="shared" ca="1" si="196"/>
        <v>0.52496460078048346</v>
      </c>
      <c r="BS23" s="40">
        <f t="shared" ca="1" si="197"/>
        <v>1.306009974975239</v>
      </c>
      <c r="BT23" s="40">
        <f t="shared" ca="1" si="198"/>
        <v>1.122064908077318</v>
      </c>
      <c r="BU23" s="40">
        <f t="shared" ca="1" si="199"/>
        <v>1.639733430314704</v>
      </c>
      <c r="BV23" s="40">
        <f t="shared" ca="1" si="200"/>
        <v>4.6807408718409818</v>
      </c>
      <c r="BW23" s="40">
        <f t="shared" ca="1" si="201"/>
        <v>0.57551674752230775</v>
      </c>
      <c r="BX23" s="40">
        <f t="shared" ca="1" si="202"/>
        <v>1.0550424290138982</v>
      </c>
      <c r="BY23" s="40">
        <f t="shared" ca="1" si="203"/>
        <v>2.3623844963454208</v>
      </c>
      <c r="BZ23" s="40">
        <f t="shared" ca="1" si="204"/>
        <v>4.7925236331764758</v>
      </c>
      <c r="CA23" s="40">
        <f t="shared" ca="1" si="205"/>
        <v>2.3623844963454208</v>
      </c>
      <c r="CB23" s="40">
        <f t="shared" ca="1" si="206"/>
        <v>2.9851244169351197</v>
      </c>
      <c r="CC23" s="40">
        <f t="shared" ca="1" si="207"/>
        <v>6.0335299145813455</v>
      </c>
      <c r="CD23" s="40">
        <f t="shared" ca="1" si="208"/>
        <v>2.9851244169351197</v>
      </c>
      <c r="CE23" s="40">
        <f t="shared" ca="1" si="209"/>
        <v>0.64965666811200629</v>
      </c>
    </row>
    <row r="24" spans="1:83" x14ac:dyDescent="0.25">
      <c r="A24" t="str">
        <f>PLANTILLA!D26</f>
        <v>Nicolás Eans</v>
      </c>
      <c r="B24">
        <f>PLANTILLA!E26</f>
        <v>17</v>
      </c>
      <c r="C24" s="36">
        <f ca="1">PLANTILLA!F26</f>
        <v>64</v>
      </c>
      <c r="D24" s="242" t="str">
        <f>PLANTILLA!G26</f>
        <v>TEC</v>
      </c>
      <c r="E24" s="33">
        <v>42349</v>
      </c>
      <c r="F24" s="51">
        <f>PLANTILLA!Q26</f>
        <v>6</v>
      </c>
      <c r="G24" s="52">
        <f t="shared" si="141"/>
        <v>0.92582009977255142</v>
      </c>
      <c r="H24" s="52">
        <f t="shared" si="142"/>
        <v>0.99928545900129484</v>
      </c>
      <c r="I24" s="55">
        <f t="shared" ca="1" si="143"/>
        <v>1</v>
      </c>
      <c r="J24" s="42">
        <f>PLANTILLA!I26</f>
        <v>0.5</v>
      </c>
      <c r="K24" s="50">
        <f>PLANTILLA!X26</f>
        <v>0</v>
      </c>
      <c r="L24" s="50">
        <f>PLANTILLA!Y26</f>
        <v>5</v>
      </c>
      <c r="M24" s="50">
        <f>PLANTILLA!Z26</f>
        <v>2</v>
      </c>
      <c r="N24" s="50">
        <f>PLANTILLA!AA26</f>
        <v>3</v>
      </c>
      <c r="O24" s="50">
        <f>PLANTILLA!AB26</f>
        <v>4.5</v>
      </c>
      <c r="P24" s="50">
        <f>PLANTILLA!AC26</f>
        <v>6</v>
      </c>
      <c r="Q24" s="50">
        <f>PLANTILLA!AD26</f>
        <v>1</v>
      </c>
      <c r="R24" s="50">
        <f t="shared" si="144"/>
        <v>2.125</v>
      </c>
      <c r="S24" s="50">
        <f t="shared" si="145"/>
        <v>0.32999999999999996</v>
      </c>
      <c r="T24" s="50">
        <f t="shared" si="146"/>
        <v>0.22999999999999998</v>
      </c>
      <c r="U24" s="50">
        <f t="shared" ca="1" si="147"/>
        <v>1.4800407053848925</v>
      </c>
      <c r="V24" s="50">
        <f t="shared" ca="1" si="148"/>
        <v>1.5974843881489373</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0.26697065429882022</v>
      </c>
      <c r="AO24" s="40">
        <f t="shared" ca="1" si="167"/>
        <v>0.78440448166503118</v>
      </c>
      <c r="AP24" s="40">
        <f t="shared" ca="1" si="168"/>
        <v>1.5116292015609667</v>
      </c>
      <c r="AQ24" s="40">
        <f t="shared" ca="1" si="169"/>
        <v>3.3255842434341267</v>
      </c>
      <c r="AR24" s="40">
        <f t="shared" ca="1" si="170"/>
        <v>0.75581460078048335</v>
      </c>
      <c r="AS24" s="40">
        <f t="shared" ca="1" si="171"/>
        <v>2.4531035787909357</v>
      </c>
      <c r="AT24" s="40">
        <f t="shared" ca="1" si="172"/>
        <v>0.66282146741824322</v>
      </c>
      <c r="AU24" s="40">
        <f t="shared" ca="1" si="173"/>
        <v>1.753397615027271</v>
      </c>
      <c r="AV24" s="40">
        <f t="shared" ca="1" si="174"/>
        <v>0.33141073370912161</v>
      </c>
      <c r="AW24" s="40">
        <f t="shared" ca="1" si="175"/>
        <v>1.0581404410926767</v>
      </c>
      <c r="AX24" s="40">
        <f t="shared" ca="1" si="176"/>
        <v>2.23945066897921</v>
      </c>
      <c r="AY24" s="40">
        <f t="shared" ca="1" si="177"/>
        <v>0.52907022054633834</v>
      </c>
      <c r="AZ24" s="40">
        <f t="shared" ca="1" si="178"/>
        <v>2.5986266724480251</v>
      </c>
      <c r="BA24" s="40">
        <f t="shared" ca="1" si="179"/>
        <v>1.2899525481293503</v>
      </c>
      <c r="BB24" s="40">
        <f t="shared" ca="1" si="180"/>
        <v>3.1243432965188616</v>
      </c>
      <c r="BC24" s="40">
        <f t="shared" ca="1" si="181"/>
        <v>0.64497627406467517</v>
      </c>
      <c r="BD24" s="40">
        <f t="shared" ca="1" si="182"/>
        <v>1.6292003616823751</v>
      </c>
      <c r="BE24" s="40">
        <f t="shared" ca="1" si="183"/>
        <v>1.9483220820119125</v>
      </c>
      <c r="BF24" s="40">
        <f t="shared" ca="1" si="184"/>
        <v>2.2893900984267104</v>
      </c>
      <c r="BG24" s="40">
        <f t="shared" ca="1" si="185"/>
        <v>3.6716791118062941</v>
      </c>
      <c r="BH24" s="40">
        <f t="shared" ca="1" si="186"/>
        <v>1.2287690280599739</v>
      </c>
      <c r="BI24" s="40">
        <f t="shared" ca="1" si="187"/>
        <v>2.7153339361372919</v>
      </c>
      <c r="BJ24" s="40">
        <f t="shared" ca="1" si="188"/>
        <v>1.4780374415262787</v>
      </c>
      <c r="BK24" s="40">
        <f t="shared" ca="1" si="189"/>
        <v>0.99007676220269758</v>
      </c>
      <c r="BL24" s="40">
        <f t="shared" ca="1" si="190"/>
        <v>3.4466997117195741</v>
      </c>
      <c r="BM24" s="40">
        <f t="shared" ca="1" si="191"/>
        <v>0.2651285869672973</v>
      </c>
      <c r="BN24" s="40">
        <f t="shared" ca="1" si="192"/>
        <v>1.0077528010406445</v>
      </c>
      <c r="BO24" s="40">
        <f t="shared" ca="1" si="193"/>
        <v>0.38070661372646569</v>
      </c>
      <c r="BP24" s="40">
        <f t="shared" ca="1" si="194"/>
        <v>0.79258113509664763</v>
      </c>
      <c r="BQ24" s="40">
        <f t="shared" ca="1" si="195"/>
        <v>5.0568339007681598</v>
      </c>
      <c r="BR24" s="40">
        <f t="shared" ca="1" si="196"/>
        <v>0.68831460078048334</v>
      </c>
      <c r="BS24" s="40">
        <f t="shared" ca="1" si="197"/>
        <v>1.5900099749752388</v>
      </c>
      <c r="BT24" s="40">
        <f t="shared" ca="1" si="198"/>
        <v>1.366064908077318</v>
      </c>
      <c r="BU24" s="40">
        <f t="shared" ca="1" si="199"/>
        <v>1.639733430314704</v>
      </c>
      <c r="BV24" s="40">
        <f t="shared" ca="1" si="200"/>
        <v>3.5102708718409823</v>
      </c>
      <c r="BW24" s="40">
        <f t="shared" ca="1" si="201"/>
        <v>0.75459674752230765</v>
      </c>
      <c r="BX24" s="40">
        <f t="shared" ca="1" si="202"/>
        <v>1.0550424290138982</v>
      </c>
      <c r="BY24" s="40">
        <f t="shared" ca="1" si="203"/>
        <v>3.0297746301412629</v>
      </c>
      <c r="BZ24" s="40">
        <f t="shared" ca="1" si="204"/>
        <v>6.6155536331764759</v>
      </c>
      <c r="CA24" s="40">
        <f t="shared" ca="1" si="205"/>
        <v>3.0297746301412629</v>
      </c>
      <c r="CB24" s="40">
        <f t="shared" ca="1" si="206"/>
        <v>3.2349444169351198</v>
      </c>
      <c r="CC24" s="40">
        <f t="shared" ca="1" si="207"/>
        <v>8.4800199145813462</v>
      </c>
      <c r="CD24" s="40">
        <f t="shared" ca="1" si="208"/>
        <v>3.2349444169351198</v>
      </c>
      <c r="CE24" s="40">
        <f t="shared" ca="1" si="209"/>
        <v>0.64965666811200629</v>
      </c>
    </row>
    <row r="25" spans="1:83" x14ac:dyDescent="0.25">
      <c r="A25" t="str">
        <f>PLANTILLA!D27</f>
        <v>Roberto Montero</v>
      </c>
      <c r="B25">
        <f>PLANTILLA!E27</f>
        <v>17</v>
      </c>
      <c r="C25" s="36">
        <f ca="1">PLANTILLA!F27</f>
        <v>71</v>
      </c>
      <c r="D25" s="242" t="str">
        <f>PLANTILLA!G27</f>
        <v>TEC</v>
      </c>
      <c r="E25" s="33">
        <v>42350</v>
      </c>
      <c r="F25" s="51">
        <f>PLANTILLA!Q27</f>
        <v>6</v>
      </c>
      <c r="G25" s="52">
        <f t="shared" si="141"/>
        <v>0.92582009977255142</v>
      </c>
      <c r="H25" s="52">
        <f t="shared" si="142"/>
        <v>0.99928545900129484</v>
      </c>
      <c r="I25" s="55">
        <f t="shared" ca="1" si="143"/>
        <v>1</v>
      </c>
      <c r="J25" s="42">
        <f>PLANTILLA!I27</f>
        <v>0.5</v>
      </c>
      <c r="K25" s="50">
        <f>PLANTILLA!X27</f>
        <v>0</v>
      </c>
      <c r="L25" s="50">
        <f>PLANTILLA!Y27</f>
        <v>6</v>
      </c>
      <c r="M25" s="50">
        <f>PLANTILLA!Z27</f>
        <v>4</v>
      </c>
      <c r="N25" s="50">
        <f>PLANTILLA!AA27</f>
        <v>4</v>
      </c>
      <c r="O25" s="50">
        <f>PLANTILLA!AB27</f>
        <v>3.0528</v>
      </c>
      <c r="P25" s="50">
        <f>PLANTILLA!AC27</f>
        <v>3</v>
      </c>
      <c r="Q25" s="50">
        <f>PLANTILLA!AD27</f>
        <v>4</v>
      </c>
      <c r="R25" s="50">
        <f t="shared" si="144"/>
        <v>1.8881999999999999</v>
      </c>
      <c r="S25" s="50">
        <f t="shared" si="145"/>
        <v>0.27</v>
      </c>
      <c r="T25" s="50">
        <f t="shared" si="146"/>
        <v>0.36000000000000004</v>
      </c>
      <c r="U25" s="50">
        <f t="shared" ca="1" si="147"/>
        <v>4.2575010047025463</v>
      </c>
      <c r="V25" s="50">
        <f t="shared" ca="1" si="148"/>
        <v>4.5953407651528213</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0.76797065429882017</v>
      </c>
      <c r="AO25" s="40">
        <f t="shared" ca="1" si="167"/>
        <v>0.71620608166503119</v>
      </c>
      <c r="AP25" s="40">
        <f t="shared" ca="1" si="168"/>
        <v>1.7816292015609667</v>
      </c>
      <c r="AQ25" s="40">
        <f t="shared" ca="1" si="169"/>
        <v>3.9195842434341266</v>
      </c>
      <c r="AR25" s="40">
        <f t="shared" ca="1" si="170"/>
        <v>0.89081460078048336</v>
      </c>
      <c r="AS25" s="40">
        <f t="shared" ca="1" si="171"/>
        <v>4.3411035787909347</v>
      </c>
      <c r="AT25" s="40">
        <f t="shared" ca="1" si="172"/>
        <v>0.47468546741824325</v>
      </c>
      <c r="AU25" s="40">
        <f t="shared" ca="1" si="173"/>
        <v>1.0607336150272713</v>
      </c>
      <c r="AV25" s="40">
        <f t="shared" ca="1" si="174"/>
        <v>0.23734273370912162</v>
      </c>
      <c r="AW25" s="40">
        <f t="shared" ca="1" si="175"/>
        <v>1.2471404410926767</v>
      </c>
      <c r="AX25" s="40">
        <f t="shared" ca="1" si="176"/>
        <v>2.6394506689792099</v>
      </c>
      <c r="AY25" s="40">
        <f t="shared" ca="1" si="177"/>
        <v>0.62357022054633837</v>
      </c>
      <c r="AZ25" s="40">
        <f t="shared" ca="1" si="178"/>
        <v>4.5986266724480247</v>
      </c>
      <c r="BA25" s="40">
        <f t="shared" ca="1" si="179"/>
        <v>0.92381094812935027</v>
      </c>
      <c r="BB25" s="40">
        <f t="shared" ca="1" si="180"/>
        <v>2.0008480965188618</v>
      </c>
      <c r="BC25" s="40">
        <f t="shared" ca="1" si="181"/>
        <v>0.46190547406467514</v>
      </c>
      <c r="BD25" s="40">
        <f t="shared" ca="1" si="182"/>
        <v>1.9202003616823751</v>
      </c>
      <c r="BE25" s="40">
        <f t="shared" ca="1" si="183"/>
        <v>2.2963220820119123</v>
      </c>
      <c r="BF25" s="40">
        <f t="shared" ca="1" si="184"/>
        <v>4.0513900984267099</v>
      </c>
      <c r="BG25" s="40">
        <f t="shared" ca="1" si="185"/>
        <v>3.7898111118062938</v>
      </c>
      <c r="BH25" s="40">
        <f t="shared" ca="1" si="186"/>
        <v>0.87999382805997395</v>
      </c>
      <c r="BI25" s="40">
        <f t="shared" ca="1" si="187"/>
        <v>3.2003339361372918</v>
      </c>
      <c r="BJ25" s="40">
        <f t="shared" ca="1" si="188"/>
        <v>1.7420374415262787</v>
      </c>
      <c r="BK25" s="40">
        <f t="shared" ca="1" si="189"/>
        <v>1.7520767622026974</v>
      </c>
      <c r="BL25" s="40">
        <f t="shared" ca="1" si="190"/>
        <v>3.8288125117195735</v>
      </c>
      <c r="BM25" s="40">
        <f t="shared" ca="1" si="191"/>
        <v>0.18987418696729727</v>
      </c>
      <c r="BN25" s="40">
        <f t="shared" ca="1" si="192"/>
        <v>1.1877528010406444</v>
      </c>
      <c r="BO25" s="40">
        <f t="shared" ca="1" si="193"/>
        <v>0.4487066137264657</v>
      </c>
      <c r="BP25" s="40">
        <f t="shared" ca="1" si="194"/>
        <v>1.4025811350966475</v>
      </c>
      <c r="BQ25" s="40">
        <f t="shared" ca="1" si="195"/>
        <v>5.6429347007681594</v>
      </c>
      <c r="BR25" s="40">
        <f t="shared" ca="1" si="196"/>
        <v>0.49294260078048335</v>
      </c>
      <c r="BS25" s="40">
        <f t="shared" ca="1" si="197"/>
        <v>1.8740099749752388</v>
      </c>
      <c r="BT25" s="40">
        <f t="shared" ca="1" si="198"/>
        <v>1.6100649080773179</v>
      </c>
      <c r="BU25" s="40">
        <f t="shared" ca="1" si="199"/>
        <v>2.9017334303147035</v>
      </c>
      <c r="BV25" s="40">
        <f t="shared" ca="1" si="200"/>
        <v>3.9329612718409819</v>
      </c>
      <c r="BW25" s="40">
        <f t="shared" ca="1" si="201"/>
        <v>0.54041114752230768</v>
      </c>
      <c r="BX25" s="40">
        <f t="shared" ca="1" si="202"/>
        <v>1.8670424290138981</v>
      </c>
      <c r="BY25" s="40">
        <f t="shared" ca="1" si="203"/>
        <v>2.3298818301412627</v>
      </c>
      <c r="BZ25" s="40">
        <f t="shared" ca="1" si="204"/>
        <v>4.0807240331764758</v>
      </c>
      <c r="CA25" s="40">
        <f t="shared" ca="1" si="205"/>
        <v>2.3298818301412627</v>
      </c>
      <c r="CB25" s="40">
        <f t="shared" ca="1" si="206"/>
        <v>2.4704420169351193</v>
      </c>
      <c r="CC25" s="40">
        <f t="shared" ca="1" si="207"/>
        <v>4.9460031145813463</v>
      </c>
      <c r="CD25" s="40">
        <f t="shared" ca="1" si="208"/>
        <v>2.4704420169351193</v>
      </c>
      <c r="CE25" s="40">
        <f t="shared" ca="1" si="209"/>
        <v>1.1496566681120062</v>
      </c>
    </row>
    <row r="26" spans="1:83" x14ac:dyDescent="0.25">
      <c r="A26" t="str">
        <f>PLANTILLA!D28</f>
        <v>Roberto Abenoza</v>
      </c>
      <c r="B26">
        <f>PLANTILLA!E28</f>
        <v>17</v>
      </c>
      <c r="C26" s="36">
        <f ca="1">PLANTILLA!F28</f>
        <v>52</v>
      </c>
      <c r="D26" s="242" t="str">
        <f>PLANTILLA!G28</f>
        <v>CAB</v>
      </c>
      <c r="E26" s="33">
        <v>42351</v>
      </c>
      <c r="F26" s="51">
        <f>PLANTILLA!Q28</f>
        <v>5</v>
      </c>
      <c r="G26" s="52">
        <f t="shared" si="141"/>
        <v>0.84515425472851657</v>
      </c>
      <c r="H26" s="52">
        <f t="shared" si="142"/>
        <v>0.92504826128926143</v>
      </c>
      <c r="I26" s="55">
        <f t="shared" ca="1" si="143"/>
        <v>1</v>
      </c>
      <c r="J26" s="42">
        <f>PLANTILLA!I28</f>
        <v>0.5</v>
      </c>
      <c r="K26" s="50">
        <f>PLANTILLA!X28</f>
        <v>0</v>
      </c>
      <c r="L26" s="50">
        <f>PLANTILLA!Y28</f>
        <v>2</v>
      </c>
      <c r="M26" s="50">
        <f>PLANTILLA!Z28</f>
        <v>5</v>
      </c>
      <c r="N26" s="50">
        <f>PLANTILLA!AA28</f>
        <v>3</v>
      </c>
      <c r="O26" s="50">
        <f>PLANTILLA!AB28</f>
        <v>2.1055999999999999</v>
      </c>
      <c r="P26" s="50">
        <f>PLANTILLA!AC28</f>
        <v>5</v>
      </c>
      <c r="Q26" s="50">
        <f>PLANTILLA!AD28</f>
        <v>3</v>
      </c>
      <c r="R26" s="50">
        <f t="shared" si="144"/>
        <v>1.1514</v>
      </c>
      <c r="S26" s="50">
        <f t="shared" si="145"/>
        <v>0.33999999999999997</v>
      </c>
      <c r="T26" s="50">
        <f t="shared" si="146"/>
        <v>0.16999999999999998</v>
      </c>
      <c r="U26" s="50">
        <f t="shared" ca="1" si="147"/>
        <v>3.0413946433989723</v>
      </c>
      <c r="V26" s="50">
        <f t="shared" ca="1" si="148"/>
        <v>3.328903346377206</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0.60097065429882024</v>
      </c>
      <c r="AO26" s="40">
        <f t="shared" ca="1" si="167"/>
        <v>0.50400768166503118</v>
      </c>
      <c r="AP26" s="40">
        <f t="shared" ca="1" si="168"/>
        <v>0.70162920156096686</v>
      </c>
      <c r="AQ26" s="40">
        <f t="shared" ca="1" si="169"/>
        <v>1.5435842434341269</v>
      </c>
      <c r="AR26" s="40">
        <f t="shared" ca="1" si="170"/>
        <v>0.35081460078048343</v>
      </c>
      <c r="AS26" s="40">
        <f t="shared" ca="1" si="171"/>
        <v>5.2851035787909346</v>
      </c>
      <c r="AT26" s="40">
        <f t="shared" ca="1" si="172"/>
        <v>0.35154946741824328</v>
      </c>
      <c r="AU26" s="40">
        <f t="shared" ca="1" si="173"/>
        <v>1.2930696150272711</v>
      </c>
      <c r="AV26" s="40">
        <f t="shared" ca="1" si="174"/>
        <v>0.17577473370912164</v>
      </c>
      <c r="AW26" s="40">
        <f t="shared" ca="1" si="175"/>
        <v>0.49114044109267674</v>
      </c>
      <c r="AX26" s="40">
        <f t="shared" ca="1" si="176"/>
        <v>1.03945066897921</v>
      </c>
      <c r="AY26" s="40">
        <f t="shared" ca="1" si="177"/>
        <v>0.24557022054633837</v>
      </c>
      <c r="AZ26" s="40">
        <f t="shared" ca="1" si="178"/>
        <v>5.5986266724480247</v>
      </c>
      <c r="BA26" s="40">
        <f t="shared" ca="1" si="179"/>
        <v>0.68416934812935037</v>
      </c>
      <c r="BB26" s="40">
        <f t="shared" ca="1" si="180"/>
        <v>2.0978528965188619</v>
      </c>
      <c r="BC26" s="40">
        <f t="shared" ca="1" si="181"/>
        <v>0.34208467406467519</v>
      </c>
      <c r="BD26" s="40">
        <f t="shared" ca="1" si="182"/>
        <v>0.75620036168237525</v>
      </c>
      <c r="BE26" s="40">
        <f t="shared" ca="1" si="183"/>
        <v>0.90432208201191266</v>
      </c>
      <c r="BF26" s="40">
        <f t="shared" ca="1" si="184"/>
        <v>4.9323900984267102</v>
      </c>
      <c r="BG26" s="40">
        <f t="shared" ca="1" si="185"/>
        <v>2.9174431118062945</v>
      </c>
      <c r="BH26" s="40">
        <f t="shared" ca="1" si="186"/>
        <v>0.65171862805997405</v>
      </c>
      <c r="BI26" s="40">
        <f t="shared" ca="1" si="187"/>
        <v>1.2603339361372921</v>
      </c>
      <c r="BJ26" s="40">
        <f t="shared" ca="1" si="188"/>
        <v>0.68603744152627866</v>
      </c>
      <c r="BK26" s="40">
        <f t="shared" ca="1" si="189"/>
        <v>2.1330767622026974</v>
      </c>
      <c r="BL26" s="40">
        <f t="shared" ca="1" si="190"/>
        <v>2.9654253117195744</v>
      </c>
      <c r="BM26" s="40">
        <f t="shared" ca="1" si="191"/>
        <v>0.14061978696729729</v>
      </c>
      <c r="BN26" s="40">
        <f t="shared" ca="1" si="192"/>
        <v>0.46775280104064448</v>
      </c>
      <c r="BO26" s="40">
        <f t="shared" ca="1" si="193"/>
        <v>0.17670661372646573</v>
      </c>
      <c r="BP26" s="40">
        <f t="shared" ca="1" si="194"/>
        <v>1.7075811350966474</v>
      </c>
      <c r="BQ26" s="40">
        <f t="shared" ca="1" si="195"/>
        <v>4.3720355007681606</v>
      </c>
      <c r="BR26" s="40">
        <f t="shared" ca="1" si="196"/>
        <v>0.36507060078048342</v>
      </c>
      <c r="BS26" s="40">
        <f t="shared" ca="1" si="197"/>
        <v>0.73800997497523912</v>
      </c>
      <c r="BT26" s="40">
        <f t="shared" ca="1" si="198"/>
        <v>0.63406490807731808</v>
      </c>
      <c r="BU26" s="40">
        <f t="shared" ca="1" si="199"/>
        <v>3.5327334303147038</v>
      </c>
      <c r="BV26" s="40">
        <f t="shared" ca="1" si="200"/>
        <v>3.0481516718409822</v>
      </c>
      <c r="BW26" s="40">
        <f t="shared" ca="1" si="201"/>
        <v>0.40022554752230771</v>
      </c>
      <c r="BX26" s="40">
        <f t="shared" ca="1" si="202"/>
        <v>2.273042429013898</v>
      </c>
      <c r="BY26" s="40">
        <f t="shared" ca="1" si="203"/>
        <v>1.9052844963454212</v>
      </c>
      <c r="BZ26" s="40">
        <f t="shared" ca="1" si="204"/>
        <v>4.7323944331764753</v>
      </c>
      <c r="CA26" s="40">
        <f t="shared" ca="1" si="205"/>
        <v>1.9052844963454212</v>
      </c>
      <c r="CB26" s="40">
        <f t="shared" ca="1" si="206"/>
        <v>2.6349396169351196</v>
      </c>
      <c r="CC26" s="40">
        <f t="shared" ca="1" si="207"/>
        <v>6.5964863145813464</v>
      </c>
      <c r="CD26" s="40">
        <f t="shared" ca="1" si="208"/>
        <v>2.6349396169351196</v>
      </c>
      <c r="CE26" s="40">
        <f t="shared" ca="1" si="209"/>
        <v>1.3996566681120062</v>
      </c>
    </row>
    <row r="27" spans="1:83" x14ac:dyDescent="0.25">
      <c r="A27" t="str">
        <f>PLANTILLA!D29</f>
        <v>Noel Fuster</v>
      </c>
      <c r="B27">
        <f>PLANTILLA!E29</f>
        <v>17</v>
      </c>
      <c r="C27" s="36">
        <f ca="1">PLANTILLA!F29</f>
        <v>20</v>
      </c>
      <c r="D27" s="242" t="str">
        <f>PLANTILLA!G29</f>
        <v>IMP</v>
      </c>
      <c r="E27" s="33">
        <v>42352</v>
      </c>
      <c r="F27" s="51">
        <f>PLANTILLA!Q29</f>
        <v>5</v>
      </c>
      <c r="G27" s="52">
        <f t="shared" si="141"/>
        <v>0.84515425472851657</v>
      </c>
      <c r="H27" s="52">
        <f t="shared" si="142"/>
        <v>0.92504826128926143</v>
      </c>
      <c r="I27" s="55">
        <f t="shared" ca="1" si="143"/>
        <v>1</v>
      </c>
      <c r="J27" s="42">
        <f>PLANTILLA!I29</f>
        <v>0.5</v>
      </c>
      <c r="K27" s="50">
        <f>PLANTILLA!X29</f>
        <v>0</v>
      </c>
      <c r="L27" s="50">
        <f>PLANTILLA!Y29</f>
        <v>4</v>
      </c>
      <c r="M27" s="50">
        <f>PLANTILLA!Z29</f>
        <v>2</v>
      </c>
      <c r="N27" s="50">
        <f>PLANTILLA!AA29</f>
        <v>2</v>
      </c>
      <c r="O27" s="50">
        <f>PLANTILLA!AB29</f>
        <v>3.0413333333333332</v>
      </c>
      <c r="P27" s="50">
        <f>PLANTILLA!AC29</f>
        <v>5</v>
      </c>
      <c r="Q27" s="50">
        <f>PLANTILLA!AD29</f>
        <v>0.5</v>
      </c>
      <c r="R27" s="50">
        <f t="shared" si="144"/>
        <v>1.6353333333333333</v>
      </c>
      <c r="S27" s="50">
        <f t="shared" si="145"/>
        <v>0.26500000000000001</v>
      </c>
      <c r="T27" s="50">
        <f t="shared" si="146"/>
        <v>0.17499999999999999</v>
      </c>
      <c r="U27" s="50">
        <f t="shared" ca="1" si="147"/>
        <v>0.92850900657768076</v>
      </c>
      <c r="V27" s="50">
        <f t="shared" ca="1" si="148"/>
        <v>1.0162826931540525</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0.1834706542988202</v>
      </c>
      <c r="AO27" s="40">
        <f t="shared" ca="1" si="167"/>
        <v>0.64338048166503126</v>
      </c>
      <c r="AP27" s="40">
        <f t="shared" ca="1" si="168"/>
        <v>1.2416292015609667</v>
      </c>
      <c r="AQ27" s="40">
        <f t="shared" ca="1" si="169"/>
        <v>2.7315842434341264</v>
      </c>
      <c r="AR27" s="40">
        <f t="shared" ca="1" si="170"/>
        <v>0.62081460078048334</v>
      </c>
      <c r="AS27" s="40">
        <f t="shared" ca="1" si="171"/>
        <v>2.4531035787909357</v>
      </c>
      <c r="AT27" s="40">
        <f t="shared" ca="1" si="172"/>
        <v>0.47319480075157661</v>
      </c>
      <c r="AU27" s="40">
        <f t="shared" ca="1" si="173"/>
        <v>1.4053576150272713</v>
      </c>
      <c r="AV27" s="40">
        <f t="shared" ca="1" si="174"/>
        <v>0.2365974003757883</v>
      </c>
      <c r="AW27" s="40">
        <f t="shared" ca="1" si="175"/>
        <v>0.86914044109267663</v>
      </c>
      <c r="AX27" s="40">
        <f t="shared" ca="1" si="176"/>
        <v>1.8394506689792101</v>
      </c>
      <c r="AY27" s="40">
        <f t="shared" ca="1" si="177"/>
        <v>0.43457022054633831</v>
      </c>
      <c r="AZ27" s="40">
        <f t="shared" ca="1" si="178"/>
        <v>2.5986266724480251</v>
      </c>
      <c r="BA27" s="40">
        <f t="shared" ca="1" si="179"/>
        <v>0.92090988146268371</v>
      </c>
      <c r="BB27" s="40">
        <f t="shared" ca="1" si="180"/>
        <v>2.4169379631855286</v>
      </c>
      <c r="BC27" s="40">
        <f t="shared" ca="1" si="181"/>
        <v>0.46045494073134186</v>
      </c>
      <c r="BD27" s="40">
        <f t="shared" ca="1" si="182"/>
        <v>1.338200361682375</v>
      </c>
      <c r="BE27" s="40">
        <f t="shared" ca="1" si="183"/>
        <v>1.6003220820119124</v>
      </c>
      <c r="BF27" s="40">
        <f t="shared" ca="1" si="184"/>
        <v>2.2893900984267104</v>
      </c>
      <c r="BG27" s="40">
        <f t="shared" ca="1" si="185"/>
        <v>2.6381991118062942</v>
      </c>
      <c r="BH27" s="40">
        <f t="shared" ca="1" si="186"/>
        <v>0.87723036139330735</v>
      </c>
      <c r="BI27" s="40">
        <f t="shared" ca="1" si="187"/>
        <v>2.230333936137292</v>
      </c>
      <c r="BJ27" s="40">
        <f t="shared" ca="1" si="188"/>
        <v>1.2140374415262787</v>
      </c>
      <c r="BK27" s="40">
        <f t="shared" ca="1" si="189"/>
        <v>0.99007676220269758</v>
      </c>
      <c r="BL27" s="40">
        <f t="shared" ca="1" si="190"/>
        <v>2.4805077117195742</v>
      </c>
      <c r="BM27" s="40">
        <f t="shared" ca="1" si="191"/>
        <v>0.18927792030063062</v>
      </c>
      <c r="BN27" s="40">
        <f t="shared" ca="1" si="192"/>
        <v>0.82775280104064441</v>
      </c>
      <c r="BO27" s="40">
        <f t="shared" ca="1" si="193"/>
        <v>0.31270661372646569</v>
      </c>
      <c r="BP27" s="40">
        <f t="shared" ca="1" si="194"/>
        <v>0.79258113509664763</v>
      </c>
      <c r="BQ27" s="40">
        <f t="shared" ca="1" si="195"/>
        <v>3.6396552341014936</v>
      </c>
      <c r="BR27" s="40">
        <f t="shared" ca="1" si="196"/>
        <v>0.49139460078048341</v>
      </c>
      <c r="BS27" s="40">
        <f t="shared" ca="1" si="197"/>
        <v>1.306009974975239</v>
      </c>
      <c r="BT27" s="40">
        <f t="shared" ca="1" si="198"/>
        <v>1.122064908077318</v>
      </c>
      <c r="BU27" s="40">
        <f t="shared" ca="1" si="199"/>
        <v>1.639733430314704</v>
      </c>
      <c r="BV27" s="40">
        <f t="shared" ca="1" si="200"/>
        <v>2.5267482051743158</v>
      </c>
      <c r="BW27" s="40">
        <f t="shared" ca="1" si="201"/>
        <v>0.53871408085564099</v>
      </c>
      <c r="BX27" s="40">
        <f t="shared" ca="1" si="202"/>
        <v>1.0550424290138982</v>
      </c>
      <c r="BY27" s="40">
        <f t="shared" ca="1" si="203"/>
        <v>1.9952178296787544</v>
      </c>
      <c r="BZ27" s="40">
        <f t="shared" ca="1" si="204"/>
        <v>5.2404976331764761</v>
      </c>
      <c r="CA27" s="40">
        <f t="shared" ca="1" si="205"/>
        <v>1.9952178296787544</v>
      </c>
      <c r="CB27" s="40">
        <f t="shared" ca="1" si="206"/>
        <v>2.5468137502684529</v>
      </c>
      <c r="CC27" s="40">
        <f t="shared" ca="1" si="207"/>
        <v>6.9417719145813459</v>
      </c>
      <c r="CD27" s="40">
        <f t="shared" ca="1" si="208"/>
        <v>2.5468137502684529</v>
      </c>
      <c r="CE27" s="40">
        <f t="shared" ca="1" si="209"/>
        <v>0.64965666811200629</v>
      </c>
    </row>
    <row r="28" spans="1:83" x14ac:dyDescent="0.25">
      <c r="A28" t="str">
        <f>PLANTILLA!D30</f>
        <v>Marc Dolz</v>
      </c>
      <c r="B28">
        <f>PLANTILLA!E30</f>
        <v>17</v>
      </c>
      <c r="C28" s="36">
        <f ca="1">PLANTILLA!F30</f>
        <v>24</v>
      </c>
      <c r="D28" s="242" t="str">
        <f>PLANTILLA!G30</f>
        <v>POT</v>
      </c>
      <c r="E28" s="33">
        <v>42353</v>
      </c>
      <c r="F28" s="51">
        <f>PLANTILLA!Q30</f>
        <v>6</v>
      </c>
      <c r="G28" s="52">
        <f t="shared" si="141"/>
        <v>0.92582009977255142</v>
      </c>
      <c r="H28" s="52">
        <f t="shared" si="142"/>
        <v>0.99928545900129484</v>
      </c>
      <c r="I28" s="55">
        <f t="shared" ca="1" si="143"/>
        <v>1</v>
      </c>
      <c r="J28" s="42">
        <f>PLANTILLA!I30</f>
        <v>1</v>
      </c>
      <c r="K28" s="50">
        <f>PLANTILLA!X30</f>
        <v>0</v>
      </c>
      <c r="L28" s="50">
        <f>PLANTILLA!Y30</f>
        <v>4</v>
      </c>
      <c r="M28" s="50">
        <f>PLANTILLA!Z30</f>
        <v>4</v>
      </c>
      <c r="N28" s="50">
        <f>PLANTILLA!AA30</f>
        <v>3</v>
      </c>
      <c r="O28" s="50">
        <f>PLANTILLA!AB30</f>
        <v>4.2513333333333332</v>
      </c>
      <c r="P28" s="50">
        <f>PLANTILLA!AC30</f>
        <v>3</v>
      </c>
      <c r="Q28" s="50">
        <f>PLANTILLA!AD30</f>
        <v>0.3</v>
      </c>
      <c r="R28" s="50">
        <f t="shared" si="144"/>
        <v>1.9378333333333333</v>
      </c>
      <c r="S28" s="50">
        <f t="shared" si="145"/>
        <v>0.159</v>
      </c>
      <c r="T28" s="50">
        <f t="shared" si="146"/>
        <v>0.16900000000000001</v>
      </c>
      <c r="U28" s="50">
        <f t="shared" ca="1" si="147"/>
        <v>1.203566129704317</v>
      </c>
      <c r="V28" s="50">
        <f t="shared" ca="1" si="148"/>
        <v>1.2990710967016834</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0.21710000000000002</v>
      </c>
      <c r="AO28" s="40">
        <f t="shared" ca="1" si="167"/>
        <v>0.84609599999999996</v>
      </c>
      <c r="AP28" s="40">
        <f t="shared" ca="1" si="168"/>
        <v>1.35</v>
      </c>
      <c r="AQ28" s="40">
        <f t="shared" ca="1" si="169"/>
        <v>2.9699999999999998</v>
      </c>
      <c r="AR28" s="40">
        <f t="shared" ca="1" si="170"/>
        <v>0.67500000000000004</v>
      </c>
      <c r="AS28" s="40">
        <f t="shared" ca="1" si="171"/>
        <v>4.72</v>
      </c>
      <c r="AT28" s="40">
        <f t="shared" ca="1" si="172"/>
        <v>0.68267333333333335</v>
      </c>
      <c r="AU28" s="40">
        <f t="shared" ca="1" si="173"/>
        <v>1.3221599999999998</v>
      </c>
      <c r="AV28" s="40">
        <f t="shared" ca="1" si="174"/>
        <v>0.34133666666666668</v>
      </c>
      <c r="AW28" s="40">
        <f t="shared" ca="1" si="175"/>
        <v>0.94500000000000006</v>
      </c>
      <c r="AX28" s="40">
        <f t="shared" ca="1" si="176"/>
        <v>2</v>
      </c>
      <c r="AY28" s="40">
        <f t="shared" ca="1" si="177"/>
        <v>0.47250000000000003</v>
      </c>
      <c r="AZ28" s="40">
        <f t="shared" ca="1" si="178"/>
        <v>5</v>
      </c>
      <c r="BA28" s="40">
        <f t="shared" ca="1" si="179"/>
        <v>1.3285873333333333</v>
      </c>
      <c r="BB28" s="40">
        <f t="shared" ca="1" si="180"/>
        <v>2.6307046666666669</v>
      </c>
      <c r="BC28" s="40">
        <f t="shared" ca="1" si="181"/>
        <v>0.66429366666666667</v>
      </c>
      <c r="BD28" s="40">
        <f t="shared" ca="1" si="182"/>
        <v>1.4549999999999998</v>
      </c>
      <c r="BE28" s="40">
        <f t="shared" ca="1" si="183"/>
        <v>1.7399999999999998</v>
      </c>
      <c r="BF28" s="40">
        <f t="shared" ca="1" si="184"/>
        <v>4.4050000000000002</v>
      </c>
      <c r="BG28" s="40">
        <f t="shared" ca="1" si="185"/>
        <v>3.95017</v>
      </c>
      <c r="BH28" s="40">
        <f t="shared" ca="1" si="186"/>
        <v>1.2655713333333332</v>
      </c>
      <c r="BI28" s="40">
        <f t="shared" ca="1" si="187"/>
        <v>2.4249999999999998</v>
      </c>
      <c r="BJ28" s="40">
        <f t="shared" ca="1" si="188"/>
        <v>1.32</v>
      </c>
      <c r="BK28" s="40">
        <f t="shared" ca="1" si="189"/>
        <v>1.905</v>
      </c>
      <c r="BL28" s="40">
        <f t="shared" ca="1" si="190"/>
        <v>3.7475180000000003</v>
      </c>
      <c r="BM28" s="40">
        <f t="shared" ca="1" si="191"/>
        <v>0.27306933333333333</v>
      </c>
      <c r="BN28" s="40">
        <f t="shared" ca="1" si="192"/>
        <v>0.89999999999999991</v>
      </c>
      <c r="BO28" s="40">
        <f t="shared" ca="1" si="193"/>
        <v>0.34</v>
      </c>
      <c r="BP28" s="40">
        <f t="shared" ca="1" si="194"/>
        <v>1.5249999999999999</v>
      </c>
      <c r="BQ28" s="40">
        <f t="shared" ca="1" si="195"/>
        <v>5.5018813333333334</v>
      </c>
      <c r="BR28" s="40">
        <f t="shared" ca="1" si="196"/>
        <v>0.70893000000000006</v>
      </c>
      <c r="BS28" s="40">
        <f t="shared" ca="1" si="197"/>
        <v>1.42</v>
      </c>
      <c r="BT28" s="40">
        <f t="shared" ca="1" si="198"/>
        <v>1.22</v>
      </c>
      <c r="BU28" s="40">
        <f t="shared" ca="1" si="199"/>
        <v>3.1550000000000002</v>
      </c>
      <c r="BV28" s="40">
        <f t="shared" ca="1" si="200"/>
        <v>3.8215073333333329</v>
      </c>
      <c r="BW28" s="40">
        <f t="shared" ca="1" si="201"/>
        <v>0.7771973333333333</v>
      </c>
      <c r="BX28" s="40">
        <f t="shared" ca="1" si="202"/>
        <v>2.0300000000000002</v>
      </c>
      <c r="BY28" s="40">
        <f t="shared" ca="1" si="203"/>
        <v>2.3968333333333334</v>
      </c>
      <c r="BZ28" s="40">
        <f t="shared" ca="1" si="204"/>
        <v>5.1834740000000004</v>
      </c>
      <c r="CA28" s="40">
        <f t="shared" ca="1" si="205"/>
        <v>2.3968333333333334</v>
      </c>
      <c r="CB28" s="40">
        <f t="shared" ca="1" si="206"/>
        <v>2.6696893333333334</v>
      </c>
      <c r="CC28" s="40">
        <f t="shared" ca="1" si="207"/>
        <v>5.9377420000000001</v>
      </c>
      <c r="CD28" s="40">
        <f t="shared" ca="1" si="208"/>
        <v>2.6696893333333334</v>
      </c>
      <c r="CE28" s="40">
        <f t="shared" ca="1" si="209"/>
        <v>1.25</v>
      </c>
    </row>
    <row r="29" spans="1:83" x14ac:dyDescent="0.25">
      <c r="A29" t="str">
        <f>PLANTILLA!D31</f>
        <v>Julio Calle</v>
      </c>
      <c r="B29">
        <f>PLANTILLA!E31</f>
        <v>17</v>
      </c>
      <c r="C29" s="36">
        <f ca="1">PLANTILLA!F31</f>
        <v>22</v>
      </c>
      <c r="D29" s="242" t="str">
        <f>PLANTILLA!G31</f>
        <v>POT</v>
      </c>
      <c r="E29" s="33">
        <v>42354</v>
      </c>
      <c r="F29" s="51">
        <f>PLANTILLA!Q31</f>
        <v>5</v>
      </c>
      <c r="G29" s="52">
        <f t="shared" ref="G29" si="210">(F29/7)^0.5</f>
        <v>0.84515425472851657</v>
      </c>
      <c r="H29" s="52">
        <f t="shared" ref="H29" si="211">IF(F29=7,1,((F29+0.99)/7)^0.5)</f>
        <v>0.92504826128926143</v>
      </c>
      <c r="I29" s="55">
        <f t="shared" ref="I29" ca="1" si="212">IF(TODAY()-E29&gt;335,1,((TODAY()-E29)^0.5)/336^0.5)</f>
        <v>1</v>
      </c>
      <c r="J29" s="42">
        <f>PLANTILLA!I31</f>
        <v>0.5</v>
      </c>
      <c r="K29" s="50">
        <f>PLANTILLA!X31</f>
        <v>0</v>
      </c>
      <c r="L29" s="50">
        <f>PLANTILLA!Y31</f>
        <v>3</v>
      </c>
      <c r="M29" s="50">
        <f>PLANTILLA!Z31</f>
        <v>4</v>
      </c>
      <c r="N29" s="50">
        <f>PLANTILLA!AA31</f>
        <v>4</v>
      </c>
      <c r="O29" s="50">
        <f>PLANTILLA!AB31</f>
        <v>3.0151111111111111</v>
      </c>
      <c r="P29" s="50">
        <f>PLANTILLA!AC31</f>
        <v>4</v>
      </c>
      <c r="Q29" s="50">
        <f>PLANTILLA!AD31</f>
        <v>1.2</v>
      </c>
      <c r="R29" s="50">
        <f t="shared" ref="R29" si="213">((2*(O29+1))+(L29+1))/8</f>
        <v>1.5037777777777777</v>
      </c>
      <c r="S29" s="50">
        <f t="shared" ref="S29" si="214">(0.5*P29+ 0.3*Q29)/10</f>
        <v>0.23599999999999999</v>
      </c>
      <c r="T29" s="50">
        <f t="shared" ref="T29" si="215">(0.4*L29+0.3*Q29)/10</f>
        <v>0.156</v>
      </c>
      <c r="U29" s="50">
        <f t="shared" ref="U29" ca="1" si="216">IF(TODAY()-E29&gt;335,(Q29+1+(LOG(J29)*4/3))*(F29/7)^0.5,(Q29+((TODAY()-E29)^0.5)/(336^0.5)+(LOG(J29)*4/3))*(F29/7)^0.5)</f>
        <v>1.5201169848876426</v>
      </c>
      <c r="V29" s="50">
        <f t="shared" ref="V29" ca="1" si="217">IF(F29=7,U29,IF(TODAY()-E29&gt;335,(Q29+1+(LOG(J29)*4/3))*((F29+0.99)/7)^0.5,(Q29+((TODAY()-E29)^0.5)/(336^0.5)+(LOG(J29)*4/3))*((F29+0.99)/7)^0.5))</f>
        <v>1.6638164760565357</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0.30037065429882026</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2"/>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2"/>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2"/>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2"/>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f ca="1">AG7*G7</f>
        <v>1.8696876002916012</v>
      </c>
      <c r="AI36" s="40">
        <f ca="1">AG7*H7</f>
        <v>2.0180504099073078</v>
      </c>
    </row>
    <row r="37" spans="1:83" ht="18.75" x14ac:dyDescent="0.3">
      <c r="A37" s="112" t="s">
        <v>173</v>
      </c>
      <c r="B37" s="112" t="s">
        <v>174</v>
      </c>
      <c r="C37" s="112"/>
      <c r="D37" s="113"/>
      <c r="Z37" s="40"/>
      <c r="AA37" s="40"/>
      <c r="BV37" s="40"/>
      <c r="BW37" s="40"/>
    </row>
    <row r="38" spans="1:83" x14ac:dyDescent="0.25">
      <c r="A38" s="114" t="s">
        <v>175</v>
      </c>
      <c r="B38" s="115">
        <v>1</v>
      </c>
      <c r="C38" s="117">
        <v>0.624</v>
      </c>
      <c r="D38" s="118">
        <v>0.245</v>
      </c>
      <c r="AH38" s="40">
        <f ca="1">AG8*G8</f>
        <v>4.1859910106577649</v>
      </c>
      <c r="AI38" s="40">
        <f ca="1">AG8*H8</f>
        <v>4.6753978039073063</v>
      </c>
    </row>
    <row r="39" spans="1:83" x14ac:dyDescent="0.25">
      <c r="A39" s="114" t="s">
        <v>176</v>
      </c>
      <c r="B39" s="115">
        <v>1</v>
      </c>
      <c r="C39" s="117">
        <v>1.002</v>
      </c>
      <c r="D39" s="118">
        <v>0.34</v>
      </c>
      <c r="AG39" s="127"/>
      <c r="AH39" s="128"/>
    </row>
    <row r="40" spans="1:83" x14ac:dyDescent="0.25">
      <c r="A40" s="114" t="s">
        <v>177</v>
      </c>
      <c r="B40" s="115">
        <v>1</v>
      </c>
      <c r="C40" s="117">
        <v>0.46800000000000003</v>
      </c>
      <c r="D40" s="118">
        <v>0.125</v>
      </c>
      <c r="Z40" s="40"/>
      <c r="AA40" s="40"/>
      <c r="AH40" s="129">
        <f ca="1">(AI36-AH38)/AI36</f>
        <v>-1.0742747505747561</v>
      </c>
      <c r="AI40" s="129">
        <f ca="1">(AH36-AI38)/AH36</f>
        <v>-1.500630481358554</v>
      </c>
      <c r="BV40" s="40"/>
      <c r="BW40" s="40"/>
    </row>
    <row r="41" spans="1:83" x14ac:dyDescent="0.25">
      <c r="A41" s="114" t="s">
        <v>178</v>
      </c>
      <c r="B41" s="115">
        <v>1</v>
      </c>
      <c r="C41" s="117">
        <v>0.877</v>
      </c>
      <c r="D41" s="118">
        <v>0.25</v>
      </c>
      <c r="W41" s="128"/>
    </row>
    <row r="42" spans="1:83" x14ac:dyDescent="0.25">
      <c r="A42" s="114" t="s">
        <v>179</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127"/>
  <sheetViews>
    <sheetView zoomScale="90" zoomScaleNormal="90" workbookViewId="0">
      <pane ySplit="1" topLeftCell="A2" activePane="bottomLeft" state="frozen"/>
      <selection pane="bottomLeft" activeCell="C28" sqref="C28"/>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67" t="s">
        <v>258</v>
      </c>
      <c r="B1" s="267"/>
      <c r="C1" s="267"/>
      <c r="D1" s="267"/>
      <c r="F1" s="11" t="s">
        <v>3</v>
      </c>
      <c r="G1" s="11" t="s">
        <v>4</v>
      </c>
      <c r="H1" s="11" t="s">
        <v>5</v>
      </c>
      <c r="I1" s="37" t="s">
        <v>91</v>
      </c>
      <c r="J1" s="37" t="s">
        <v>7</v>
      </c>
      <c r="K1" s="37" t="s">
        <v>70</v>
      </c>
      <c r="L1" s="37" t="s">
        <v>201</v>
      </c>
      <c r="M1" s="37" t="s">
        <v>324</v>
      </c>
      <c r="N1" s="149" t="s">
        <v>202</v>
      </c>
      <c r="O1" s="149" t="s">
        <v>203</v>
      </c>
      <c r="P1" s="149" t="s">
        <v>318</v>
      </c>
      <c r="Q1" s="149" t="s">
        <v>129</v>
      </c>
      <c r="R1" s="150" t="s">
        <v>204</v>
      </c>
      <c r="S1" s="150" t="s">
        <v>205</v>
      </c>
      <c r="T1" s="150" t="s">
        <v>318</v>
      </c>
      <c r="U1" s="150" t="s">
        <v>129</v>
      </c>
    </row>
    <row r="2" spans="1:21" x14ac:dyDescent="0.25">
      <c r="A2" s="268" t="s">
        <v>259</v>
      </c>
      <c r="B2" s="269" t="s">
        <v>260</v>
      </c>
      <c r="C2" s="269" t="s">
        <v>261</v>
      </c>
      <c r="D2" s="269" t="s">
        <v>262</v>
      </c>
      <c r="F2" s="211" t="s">
        <v>375</v>
      </c>
      <c r="G2">
        <v>39</v>
      </c>
      <c r="H2">
        <v>100</v>
      </c>
      <c r="I2" s="121">
        <v>12.4</v>
      </c>
      <c r="J2" s="124">
        <v>6</v>
      </c>
      <c r="K2" s="76">
        <v>372</v>
      </c>
      <c r="L2" s="76">
        <v>2819000</v>
      </c>
      <c r="M2" s="143">
        <v>3</v>
      </c>
      <c r="N2" s="76">
        <v>375000</v>
      </c>
      <c r="O2" s="76">
        <f t="shared" ref="O2:O38" si="0">L2+N2</f>
        <v>3194000</v>
      </c>
      <c r="P2" s="151">
        <v>9.5</v>
      </c>
      <c r="Q2" s="208">
        <f t="shared" ref="Q2:Q38" si="1">O2/P2</f>
        <v>336210.5263157895</v>
      </c>
      <c r="R2" s="76">
        <v>2700000</v>
      </c>
      <c r="S2" s="76">
        <f t="shared" ref="S2:S38" si="2">R2+L2</f>
        <v>5519000</v>
      </c>
      <c r="T2" s="152">
        <f t="shared" ref="T2:T38" si="3">P2</f>
        <v>9.5</v>
      </c>
      <c r="U2" s="208">
        <f t="shared" ref="U2:U38" si="4">S2/T2</f>
        <v>580947.36842105258</v>
      </c>
    </row>
    <row r="3" spans="1:21" x14ac:dyDescent="0.25">
      <c r="A3" s="268"/>
      <c r="B3" s="269"/>
      <c r="C3" s="269"/>
      <c r="D3" s="269"/>
      <c r="F3" s="211" t="s">
        <v>389</v>
      </c>
      <c r="G3">
        <v>38</v>
      </c>
      <c r="H3">
        <v>97</v>
      </c>
      <c r="I3" s="121">
        <v>13.3</v>
      </c>
      <c r="J3" s="124">
        <v>6</v>
      </c>
      <c r="K3" s="76">
        <v>552</v>
      </c>
      <c r="L3" s="76">
        <v>3094000</v>
      </c>
      <c r="M3" s="143">
        <v>3</v>
      </c>
      <c r="N3" s="76">
        <v>355000</v>
      </c>
      <c r="O3" s="76">
        <f t="shared" si="0"/>
        <v>3449000</v>
      </c>
      <c r="P3" s="151">
        <v>9.5</v>
      </c>
      <c r="Q3" s="208">
        <f t="shared" si="1"/>
        <v>363052.63157894736</v>
      </c>
      <c r="R3" s="76">
        <v>2495000</v>
      </c>
      <c r="S3" s="76">
        <f t="shared" si="2"/>
        <v>5589000</v>
      </c>
      <c r="T3" s="152">
        <f t="shared" si="3"/>
        <v>9.5</v>
      </c>
      <c r="U3" s="208">
        <f t="shared" si="4"/>
        <v>588315.78947368416</v>
      </c>
    </row>
    <row r="4" spans="1:21" x14ac:dyDescent="0.25">
      <c r="A4" s="204" t="s">
        <v>260</v>
      </c>
      <c r="B4" s="205" t="s">
        <v>263</v>
      </c>
      <c r="C4" s="205" t="s">
        <v>264</v>
      </c>
      <c r="D4" s="205" t="s">
        <v>264</v>
      </c>
      <c r="F4" s="211" t="s">
        <v>327</v>
      </c>
      <c r="G4">
        <v>40</v>
      </c>
      <c r="H4">
        <v>44</v>
      </c>
      <c r="I4" s="121">
        <v>16.399999999999999</v>
      </c>
      <c r="J4" s="124">
        <v>6</v>
      </c>
      <c r="K4" s="76">
        <v>360</v>
      </c>
      <c r="L4" s="76">
        <v>4331000</v>
      </c>
      <c r="M4" s="143">
        <v>3</v>
      </c>
      <c r="N4" s="76">
        <v>289000</v>
      </c>
      <c r="O4" s="76">
        <f t="shared" si="0"/>
        <v>4620000</v>
      </c>
      <c r="P4" s="151">
        <v>9.5</v>
      </c>
      <c r="Q4" s="208">
        <f t="shared" si="1"/>
        <v>486315.78947368421</v>
      </c>
      <c r="R4" s="76">
        <v>2015000</v>
      </c>
      <c r="S4" s="76">
        <f t="shared" si="2"/>
        <v>6346000</v>
      </c>
      <c r="T4" s="152">
        <f t="shared" si="3"/>
        <v>9.5</v>
      </c>
      <c r="U4" s="208">
        <f t="shared" si="4"/>
        <v>668000</v>
      </c>
    </row>
    <row r="5" spans="1:21" x14ac:dyDescent="0.25">
      <c r="A5" s="206" t="s">
        <v>261</v>
      </c>
      <c r="B5" s="207" t="s">
        <v>265</v>
      </c>
      <c r="C5" s="207" t="s">
        <v>266</v>
      </c>
      <c r="D5" s="207" t="s">
        <v>264</v>
      </c>
      <c r="F5" s="211" t="s">
        <v>380</v>
      </c>
      <c r="G5">
        <v>35</v>
      </c>
      <c r="H5">
        <v>7</v>
      </c>
      <c r="I5" s="121">
        <v>13.3</v>
      </c>
      <c r="J5" s="124">
        <v>6</v>
      </c>
      <c r="K5" s="76">
        <v>4236</v>
      </c>
      <c r="L5" s="76">
        <v>3947000</v>
      </c>
      <c r="M5" s="143">
        <v>3</v>
      </c>
      <c r="N5" s="76">
        <v>355000</v>
      </c>
      <c r="O5" s="76">
        <f t="shared" si="0"/>
        <v>4302000</v>
      </c>
      <c r="P5" s="151">
        <v>9.5</v>
      </c>
      <c r="Q5" s="208">
        <f t="shared" si="1"/>
        <v>452842.10526315792</v>
      </c>
      <c r="R5" s="76">
        <v>2495000</v>
      </c>
      <c r="S5" s="76">
        <f t="shared" si="2"/>
        <v>6442000</v>
      </c>
      <c r="T5" s="152">
        <f t="shared" si="3"/>
        <v>9.5</v>
      </c>
      <c r="U5" s="208">
        <f t="shared" si="4"/>
        <v>678105.26315789472</v>
      </c>
    </row>
    <row r="6" spans="1:21" x14ac:dyDescent="0.25">
      <c r="A6" s="204" t="s">
        <v>262</v>
      </c>
      <c r="B6" s="205" t="s">
        <v>267</v>
      </c>
      <c r="C6" s="205" t="s">
        <v>268</v>
      </c>
      <c r="D6" s="205" t="s">
        <v>269</v>
      </c>
      <c r="F6" s="211" t="s">
        <v>394</v>
      </c>
      <c r="G6">
        <v>37</v>
      </c>
      <c r="H6">
        <v>1</v>
      </c>
      <c r="I6" s="121">
        <v>21.9</v>
      </c>
      <c r="J6" s="124">
        <v>6</v>
      </c>
      <c r="K6" s="76">
        <v>2088</v>
      </c>
      <c r="L6" s="76">
        <v>7699000</v>
      </c>
      <c r="M6" s="143">
        <v>3</v>
      </c>
      <c r="N6" s="76">
        <v>228000</v>
      </c>
      <c r="O6" s="76">
        <f>L6+N6</f>
        <v>7927000</v>
      </c>
      <c r="P6" s="151">
        <v>9.5</v>
      </c>
      <c r="Q6" s="208">
        <f>O6/P6</f>
        <v>834421.05263157899</v>
      </c>
      <c r="R6" s="76">
        <v>1575000</v>
      </c>
      <c r="S6" s="76">
        <f>R6+L6</f>
        <v>9274000</v>
      </c>
      <c r="T6" s="152">
        <f>P6</f>
        <v>9.5</v>
      </c>
      <c r="U6" s="208">
        <f>S6/T6</f>
        <v>976210.52631578944</v>
      </c>
    </row>
    <row r="7" spans="1:21" x14ac:dyDescent="0.25">
      <c r="A7" s="206" t="s">
        <v>270</v>
      </c>
      <c r="B7" s="207" t="s">
        <v>271</v>
      </c>
      <c r="C7" s="207" t="s">
        <v>272</v>
      </c>
      <c r="D7" s="207" t="s">
        <v>273</v>
      </c>
      <c r="F7" s="211" t="s">
        <v>387</v>
      </c>
      <c r="G7">
        <v>40</v>
      </c>
      <c r="H7">
        <v>76</v>
      </c>
      <c r="I7" s="121">
        <v>15.5</v>
      </c>
      <c r="J7" s="124">
        <v>5</v>
      </c>
      <c r="K7" s="76">
        <v>336</v>
      </c>
      <c r="L7" s="76">
        <v>531420</v>
      </c>
      <c r="M7" s="143">
        <v>3</v>
      </c>
      <c r="N7" s="76">
        <v>305000</v>
      </c>
      <c r="O7" s="76">
        <f t="shared" si="0"/>
        <v>836420</v>
      </c>
      <c r="P7" s="151">
        <v>8</v>
      </c>
      <c r="Q7" s="208">
        <f t="shared" si="1"/>
        <v>104552.5</v>
      </c>
      <c r="R7" s="76">
        <v>2175000</v>
      </c>
      <c r="S7" s="76">
        <f t="shared" si="2"/>
        <v>2706420</v>
      </c>
      <c r="T7" s="152">
        <f t="shared" si="3"/>
        <v>8</v>
      </c>
      <c r="U7" s="208">
        <f t="shared" si="4"/>
        <v>338302.5</v>
      </c>
    </row>
    <row r="8" spans="1:21" x14ac:dyDescent="0.25">
      <c r="A8" s="204" t="s">
        <v>274</v>
      </c>
      <c r="B8" s="205" t="s">
        <v>275</v>
      </c>
      <c r="C8" s="205" t="s">
        <v>276</v>
      </c>
      <c r="D8" s="205" t="s">
        <v>277</v>
      </c>
      <c r="F8" s="211" t="s">
        <v>379</v>
      </c>
      <c r="G8">
        <v>39</v>
      </c>
      <c r="H8">
        <v>9</v>
      </c>
      <c r="I8" s="121">
        <v>12.5</v>
      </c>
      <c r="J8" s="124">
        <v>5</v>
      </c>
      <c r="K8" s="76">
        <v>408</v>
      </c>
      <c r="L8" s="76">
        <v>100000</v>
      </c>
      <c r="M8" s="143">
        <v>3</v>
      </c>
      <c r="N8" s="76">
        <v>380000</v>
      </c>
      <c r="O8" s="76">
        <f t="shared" si="0"/>
        <v>480000</v>
      </c>
      <c r="P8" s="151">
        <v>8</v>
      </c>
      <c r="Q8" s="208">
        <f t="shared" si="1"/>
        <v>60000</v>
      </c>
      <c r="R8" s="76">
        <v>2700000</v>
      </c>
      <c r="S8" s="76">
        <f t="shared" si="2"/>
        <v>2800000</v>
      </c>
      <c r="T8" s="152">
        <f t="shared" si="3"/>
        <v>8</v>
      </c>
      <c r="U8" s="208">
        <f t="shared" si="4"/>
        <v>350000</v>
      </c>
    </row>
    <row r="9" spans="1:21" x14ac:dyDescent="0.25">
      <c r="A9" s="206" t="s">
        <v>278</v>
      </c>
      <c r="B9" s="207" t="s">
        <v>279</v>
      </c>
      <c r="C9" s="207" t="s">
        <v>280</v>
      </c>
      <c r="D9" s="207" t="s">
        <v>281</v>
      </c>
      <c r="F9" s="211" t="s">
        <v>388</v>
      </c>
      <c r="G9">
        <v>39</v>
      </c>
      <c r="H9">
        <v>43</v>
      </c>
      <c r="I9" s="121">
        <v>14.2</v>
      </c>
      <c r="J9" s="124">
        <v>5</v>
      </c>
      <c r="K9" s="76">
        <v>370</v>
      </c>
      <c r="L9" s="76">
        <v>456000</v>
      </c>
      <c r="M9" s="143">
        <v>3</v>
      </c>
      <c r="N9" s="153">
        <v>329000</v>
      </c>
      <c r="O9" s="76">
        <f t="shared" si="0"/>
        <v>785000</v>
      </c>
      <c r="P9" s="151">
        <v>8</v>
      </c>
      <c r="Q9" s="208">
        <f t="shared" si="1"/>
        <v>98125</v>
      </c>
      <c r="R9" s="76">
        <v>2375000</v>
      </c>
      <c r="S9" s="76">
        <f t="shared" si="2"/>
        <v>2831000</v>
      </c>
      <c r="T9" s="152">
        <f t="shared" si="3"/>
        <v>8</v>
      </c>
      <c r="U9" s="208">
        <f t="shared" si="4"/>
        <v>353875</v>
      </c>
    </row>
    <row r="10" spans="1:21" x14ac:dyDescent="0.25">
      <c r="A10" s="204" t="s">
        <v>282</v>
      </c>
      <c r="B10" s="205" t="s">
        <v>283</v>
      </c>
      <c r="C10" s="205" t="s">
        <v>284</v>
      </c>
      <c r="D10" s="205" t="s">
        <v>285</v>
      </c>
      <c r="F10" s="211" t="s">
        <v>374</v>
      </c>
      <c r="G10">
        <v>41</v>
      </c>
      <c r="H10">
        <v>74</v>
      </c>
      <c r="I10" s="121">
        <v>17.5</v>
      </c>
      <c r="J10" s="124">
        <v>5</v>
      </c>
      <c r="K10" s="76">
        <v>324</v>
      </c>
      <c r="L10" s="76">
        <v>945000</v>
      </c>
      <c r="M10" s="143">
        <v>4</v>
      </c>
      <c r="N10" s="76">
        <v>270000</v>
      </c>
      <c r="O10" s="76">
        <f t="shared" si="0"/>
        <v>1215000</v>
      </c>
      <c r="P10" s="151">
        <v>8</v>
      </c>
      <c r="Q10" s="208">
        <f t="shared" si="1"/>
        <v>151875</v>
      </c>
      <c r="R10" s="76">
        <v>1900000</v>
      </c>
      <c r="S10" s="76">
        <f t="shared" si="2"/>
        <v>2845000</v>
      </c>
      <c r="T10" s="152">
        <f t="shared" si="3"/>
        <v>8</v>
      </c>
      <c r="U10" s="208">
        <f t="shared" si="4"/>
        <v>355625</v>
      </c>
    </row>
    <row r="11" spans="1:21" x14ac:dyDescent="0.25">
      <c r="A11" s="206" t="s">
        <v>286</v>
      </c>
      <c r="B11" s="207" t="s">
        <v>287</v>
      </c>
      <c r="C11" s="207" t="s">
        <v>288</v>
      </c>
      <c r="D11" s="207" t="s">
        <v>289</v>
      </c>
      <c r="F11" s="211" t="s">
        <v>386</v>
      </c>
      <c r="G11">
        <v>39</v>
      </c>
      <c r="H11">
        <v>13</v>
      </c>
      <c r="I11" s="121">
        <v>16.7</v>
      </c>
      <c r="J11" s="124">
        <v>5</v>
      </c>
      <c r="K11" s="76">
        <v>612</v>
      </c>
      <c r="L11" s="76">
        <v>854000</v>
      </c>
      <c r="M11" s="143">
        <v>3</v>
      </c>
      <c r="N11" s="76">
        <v>281000</v>
      </c>
      <c r="O11" s="76">
        <f t="shared" si="0"/>
        <v>1135000</v>
      </c>
      <c r="P11" s="151">
        <v>8</v>
      </c>
      <c r="Q11" s="208">
        <f t="shared" si="1"/>
        <v>141875</v>
      </c>
      <c r="R11" s="76">
        <v>2005000</v>
      </c>
      <c r="S11" s="76">
        <f t="shared" si="2"/>
        <v>2859000</v>
      </c>
      <c r="T11" s="152">
        <f t="shared" si="3"/>
        <v>8</v>
      </c>
      <c r="U11" s="208">
        <f t="shared" si="4"/>
        <v>357375</v>
      </c>
    </row>
    <row r="12" spans="1:21" x14ac:dyDescent="0.25">
      <c r="A12" s="204" t="s">
        <v>290</v>
      </c>
      <c r="B12" s="205" t="s">
        <v>291</v>
      </c>
      <c r="C12" s="205" t="s">
        <v>292</v>
      </c>
      <c r="D12" s="205" t="s">
        <v>293</v>
      </c>
      <c r="F12" s="209" t="s">
        <v>323</v>
      </c>
      <c r="G12">
        <v>37</v>
      </c>
      <c r="H12">
        <v>22</v>
      </c>
      <c r="I12" s="121">
        <v>16.899999999999999</v>
      </c>
      <c r="J12" s="124">
        <v>5</v>
      </c>
      <c r="K12" s="76">
        <v>2388</v>
      </c>
      <c r="L12" s="76">
        <v>894000</v>
      </c>
      <c r="M12" s="143">
        <v>3</v>
      </c>
      <c r="N12" s="76">
        <v>281000</v>
      </c>
      <c r="O12" s="76">
        <f t="shared" si="0"/>
        <v>1175000</v>
      </c>
      <c r="P12" s="151">
        <v>8</v>
      </c>
      <c r="Q12" s="208">
        <f t="shared" si="1"/>
        <v>146875</v>
      </c>
      <c r="R12" s="76">
        <v>1995000</v>
      </c>
      <c r="S12" s="76">
        <f t="shared" si="2"/>
        <v>2889000</v>
      </c>
      <c r="T12" s="152">
        <f t="shared" si="3"/>
        <v>8</v>
      </c>
      <c r="U12" s="208">
        <f t="shared" si="4"/>
        <v>361125</v>
      </c>
    </row>
    <row r="13" spans="1:21" x14ac:dyDescent="0.25">
      <c r="A13" s="206" t="s">
        <v>294</v>
      </c>
      <c r="B13" s="207" t="s">
        <v>295</v>
      </c>
      <c r="C13" s="207" t="s">
        <v>296</v>
      </c>
      <c r="D13" s="207" t="s">
        <v>297</v>
      </c>
      <c r="F13" s="211" t="s">
        <v>381</v>
      </c>
      <c r="G13">
        <v>39</v>
      </c>
      <c r="H13">
        <v>50</v>
      </c>
      <c r="I13" s="121">
        <v>12.2</v>
      </c>
      <c r="J13" s="124">
        <v>5</v>
      </c>
      <c r="K13" s="76">
        <v>300</v>
      </c>
      <c r="L13" s="76">
        <v>148920</v>
      </c>
      <c r="M13" s="143">
        <v>3</v>
      </c>
      <c r="N13" s="76">
        <v>385000</v>
      </c>
      <c r="O13" s="76">
        <f t="shared" si="0"/>
        <v>533920</v>
      </c>
      <c r="P13" s="151">
        <v>8</v>
      </c>
      <c r="Q13" s="208">
        <f t="shared" si="1"/>
        <v>66740</v>
      </c>
      <c r="R13" s="76">
        <v>2750000</v>
      </c>
      <c r="S13" s="76">
        <f t="shared" si="2"/>
        <v>2898920</v>
      </c>
      <c r="T13" s="152">
        <f t="shared" si="3"/>
        <v>8</v>
      </c>
      <c r="U13" s="208">
        <f t="shared" si="4"/>
        <v>362365</v>
      </c>
    </row>
    <row r="14" spans="1:21" x14ac:dyDescent="0.25">
      <c r="A14" s="204" t="s">
        <v>298</v>
      </c>
      <c r="B14" s="205" t="s">
        <v>299</v>
      </c>
      <c r="C14" s="205" t="s">
        <v>300</v>
      </c>
      <c r="D14" s="205" t="s">
        <v>301</v>
      </c>
      <c r="F14" s="211" t="s">
        <v>384</v>
      </c>
      <c r="G14">
        <v>35</v>
      </c>
      <c r="H14">
        <v>108</v>
      </c>
      <c r="I14" s="121">
        <v>12.5</v>
      </c>
      <c r="J14" s="124">
        <v>5</v>
      </c>
      <c r="K14" s="76">
        <v>1296</v>
      </c>
      <c r="L14" s="76">
        <v>255000</v>
      </c>
      <c r="M14" s="143">
        <v>3</v>
      </c>
      <c r="N14" s="76">
        <v>375000</v>
      </c>
      <c r="O14" s="76">
        <f t="shared" si="0"/>
        <v>630000</v>
      </c>
      <c r="P14" s="151">
        <v>8</v>
      </c>
      <c r="Q14" s="208">
        <f t="shared" si="1"/>
        <v>78750</v>
      </c>
      <c r="R14" s="76">
        <v>2700000</v>
      </c>
      <c r="S14" s="76">
        <f t="shared" si="2"/>
        <v>2955000</v>
      </c>
      <c r="T14" s="152">
        <f t="shared" si="3"/>
        <v>8</v>
      </c>
      <c r="U14" s="208">
        <f t="shared" si="4"/>
        <v>369375</v>
      </c>
    </row>
    <row r="15" spans="1:21" x14ac:dyDescent="0.25">
      <c r="A15" s="206" t="s">
        <v>302</v>
      </c>
      <c r="B15" s="207" t="s">
        <v>303</v>
      </c>
      <c r="C15" s="207" t="s">
        <v>304</v>
      </c>
      <c r="D15" s="207" t="s">
        <v>305</v>
      </c>
      <c r="F15" s="211" t="s">
        <v>378</v>
      </c>
      <c r="G15">
        <v>39</v>
      </c>
      <c r="H15">
        <v>27</v>
      </c>
      <c r="I15" s="121">
        <v>13.2</v>
      </c>
      <c r="J15" s="124">
        <v>5</v>
      </c>
      <c r="K15" s="76">
        <v>384</v>
      </c>
      <c r="L15" s="76">
        <v>500000</v>
      </c>
      <c r="M15" s="143">
        <v>3</v>
      </c>
      <c r="N15" s="153">
        <v>355000</v>
      </c>
      <c r="O15" s="76">
        <f t="shared" si="0"/>
        <v>855000</v>
      </c>
      <c r="P15" s="151">
        <v>8</v>
      </c>
      <c r="Q15" s="208">
        <f t="shared" si="1"/>
        <v>106875</v>
      </c>
      <c r="R15" s="76">
        <v>2495000</v>
      </c>
      <c r="S15" s="76">
        <f t="shared" si="2"/>
        <v>2995000</v>
      </c>
      <c r="T15" s="152">
        <f t="shared" si="3"/>
        <v>8</v>
      </c>
      <c r="U15" s="208">
        <f t="shared" si="4"/>
        <v>374375</v>
      </c>
    </row>
    <row r="16" spans="1:21" x14ac:dyDescent="0.25">
      <c r="A16" s="204" t="s">
        <v>306</v>
      </c>
      <c r="B16" s="205" t="s">
        <v>307</v>
      </c>
      <c r="C16" s="205" t="s">
        <v>308</v>
      </c>
      <c r="D16" s="205" t="s">
        <v>309</v>
      </c>
      <c r="F16" s="211" t="s">
        <v>377</v>
      </c>
      <c r="G16">
        <v>36</v>
      </c>
      <c r="H16">
        <v>50</v>
      </c>
      <c r="I16" s="121">
        <v>13.2</v>
      </c>
      <c r="J16" s="124">
        <v>5</v>
      </c>
      <c r="K16" s="76">
        <v>1884</v>
      </c>
      <c r="L16" s="76">
        <v>510000</v>
      </c>
      <c r="M16" s="143">
        <v>3</v>
      </c>
      <c r="N16" s="76">
        <v>355000</v>
      </c>
      <c r="O16" s="76">
        <f t="shared" si="0"/>
        <v>865000</v>
      </c>
      <c r="P16" s="151">
        <v>8</v>
      </c>
      <c r="Q16" s="208">
        <f t="shared" si="1"/>
        <v>108125</v>
      </c>
      <c r="R16" s="76">
        <v>2495000</v>
      </c>
      <c r="S16" s="76">
        <f t="shared" si="2"/>
        <v>3005000</v>
      </c>
      <c r="T16" s="152">
        <f t="shared" si="3"/>
        <v>8</v>
      </c>
      <c r="U16" s="208">
        <f t="shared" si="4"/>
        <v>375625</v>
      </c>
    </row>
    <row r="17" spans="1:21" x14ac:dyDescent="0.25">
      <c r="A17" s="206" t="s">
        <v>310</v>
      </c>
      <c r="B17" s="207" t="s">
        <v>311</v>
      </c>
      <c r="C17" s="207" t="s">
        <v>312</v>
      </c>
      <c r="D17" s="207" t="s">
        <v>313</v>
      </c>
      <c r="F17" s="211" t="s">
        <v>331</v>
      </c>
      <c r="G17">
        <v>43</v>
      </c>
      <c r="H17">
        <v>37</v>
      </c>
      <c r="I17" s="121">
        <v>17.2</v>
      </c>
      <c r="J17" s="124">
        <v>5</v>
      </c>
      <c r="K17" s="76">
        <v>324</v>
      </c>
      <c r="L17" s="76">
        <v>1200000</v>
      </c>
      <c r="M17" s="143">
        <v>3</v>
      </c>
      <c r="N17" s="76">
        <v>273000</v>
      </c>
      <c r="O17" s="76">
        <f t="shared" si="0"/>
        <v>1473000</v>
      </c>
      <c r="P17" s="151">
        <v>8</v>
      </c>
      <c r="Q17" s="208">
        <f t="shared" si="1"/>
        <v>184125</v>
      </c>
      <c r="R17" s="76">
        <v>1940000</v>
      </c>
      <c r="S17" s="76">
        <f t="shared" si="2"/>
        <v>3140000</v>
      </c>
      <c r="T17" s="152">
        <f t="shared" si="3"/>
        <v>8</v>
      </c>
      <c r="U17" s="208">
        <f t="shared" si="4"/>
        <v>392500</v>
      </c>
    </row>
    <row r="18" spans="1:21" x14ac:dyDescent="0.25">
      <c r="A18" s="204" t="s">
        <v>314</v>
      </c>
      <c r="B18" s="205" t="s">
        <v>315</v>
      </c>
      <c r="C18" s="205" t="s">
        <v>316</v>
      </c>
      <c r="D18" s="205" t="s">
        <v>317</v>
      </c>
      <c r="F18" s="211" t="s">
        <v>376</v>
      </c>
      <c r="G18">
        <v>39</v>
      </c>
      <c r="H18">
        <v>27</v>
      </c>
      <c r="I18" s="121">
        <v>13.3</v>
      </c>
      <c r="J18" s="124">
        <v>5</v>
      </c>
      <c r="K18" s="76">
        <v>396</v>
      </c>
      <c r="L18" s="76">
        <v>700000</v>
      </c>
      <c r="M18" s="143">
        <v>3</v>
      </c>
      <c r="N18" s="76">
        <v>355000</v>
      </c>
      <c r="O18" s="76">
        <f t="shared" si="0"/>
        <v>1055000</v>
      </c>
      <c r="P18" s="151">
        <v>8</v>
      </c>
      <c r="Q18" s="208">
        <f t="shared" si="1"/>
        <v>131875</v>
      </c>
      <c r="R18" s="76">
        <v>2495000</v>
      </c>
      <c r="S18" s="76">
        <f t="shared" si="2"/>
        <v>3195000</v>
      </c>
      <c r="T18" s="152">
        <f t="shared" si="3"/>
        <v>8</v>
      </c>
      <c r="U18" s="208">
        <f t="shared" si="4"/>
        <v>399375</v>
      </c>
    </row>
    <row r="19" spans="1:21" x14ac:dyDescent="0.25">
      <c r="F19" s="211" t="s">
        <v>392</v>
      </c>
      <c r="G19">
        <v>42</v>
      </c>
      <c r="H19">
        <v>63</v>
      </c>
      <c r="I19" s="121">
        <v>16</v>
      </c>
      <c r="J19" s="124">
        <v>5</v>
      </c>
      <c r="K19" s="76">
        <v>300</v>
      </c>
      <c r="L19" s="76">
        <v>1193000</v>
      </c>
      <c r="M19" s="143">
        <v>3</v>
      </c>
      <c r="N19" s="76">
        <v>296000</v>
      </c>
      <c r="O19" s="76">
        <f t="shared" si="0"/>
        <v>1489000</v>
      </c>
      <c r="P19" s="151">
        <v>8</v>
      </c>
      <c r="Q19" s="208">
        <f t="shared" si="1"/>
        <v>186125</v>
      </c>
      <c r="R19" s="76">
        <v>2105200</v>
      </c>
      <c r="S19" s="76">
        <f t="shared" si="2"/>
        <v>3298200</v>
      </c>
      <c r="T19" s="152">
        <f t="shared" si="3"/>
        <v>8</v>
      </c>
      <c r="U19" s="208">
        <f t="shared" si="4"/>
        <v>412275</v>
      </c>
    </row>
    <row r="20" spans="1:21" x14ac:dyDescent="0.25">
      <c r="A20" s="11" t="s">
        <v>256</v>
      </c>
      <c r="B20" s="11" t="s">
        <v>257</v>
      </c>
      <c r="F20" s="209" t="s">
        <v>326</v>
      </c>
      <c r="G20">
        <v>37</v>
      </c>
      <c r="H20">
        <v>47</v>
      </c>
      <c r="I20" s="121">
        <v>20.100000000000001</v>
      </c>
      <c r="J20" s="124">
        <v>4</v>
      </c>
      <c r="K20" s="76">
        <f>2240*1.2</f>
        <v>2688</v>
      </c>
      <c r="L20" s="76">
        <v>510001</v>
      </c>
      <c r="M20" s="143">
        <v>3</v>
      </c>
      <c r="N20" s="76">
        <v>235000</v>
      </c>
      <c r="O20" s="76">
        <f t="shared" si="0"/>
        <v>745001</v>
      </c>
      <c r="P20" s="151">
        <v>6.5</v>
      </c>
      <c r="Q20" s="208">
        <f t="shared" si="1"/>
        <v>114615.53846153847</v>
      </c>
      <c r="R20" s="76">
        <v>1600000</v>
      </c>
      <c r="S20" s="76">
        <f t="shared" si="2"/>
        <v>2110001</v>
      </c>
      <c r="T20" s="152">
        <f t="shared" si="3"/>
        <v>6.5</v>
      </c>
      <c r="U20" s="208">
        <f t="shared" si="4"/>
        <v>324615.53846153844</v>
      </c>
    </row>
    <row r="21" spans="1:21" x14ac:dyDescent="0.25">
      <c r="A21" s="240" t="s">
        <v>255</v>
      </c>
      <c r="B21" s="240">
        <v>2</v>
      </c>
      <c r="F21" s="209" t="s">
        <v>336</v>
      </c>
      <c r="G21">
        <v>36</v>
      </c>
      <c r="H21">
        <v>51</v>
      </c>
      <c r="I21" s="121">
        <v>22.6</v>
      </c>
      <c r="J21" s="124">
        <v>4</v>
      </c>
      <c r="K21" s="76">
        <v>6540</v>
      </c>
      <c r="L21" s="76">
        <v>692580</v>
      </c>
      <c r="M21" s="143">
        <v>3</v>
      </c>
      <c r="N21" s="76">
        <v>225000</v>
      </c>
      <c r="O21" s="76">
        <f t="shared" si="0"/>
        <v>917580</v>
      </c>
      <c r="P21" s="151">
        <v>6.5</v>
      </c>
      <c r="Q21" s="208">
        <f t="shared" si="1"/>
        <v>141166.15384615384</v>
      </c>
      <c r="R21" s="76">
        <v>1550000</v>
      </c>
      <c r="S21" s="76">
        <f t="shared" si="2"/>
        <v>2242580</v>
      </c>
      <c r="T21" s="152">
        <f t="shared" si="3"/>
        <v>6.5</v>
      </c>
      <c r="U21" s="208">
        <f t="shared" si="4"/>
        <v>345012.30769230769</v>
      </c>
    </row>
    <row r="22" spans="1:21" x14ac:dyDescent="0.25">
      <c r="A22" s="240" t="s">
        <v>254</v>
      </c>
      <c r="B22" s="240">
        <v>1.5</v>
      </c>
      <c r="F22" s="211" t="s">
        <v>373</v>
      </c>
      <c r="G22">
        <v>41</v>
      </c>
      <c r="H22">
        <v>59</v>
      </c>
      <c r="I22" s="121">
        <v>16.3</v>
      </c>
      <c r="J22" s="124">
        <v>4</v>
      </c>
      <c r="K22" s="76">
        <v>312</v>
      </c>
      <c r="L22" s="76">
        <v>463000</v>
      </c>
      <c r="M22" s="143">
        <v>4</v>
      </c>
      <c r="N22" s="153">
        <v>289000</v>
      </c>
      <c r="O22" s="76">
        <f t="shared" si="0"/>
        <v>752000</v>
      </c>
      <c r="P22" s="151">
        <v>6.5</v>
      </c>
      <c r="Q22" s="208">
        <f t="shared" si="1"/>
        <v>115692.30769230769</v>
      </c>
      <c r="R22" s="76">
        <v>2015000</v>
      </c>
      <c r="S22" s="76">
        <f t="shared" si="2"/>
        <v>2478000</v>
      </c>
      <c r="T22" s="152">
        <f t="shared" si="3"/>
        <v>6.5</v>
      </c>
      <c r="U22" s="208">
        <f t="shared" si="4"/>
        <v>381230.76923076925</v>
      </c>
    </row>
    <row r="23" spans="1:21" x14ac:dyDescent="0.25">
      <c r="A23" s="240" t="s">
        <v>253</v>
      </c>
      <c r="B23" s="240">
        <v>1.5</v>
      </c>
      <c r="F23" s="211" t="s">
        <v>362</v>
      </c>
      <c r="G23">
        <v>37</v>
      </c>
      <c r="H23">
        <v>4</v>
      </c>
      <c r="I23" s="121">
        <v>16.899999999999999</v>
      </c>
      <c r="J23" s="124">
        <v>4</v>
      </c>
      <c r="K23" s="76">
        <v>3384</v>
      </c>
      <c r="L23" s="76">
        <v>500000</v>
      </c>
      <c r="M23" s="143">
        <v>3</v>
      </c>
      <c r="N23" s="76">
        <v>280000</v>
      </c>
      <c r="O23" s="76">
        <f t="shared" si="0"/>
        <v>780000</v>
      </c>
      <c r="P23" s="151">
        <v>6.5</v>
      </c>
      <c r="Q23" s="208">
        <f t="shared" si="1"/>
        <v>120000</v>
      </c>
      <c r="R23" s="76">
        <v>1999000</v>
      </c>
      <c r="S23" s="76">
        <f t="shared" si="2"/>
        <v>2499000</v>
      </c>
      <c r="T23" s="152">
        <f t="shared" si="3"/>
        <v>6.5</v>
      </c>
      <c r="U23" s="208">
        <f t="shared" si="4"/>
        <v>384461.53846153844</v>
      </c>
    </row>
    <row r="24" spans="1:21" x14ac:dyDescent="0.25">
      <c r="A24" s="240" t="s">
        <v>250</v>
      </c>
      <c r="B24" s="240">
        <v>1.5</v>
      </c>
      <c r="F24" s="211" t="s">
        <v>364</v>
      </c>
      <c r="G24">
        <v>36</v>
      </c>
      <c r="H24">
        <v>83</v>
      </c>
      <c r="I24" s="121">
        <v>16.600000000000001</v>
      </c>
      <c r="J24" s="124">
        <v>4</v>
      </c>
      <c r="K24" s="76">
        <v>3552</v>
      </c>
      <c r="L24" s="76">
        <v>569000</v>
      </c>
      <c r="M24" s="143">
        <v>3</v>
      </c>
      <c r="N24" s="76">
        <v>284000</v>
      </c>
      <c r="O24" s="76">
        <f t="shared" si="0"/>
        <v>853000</v>
      </c>
      <c r="P24" s="151">
        <v>6.5</v>
      </c>
      <c r="Q24" s="208">
        <f t="shared" si="1"/>
        <v>131230.76923076922</v>
      </c>
      <c r="R24" s="76">
        <v>2000000</v>
      </c>
      <c r="S24" s="76">
        <f t="shared" si="2"/>
        <v>2569000</v>
      </c>
      <c r="T24" s="152">
        <f t="shared" si="3"/>
        <v>6.5</v>
      </c>
      <c r="U24" s="208">
        <f t="shared" si="4"/>
        <v>395230.76923076925</v>
      </c>
    </row>
    <row r="25" spans="1:21" x14ac:dyDescent="0.25">
      <c r="A25" s="240" t="s">
        <v>251</v>
      </c>
      <c r="B25" s="240">
        <v>1.5</v>
      </c>
      <c r="F25" s="211" t="s">
        <v>385</v>
      </c>
      <c r="G25">
        <v>39</v>
      </c>
      <c r="H25">
        <v>107</v>
      </c>
      <c r="I25" s="121">
        <v>16.3</v>
      </c>
      <c r="J25" s="124">
        <v>4</v>
      </c>
      <c r="K25" s="76">
        <v>1008</v>
      </c>
      <c r="L25" s="76">
        <v>600000</v>
      </c>
      <c r="M25" s="143">
        <v>3</v>
      </c>
      <c r="N25" s="76">
        <v>289000</v>
      </c>
      <c r="O25" s="76">
        <f t="shared" si="0"/>
        <v>889000</v>
      </c>
      <c r="P25" s="151">
        <v>6.5</v>
      </c>
      <c r="Q25" s="208">
        <f t="shared" si="1"/>
        <v>136769.23076923078</v>
      </c>
      <c r="R25" s="76">
        <v>2015000</v>
      </c>
      <c r="S25" s="76">
        <f t="shared" si="2"/>
        <v>2615000</v>
      </c>
      <c r="T25" s="152">
        <f t="shared" si="3"/>
        <v>6.5</v>
      </c>
      <c r="U25" s="208">
        <f t="shared" si="4"/>
        <v>402307.69230769231</v>
      </c>
    </row>
    <row r="26" spans="1:21" x14ac:dyDescent="0.25">
      <c r="A26" s="240" t="s">
        <v>252</v>
      </c>
      <c r="B26" s="240">
        <v>1.5</v>
      </c>
      <c r="F26" s="211" t="s">
        <v>363</v>
      </c>
      <c r="G26">
        <v>37</v>
      </c>
      <c r="H26">
        <v>48</v>
      </c>
      <c r="I26" s="121">
        <v>18.399999999999999</v>
      </c>
      <c r="J26" s="124">
        <v>4</v>
      </c>
      <c r="K26" s="76">
        <v>1872</v>
      </c>
      <c r="L26" s="76">
        <v>849660</v>
      </c>
      <c r="M26" s="143">
        <v>3</v>
      </c>
      <c r="N26" s="76">
        <v>258000</v>
      </c>
      <c r="O26" s="76">
        <f t="shared" si="0"/>
        <v>1107660</v>
      </c>
      <c r="P26" s="151">
        <v>6.5</v>
      </c>
      <c r="Q26" s="208">
        <f t="shared" si="1"/>
        <v>170409.23076923078</v>
      </c>
      <c r="R26" s="76">
        <v>1820000</v>
      </c>
      <c r="S26" s="76">
        <f t="shared" si="2"/>
        <v>2669660</v>
      </c>
      <c r="T26" s="152">
        <f t="shared" si="3"/>
        <v>6.5</v>
      </c>
      <c r="U26" s="208">
        <f t="shared" si="4"/>
        <v>410716.92307692306</v>
      </c>
    </row>
    <row r="27" spans="1:21" x14ac:dyDescent="0.25">
      <c r="A27" s="240"/>
      <c r="B27" s="240"/>
      <c r="F27" s="211" t="s">
        <v>395</v>
      </c>
      <c r="G27">
        <v>38</v>
      </c>
      <c r="H27">
        <v>37</v>
      </c>
      <c r="I27" s="121">
        <v>19.2</v>
      </c>
      <c r="J27" s="124">
        <v>4</v>
      </c>
      <c r="K27" s="76">
        <v>1500</v>
      </c>
      <c r="L27" s="76">
        <v>1019000</v>
      </c>
      <c r="M27" s="143">
        <v>3</v>
      </c>
      <c r="N27" s="76">
        <v>245000</v>
      </c>
      <c r="O27" s="76">
        <f>L27+N27</f>
        <v>1264000</v>
      </c>
      <c r="P27" s="151">
        <v>6.5</v>
      </c>
      <c r="Q27" s="208">
        <f>O27/P27</f>
        <v>194461.53846153847</v>
      </c>
      <c r="R27" s="76">
        <v>1700000</v>
      </c>
      <c r="S27" s="76">
        <f>R27+L27</f>
        <v>2719000</v>
      </c>
      <c r="T27" s="152">
        <f>P27</f>
        <v>6.5</v>
      </c>
      <c r="U27" s="208">
        <f>S27/T27</f>
        <v>418307.69230769231</v>
      </c>
    </row>
    <row r="28" spans="1:21" x14ac:dyDescent="0.25">
      <c r="A28" s="11" t="s">
        <v>319</v>
      </c>
      <c r="B28" s="11" t="s">
        <v>320</v>
      </c>
      <c r="F28" s="211" t="s">
        <v>397</v>
      </c>
      <c r="G28">
        <v>37</v>
      </c>
      <c r="H28">
        <v>75</v>
      </c>
      <c r="I28" s="121">
        <v>18.8</v>
      </c>
      <c r="J28" s="124">
        <v>4</v>
      </c>
      <c r="K28" s="76">
        <v>2496</v>
      </c>
      <c r="L28" s="76">
        <v>995000</v>
      </c>
      <c r="M28" s="143">
        <v>3</v>
      </c>
      <c r="N28" s="76">
        <v>255000</v>
      </c>
      <c r="O28" s="76">
        <f>L28+N28</f>
        <v>1250000</v>
      </c>
      <c r="P28" s="151">
        <v>6.5</v>
      </c>
      <c r="Q28" s="208">
        <f>O28/P28</f>
        <v>192307.69230769231</v>
      </c>
      <c r="R28" s="76">
        <v>1800000</v>
      </c>
      <c r="S28" s="76">
        <f>R28+L28</f>
        <v>2795000</v>
      </c>
      <c r="T28" s="152">
        <f>P28</f>
        <v>6.5</v>
      </c>
      <c r="U28" s="208">
        <f>S28/T28</f>
        <v>430000</v>
      </c>
    </row>
    <row r="29" spans="1:21" x14ac:dyDescent="0.25">
      <c r="A29" s="240" t="s">
        <v>148</v>
      </c>
      <c r="B29" s="42">
        <v>9.5</v>
      </c>
      <c r="F29" s="209" t="s">
        <v>361</v>
      </c>
      <c r="G29">
        <v>35</v>
      </c>
      <c r="H29">
        <v>102</v>
      </c>
      <c r="I29" s="121">
        <v>18.899999999999999</v>
      </c>
      <c r="J29" s="124">
        <v>4</v>
      </c>
      <c r="K29" s="76">
        <v>8052</v>
      </c>
      <c r="L29" s="76">
        <v>1250000</v>
      </c>
      <c r="M29" s="143">
        <v>3</v>
      </c>
      <c r="N29" s="76">
        <v>251000</v>
      </c>
      <c r="O29" s="76">
        <f t="shared" si="0"/>
        <v>1501000</v>
      </c>
      <c r="P29" s="151">
        <v>6.5</v>
      </c>
      <c r="Q29" s="208">
        <f t="shared" si="1"/>
        <v>230923.07692307694</v>
      </c>
      <c r="R29" s="76">
        <v>1778000</v>
      </c>
      <c r="S29" s="76">
        <f t="shared" si="2"/>
        <v>3028000</v>
      </c>
      <c r="T29" s="152">
        <f t="shared" si="3"/>
        <v>6.5</v>
      </c>
      <c r="U29" s="208">
        <f t="shared" si="4"/>
        <v>465846.15384615387</v>
      </c>
    </row>
    <row r="30" spans="1:21" x14ac:dyDescent="0.25">
      <c r="A30" s="240" t="s">
        <v>109</v>
      </c>
      <c r="B30" s="42">
        <v>8</v>
      </c>
      <c r="F30" s="211" t="s">
        <v>396</v>
      </c>
      <c r="G30">
        <v>33</v>
      </c>
      <c r="H30">
        <v>38</v>
      </c>
      <c r="I30" s="121">
        <v>18.5</v>
      </c>
      <c r="J30" s="124">
        <v>4</v>
      </c>
      <c r="K30" s="76">
        <v>21756</v>
      </c>
      <c r="L30" s="76">
        <v>1246441</v>
      </c>
      <c r="M30" s="143">
        <v>3</v>
      </c>
      <c r="N30" s="76">
        <v>258000</v>
      </c>
      <c r="O30" s="76">
        <f>L30+N30</f>
        <v>1504441</v>
      </c>
      <c r="P30" s="151">
        <v>6.5</v>
      </c>
      <c r="Q30" s="208">
        <f>O30/P30</f>
        <v>231452.46153846153</v>
      </c>
      <c r="R30" s="76">
        <v>1830000</v>
      </c>
      <c r="S30" s="76">
        <f>R30+L30</f>
        <v>3076441</v>
      </c>
      <c r="T30" s="152">
        <f>P30</f>
        <v>6.5</v>
      </c>
      <c r="U30" s="208">
        <f>S30/T30</f>
        <v>473298.61538461538</v>
      </c>
    </row>
    <row r="31" spans="1:21" x14ac:dyDescent="0.25">
      <c r="A31" s="240" t="s">
        <v>110</v>
      </c>
      <c r="B31" s="42">
        <f>B30-1.5</f>
        <v>6.5</v>
      </c>
      <c r="F31" s="211" t="s">
        <v>365</v>
      </c>
      <c r="G31">
        <v>34</v>
      </c>
      <c r="H31">
        <v>43</v>
      </c>
      <c r="I31" s="121">
        <v>18.2</v>
      </c>
      <c r="J31" s="124">
        <v>4</v>
      </c>
      <c r="K31" s="76">
        <v>9804</v>
      </c>
      <c r="L31" s="76">
        <v>1400000</v>
      </c>
      <c r="M31" s="143">
        <v>3</v>
      </c>
      <c r="N31" s="76">
        <v>258000</v>
      </c>
      <c r="O31" s="76">
        <f t="shared" si="0"/>
        <v>1658000</v>
      </c>
      <c r="P31" s="151">
        <v>6.5</v>
      </c>
      <c r="Q31" s="208">
        <f t="shared" si="1"/>
        <v>255076.92307692306</v>
      </c>
      <c r="R31" s="76">
        <v>1830000</v>
      </c>
      <c r="S31" s="76">
        <f t="shared" si="2"/>
        <v>3230000</v>
      </c>
      <c r="T31" s="152">
        <f t="shared" si="3"/>
        <v>6.5</v>
      </c>
      <c r="U31" s="208">
        <f t="shared" si="4"/>
        <v>496923.07692307694</v>
      </c>
    </row>
    <row r="32" spans="1:21" x14ac:dyDescent="0.25">
      <c r="A32" s="240" t="s">
        <v>111</v>
      </c>
      <c r="B32" s="42">
        <f t="shared" ref="B32" si="5">B31-1.5</f>
        <v>5</v>
      </c>
      <c r="F32" s="211" t="s">
        <v>371</v>
      </c>
      <c r="G32">
        <v>36</v>
      </c>
      <c r="H32">
        <v>16</v>
      </c>
      <c r="I32" s="121">
        <v>19.3</v>
      </c>
      <c r="J32" s="124">
        <v>4</v>
      </c>
      <c r="K32" s="76">
        <v>7020</v>
      </c>
      <c r="L32" s="76">
        <v>1745000</v>
      </c>
      <c r="M32" s="143">
        <v>4</v>
      </c>
      <c r="N32" s="76">
        <v>245000</v>
      </c>
      <c r="O32" s="76">
        <f t="shared" si="0"/>
        <v>1990000</v>
      </c>
      <c r="P32" s="151">
        <v>6.5</v>
      </c>
      <c r="Q32" s="208">
        <f t="shared" si="1"/>
        <v>306153.84615384613</v>
      </c>
      <c r="R32" s="76">
        <v>1700000</v>
      </c>
      <c r="S32" s="76">
        <f t="shared" si="2"/>
        <v>3445000</v>
      </c>
      <c r="T32" s="152">
        <f t="shared" si="3"/>
        <v>6.5</v>
      </c>
      <c r="U32" s="208">
        <f t="shared" si="4"/>
        <v>530000</v>
      </c>
    </row>
    <row r="33" spans="1:21" x14ac:dyDescent="0.25">
      <c r="A33" s="240" t="s">
        <v>112</v>
      </c>
      <c r="B33" s="42">
        <f>2+1.5</f>
        <v>3.5</v>
      </c>
      <c r="F33" s="211" t="s">
        <v>367</v>
      </c>
      <c r="G33">
        <v>34</v>
      </c>
      <c r="H33">
        <v>105</v>
      </c>
      <c r="I33" s="121">
        <v>28.5</v>
      </c>
      <c r="J33" s="124">
        <v>4</v>
      </c>
      <c r="K33" s="76">
        <v>15024</v>
      </c>
      <c r="L33" s="76">
        <v>2554080</v>
      </c>
      <c r="M33" s="143">
        <v>3</v>
      </c>
      <c r="N33" s="153">
        <v>178000</v>
      </c>
      <c r="O33" s="76">
        <f t="shared" si="0"/>
        <v>2732080</v>
      </c>
      <c r="P33" s="151">
        <v>6.5</v>
      </c>
      <c r="Q33" s="208">
        <f t="shared" si="1"/>
        <v>420320</v>
      </c>
      <c r="R33" s="76">
        <v>1369000</v>
      </c>
      <c r="S33" s="76">
        <f t="shared" si="2"/>
        <v>3923080</v>
      </c>
      <c r="T33" s="152">
        <f t="shared" si="3"/>
        <v>6.5</v>
      </c>
      <c r="U33" s="208">
        <f t="shared" si="4"/>
        <v>603550.76923076925</v>
      </c>
    </row>
    <row r="34" spans="1:21" x14ac:dyDescent="0.25">
      <c r="A34" s="240" t="s">
        <v>322</v>
      </c>
      <c r="B34" s="42">
        <v>2</v>
      </c>
      <c r="F34" s="211" t="s">
        <v>370</v>
      </c>
      <c r="G34">
        <v>38</v>
      </c>
      <c r="H34">
        <v>2</v>
      </c>
      <c r="I34" s="121">
        <v>22.7</v>
      </c>
      <c r="J34" s="124">
        <v>3</v>
      </c>
      <c r="K34" s="76">
        <v>1980</v>
      </c>
      <c r="L34" s="76">
        <v>153000</v>
      </c>
      <c r="M34" s="143">
        <v>4</v>
      </c>
      <c r="N34" s="76">
        <v>225000</v>
      </c>
      <c r="O34" s="76">
        <f t="shared" si="0"/>
        <v>378000</v>
      </c>
      <c r="P34" s="151">
        <v>5</v>
      </c>
      <c r="Q34" s="208">
        <f t="shared" si="1"/>
        <v>75600</v>
      </c>
      <c r="R34" s="76">
        <v>1555000</v>
      </c>
      <c r="S34" s="76">
        <f t="shared" si="2"/>
        <v>1708000</v>
      </c>
      <c r="T34" s="152">
        <f t="shared" si="3"/>
        <v>5</v>
      </c>
      <c r="U34" s="208">
        <f t="shared" si="4"/>
        <v>341600</v>
      </c>
    </row>
    <row r="35" spans="1:21" x14ac:dyDescent="0.25">
      <c r="A35" s="240" t="s">
        <v>321</v>
      </c>
      <c r="B35" s="42">
        <v>1</v>
      </c>
      <c r="F35" s="211" t="s">
        <v>329</v>
      </c>
      <c r="G35">
        <v>39</v>
      </c>
      <c r="H35">
        <v>26</v>
      </c>
      <c r="I35" s="121">
        <v>20.100000000000001</v>
      </c>
      <c r="J35" s="124">
        <v>3</v>
      </c>
      <c r="K35" s="76">
        <v>888</v>
      </c>
      <c r="L35" s="76">
        <v>213180</v>
      </c>
      <c r="M35" s="143">
        <v>3</v>
      </c>
      <c r="N35" s="76">
        <v>235000</v>
      </c>
      <c r="O35" s="76">
        <f t="shared" si="0"/>
        <v>448180</v>
      </c>
      <c r="P35" s="151">
        <v>5</v>
      </c>
      <c r="Q35" s="208">
        <f t="shared" si="1"/>
        <v>89636</v>
      </c>
      <c r="R35" s="76">
        <v>1600000</v>
      </c>
      <c r="S35" s="76">
        <f t="shared" si="2"/>
        <v>1813180</v>
      </c>
      <c r="T35" s="152">
        <f t="shared" si="3"/>
        <v>5</v>
      </c>
      <c r="U35" s="208">
        <f t="shared" si="4"/>
        <v>362636</v>
      </c>
    </row>
    <row r="36" spans="1:21" x14ac:dyDescent="0.25">
      <c r="F36" s="211" t="s">
        <v>398</v>
      </c>
      <c r="G36">
        <v>40</v>
      </c>
      <c r="H36">
        <v>31</v>
      </c>
      <c r="I36" s="121">
        <v>18.7</v>
      </c>
      <c r="J36" s="124">
        <v>3</v>
      </c>
      <c r="K36" s="76">
        <v>432</v>
      </c>
      <c r="L36" s="76">
        <v>75480</v>
      </c>
      <c r="M36" s="143">
        <v>3</v>
      </c>
      <c r="N36" s="153">
        <v>257000</v>
      </c>
      <c r="O36" s="76">
        <f>L36+N36</f>
        <v>332480</v>
      </c>
      <c r="P36" s="151">
        <v>5</v>
      </c>
      <c r="Q36" s="208">
        <f>O36/P36</f>
        <v>66496</v>
      </c>
      <c r="R36" s="76">
        <v>1810000</v>
      </c>
      <c r="S36" s="76">
        <f>R36+L36</f>
        <v>1885480</v>
      </c>
      <c r="T36" s="152">
        <f>P36</f>
        <v>5</v>
      </c>
      <c r="U36" s="208">
        <f>S36/T36</f>
        <v>377096</v>
      </c>
    </row>
    <row r="37" spans="1:21" x14ac:dyDescent="0.25">
      <c r="F37" s="211" t="s">
        <v>391</v>
      </c>
      <c r="G37">
        <v>39</v>
      </c>
      <c r="H37">
        <v>27</v>
      </c>
      <c r="I37" s="121">
        <v>19.8</v>
      </c>
      <c r="J37" s="124">
        <v>3</v>
      </c>
      <c r="K37" s="76">
        <v>552</v>
      </c>
      <c r="L37" s="76">
        <v>230520</v>
      </c>
      <c r="M37" s="143">
        <v>3</v>
      </c>
      <c r="N37" s="76">
        <v>240000</v>
      </c>
      <c r="O37" s="76">
        <f t="shared" si="0"/>
        <v>470520</v>
      </c>
      <c r="P37" s="151">
        <v>5</v>
      </c>
      <c r="Q37" s="208">
        <f t="shared" si="1"/>
        <v>94104</v>
      </c>
      <c r="R37" s="76">
        <v>1700000</v>
      </c>
      <c r="S37" s="76">
        <f t="shared" si="2"/>
        <v>1930520</v>
      </c>
      <c r="T37" s="152">
        <f t="shared" si="3"/>
        <v>5</v>
      </c>
      <c r="U37" s="208">
        <f t="shared" si="4"/>
        <v>386104</v>
      </c>
    </row>
    <row r="38" spans="1:21" x14ac:dyDescent="0.25">
      <c r="F38" s="211" t="s">
        <v>325</v>
      </c>
      <c r="G38">
        <v>38</v>
      </c>
      <c r="H38">
        <v>39</v>
      </c>
      <c r="I38" s="121">
        <v>18.8</v>
      </c>
      <c r="J38" s="124">
        <v>3</v>
      </c>
      <c r="K38" s="76">
        <v>864</v>
      </c>
      <c r="L38" s="76">
        <v>235620</v>
      </c>
      <c r="M38" s="143">
        <v>3</v>
      </c>
      <c r="N38" s="76">
        <v>255000</v>
      </c>
      <c r="O38" s="76">
        <f t="shared" si="0"/>
        <v>490620</v>
      </c>
      <c r="P38" s="151">
        <v>5</v>
      </c>
      <c r="Q38" s="208">
        <f t="shared" si="1"/>
        <v>98124</v>
      </c>
      <c r="R38" s="76">
        <v>1795000</v>
      </c>
      <c r="S38" s="76">
        <f t="shared" si="2"/>
        <v>2030620</v>
      </c>
      <c r="T38" s="152">
        <f t="shared" si="3"/>
        <v>5</v>
      </c>
      <c r="U38" s="208">
        <f t="shared" si="4"/>
        <v>406124</v>
      </c>
    </row>
    <row r="39" spans="1:21" x14ac:dyDescent="0.25">
      <c r="F39" s="211" t="s">
        <v>382</v>
      </c>
      <c r="G39">
        <v>41</v>
      </c>
      <c r="H39">
        <v>100</v>
      </c>
      <c r="I39" s="121">
        <v>16.3</v>
      </c>
      <c r="J39" s="124">
        <v>3</v>
      </c>
      <c r="K39" s="76">
        <v>444</v>
      </c>
      <c r="L39" s="76">
        <v>32000</v>
      </c>
      <c r="M39" s="143">
        <v>3</v>
      </c>
      <c r="N39" s="76">
        <v>289000</v>
      </c>
      <c r="O39" s="76">
        <f t="shared" ref="O39:O65" si="6">L39+N39</f>
        <v>321000</v>
      </c>
      <c r="P39" s="151">
        <v>5</v>
      </c>
      <c r="Q39" s="208">
        <f t="shared" ref="Q39:Q65" si="7">O39/P39</f>
        <v>64200</v>
      </c>
      <c r="R39" s="76">
        <v>2015000</v>
      </c>
      <c r="S39" s="76">
        <f t="shared" ref="S39:S65" si="8">R39+L39</f>
        <v>2047000</v>
      </c>
      <c r="T39" s="152">
        <f t="shared" ref="T39:T65" si="9">P39</f>
        <v>5</v>
      </c>
      <c r="U39" s="208">
        <f t="shared" ref="U39:U65" si="10">S39/T39</f>
        <v>409400</v>
      </c>
    </row>
    <row r="40" spans="1:21" x14ac:dyDescent="0.25">
      <c r="F40" s="211" t="s">
        <v>383</v>
      </c>
      <c r="G40">
        <v>39</v>
      </c>
      <c r="H40">
        <v>66</v>
      </c>
      <c r="I40" s="121">
        <v>16.7</v>
      </c>
      <c r="J40" s="124">
        <v>3</v>
      </c>
      <c r="K40" s="76">
        <v>492</v>
      </c>
      <c r="L40" s="76">
        <v>51000</v>
      </c>
      <c r="M40" s="143">
        <v>3</v>
      </c>
      <c r="N40" s="153">
        <v>284000</v>
      </c>
      <c r="O40" s="76">
        <f t="shared" si="6"/>
        <v>335000</v>
      </c>
      <c r="P40" s="151">
        <v>5</v>
      </c>
      <c r="Q40" s="208">
        <f t="shared" si="7"/>
        <v>67000</v>
      </c>
      <c r="R40" s="76">
        <v>2000000</v>
      </c>
      <c r="S40" s="76">
        <f t="shared" si="8"/>
        <v>2051000</v>
      </c>
      <c r="T40" s="152">
        <f t="shared" si="9"/>
        <v>5</v>
      </c>
      <c r="U40" s="208">
        <f t="shared" si="10"/>
        <v>410200</v>
      </c>
    </row>
    <row r="41" spans="1:21" x14ac:dyDescent="0.25">
      <c r="F41" s="209" t="s">
        <v>328</v>
      </c>
      <c r="G41">
        <v>39</v>
      </c>
      <c r="H41">
        <v>103</v>
      </c>
      <c r="I41" s="121">
        <v>16.7</v>
      </c>
      <c r="J41" s="124">
        <v>3</v>
      </c>
      <c r="K41" s="76">
        <v>972</v>
      </c>
      <c r="L41" s="76">
        <v>242500</v>
      </c>
      <c r="M41" s="143">
        <v>3</v>
      </c>
      <c r="N41" s="76">
        <v>285000</v>
      </c>
      <c r="O41" s="76">
        <f t="shared" si="6"/>
        <v>527500</v>
      </c>
      <c r="P41" s="151">
        <v>5</v>
      </c>
      <c r="Q41" s="208">
        <f t="shared" si="7"/>
        <v>105500</v>
      </c>
      <c r="R41" s="76">
        <v>2000000</v>
      </c>
      <c r="S41" s="76">
        <f t="shared" si="8"/>
        <v>2242500</v>
      </c>
      <c r="T41" s="152">
        <f t="shared" si="9"/>
        <v>5</v>
      </c>
      <c r="U41" s="208">
        <f t="shared" si="10"/>
        <v>448500</v>
      </c>
    </row>
    <row r="42" spans="1:21" x14ac:dyDescent="0.25">
      <c r="F42" s="211" t="s">
        <v>393</v>
      </c>
      <c r="G42">
        <v>35</v>
      </c>
      <c r="H42">
        <v>58</v>
      </c>
      <c r="I42" s="121">
        <v>18.8</v>
      </c>
      <c r="J42" s="124">
        <v>3</v>
      </c>
      <c r="K42" s="76">
        <v>9432</v>
      </c>
      <c r="L42" s="76">
        <v>955800</v>
      </c>
      <c r="M42" s="143">
        <v>3</v>
      </c>
      <c r="N42" s="153">
        <v>255000</v>
      </c>
      <c r="O42" s="76">
        <f>L42+N42</f>
        <v>1210800</v>
      </c>
      <c r="P42" s="151">
        <v>5</v>
      </c>
      <c r="Q42" s="208">
        <f>O42/P42</f>
        <v>242160</v>
      </c>
      <c r="R42" s="76">
        <v>1800000</v>
      </c>
      <c r="S42" s="76">
        <f>R42+L42</f>
        <v>2755800</v>
      </c>
      <c r="T42" s="152">
        <f>P42</f>
        <v>5</v>
      </c>
      <c r="U42" s="208">
        <f>S42/T42</f>
        <v>551160</v>
      </c>
    </row>
    <row r="43" spans="1:21" x14ac:dyDescent="0.25">
      <c r="F43" s="211" t="s">
        <v>390</v>
      </c>
      <c r="G43">
        <v>36</v>
      </c>
      <c r="H43">
        <v>51</v>
      </c>
      <c r="I43" s="121">
        <v>16.8</v>
      </c>
      <c r="J43" s="124">
        <v>3</v>
      </c>
      <c r="K43" s="76">
        <v>1836</v>
      </c>
      <c r="L43" s="76">
        <v>796620</v>
      </c>
      <c r="M43" s="143">
        <v>3</v>
      </c>
      <c r="N43" s="76">
        <v>284000</v>
      </c>
      <c r="O43" s="76">
        <f t="shared" si="6"/>
        <v>1080620</v>
      </c>
      <c r="P43" s="151">
        <v>5</v>
      </c>
      <c r="Q43" s="208">
        <f t="shared" si="7"/>
        <v>216124</v>
      </c>
      <c r="R43" s="76">
        <v>2000000</v>
      </c>
      <c r="S43" s="76">
        <f t="shared" si="8"/>
        <v>2796620</v>
      </c>
      <c r="T43" s="152">
        <f t="shared" si="9"/>
        <v>5</v>
      </c>
      <c r="U43" s="208">
        <f t="shared" si="10"/>
        <v>559324</v>
      </c>
    </row>
    <row r="44" spans="1:21" x14ac:dyDescent="0.25">
      <c r="F44" s="209" t="s">
        <v>330</v>
      </c>
      <c r="G44">
        <v>40</v>
      </c>
      <c r="H44">
        <v>0</v>
      </c>
      <c r="I44" s="121">
        <v>35.5</v>
      </c>
      <c r="J44" s="124">
        <v>2</v>
      </c>
      <c r="K44" s="76">
        <v>420</v>
      </c>
      <c r="L44" s="76">
        <v>102000</v>
      </c>
      <c r="M44" s="143">
        <v>3</v>
      </c>
      <c r="N44" s="76">
        <v>150000</v>
      </c>
      <c r="O44" s="76">
        <f t="shared" si="6"/>
        <v>252000</v>
      </c>
      <c r="P44" s="151">
        <v>3.5</v>
      </c>
      <c r="Q44" s="208">
        <f t="shared" si="7"/>
        <v>72000</v>
      </c>
      <c r="R44" s="76">
        <v>1000000</v>
      </c>
      <c r="S44" s="76">
        <f t="shared" si="8"/>
        <v>1102000</v>
      </c>
      <c r="T44" s="152">
        <f t="shared" si="9"/>
        <v>3.5</v>
      </c>
      <c r="U44" s="208">
        <f t="shared" si="10"/>
        <v>314857.14285714284</v>
      </c>
    </row>
    <row r="45" spans="1:21" x14ac:dyDescent="0.25">
      <c r="F45" s="211" t="s">
        <v>335</v>
      </c>
      <c r="G45">
        <v>57</v>
      </c>
      <c r="H45">
        <v>111</v>
      </c>
      <c r="I45" s="121">
        <v>33.5</v>
      </c>
      <c r="J45" s="124">
        <v>2</v>
      </c>
      <c r="K45" s="76">
        <v>300</v>
      </c>
      <c r="L45" s="76">
        <v>240000</v>
      </c>
      <c r="M45" s="143">
        <v>3</v>
      </c>
      <c r="N45" s="76">
        <v>165000</v>
      </c>
      <c r="O45" s="76">
        <f t="shared" si="6"/>
        <v>405000</v>
      </c>
      <c r="P45" s="151">
        <v>3.5</v>
      </c>
      <c r="Q45" s="208">
        <f t="shared" si="7"/>
        <v>115714.28571428571</v>
      </c>
      <c r="R45" s="76">
        <v>1150000</v>
      </c>
      <c r="S45" s="76">
        <f t="shared" si="8"/>
        <v>1390000</v>
      </c>
      <c r="T45" s="152">
        <f t="shared" si="9"/>
        <v>3.5</v>
      </c>
      <c r="U45" s="208">
        <f t="shared" si="10"/>
        <v>397142.85714285716</v>
      </c>
    </row>
    <row r="46" spans="1:21" x14ac:dyDescent="0.25">
      <c r="F46" s="209" t="s">
        <v>332</v>
      </c>
      <c r="G46">
        <v>42</v>
      </c>
      <c r="H46">
        <v>4</v>
      </c>
      <c r="I46" s="121">
        <v>23.5</v>
      </c>
      <c r="J46" s="124">
        <v>2</v>
      </c>
      <c r="K46" s="76">
        <f>250*1.2</f>
        <v>300</v>
      </c>
      <c r="L46" s="76">
        <v>41000</v>
      </c>
      <c r="M46" s="143">
        <v>3</v>
      </c>
      <c r="N46" s="76">
        <v>210000</v>
      </c>
      <c r="O46" s="76">
        <f t="shared" si="6"/>
        <v>251000</v>
      </c>
      <c r="P46" s="151">
        <v>3.5</v>
      </c>
      <c r="Q46" s="208">
        <f t="shared" si="7"/>
        <v>71714.28571428571</v>
      </c>
      <c r="R46" s="76">
        <v>1500000</v>
      </c>
      <c r="S46" s="76">
        <f t="shared" si="8"/>
        <v>1541000</v>
      </c>
      <c r="T46" s="152">
        <f t="shared" si="9"/>
        <v>3.5</v>
      </c>
      <c r="U46" s="208">
        <f t="shared" si="10"/>
        <v>440285.71428571426</v>
      </c>
    </row>
    <row r="47" spans="1:21" x14ac:dyDescent="0.25">
      <c r="F47" s="209" t="s">
        <v>334</v>
      </c>
      <c r="G47">
        <v>46</v>
      </c>
      <c r="H47">
        <v>23</v>
      </c>
      <c r="I47" s="121">
        <v>25.2</v>
      </c>
      <c r="J47" s="124">
        <v>2</v>
      </c>
      <c r="K47" s="76">
        <v>300</v>
      </c>
      <c r="L47" s="76">
        <v>120000</v>
      </c>
      <c r="M47" s="143">
        <v>3</v>
      </c>
      <c r="N47" s="76">
        <v>202000</v>
      </c>
      <c r="O47" s="76">
        <f t="shared" si="6"/>
        <v>322000</v>
      </c>
      <c r="P47" s="151">
        <v>3.5</v>
      </c>
      <c r="Q47" s="208">
        <f t="shared" si="7"/>
        <v>92000</v>
      </c>
      <c r="R47" s="76">
        <v>1465000</v>
      </c>
      <c r="S47" s="76">
        <f t="shared" si="8"/>
        <v>1585000</v>
      </c>
      <c r="T47" s="152">
        <f t="shared" si="9"/>
        <v>3.5</v>
      </c>
      <c r="U47" s="208">
        <f t="shared" si="10"/>
        <v>452857.14285714284</v>
      </c>
    </row>
    <row r="48" spans="1:21" x14ac:dyDescent="0.25">
      <c r="F48" s="211" t="s">
        <v>366</v>
      </c>
      <c r="G48">
        <v>49</v>
      </c>
      <c r="H48">
        <v>63</v>
      </c>
      <c r="I48" s="121">
        <v>29</v>
      </c>
      <c r="J48" s="124">
        <v>2</v>
      </c>
      <c r="K48" s="76">
        <v>300</v>
      </c>
      <c r="L48" s="76">
        <v>301000</v>
      </c>
      <c r="M48" s="143">
        <v>3</v>
      </c>
      <c r="N48" s="76">
        <v>175000</v>
      </c>
      <c r="O48" s="76">
        <f t="shared" si="6"/>
        <v>476000</v>
      </c>
      <c r="P48" s="151">
        <v>3.5</v>
      </c>
      <c r="Q48" s="208">
        <f t="shared" si="7"/>
        <v>136000</v>
      </c>
      <c r="R48" s="76">
        <v>1350000</v>
      </c>
      <c r="S48" s="76">
        <f t="shared" si="8"/>
        <v>1651000</v>
      </c>
      <c r="T48" s="152">
        <f t="shared" si="9"/>
        <v>3.5</v>
      </c>
      <c r="U48" s="208">
        <f t="shared" si="10"/>
        <v>471714.28571428574</v>
      </c>
    </row>
    <row r="49" spans="1:21" x14ac:dyDescent="0.25">
      <c r="F49" s="211" t="s">
        <v>337</v>
      </c>
      <c r="G49">
        <v>41</v>
      </c>
      <c r="H49">
        <v>41</v>
      </c>
      <c r="I49" s="121">
        <v>20.100000000000001</v>
      </c>
      <c r="J49" s="124">
        <v>2</v>
      </c>
      <c r="K49" s="76">
        <v>480</v>
      </c>
      <c r="L49" s="76">
        <v>109000</v>
      </c>
      <c r="M49" s="143">
        <v>3</v>
      </c>
      <c r="N49" s="76">
        <v>235000</v>
      </c>
      <c r="O49" s="76">
        <f t="shared" si="6"/>
        <v>344000</v>
      </c>
      <c r="P49" s="151">
        <v>3.5</v>
      </c>
      <c r="Q49" s="208">
        <f t="shared" si="7"/>
        <v>98285.71428571429</v>
      </c>
      <c r="R49" s="76">
        <v>1600000</v>
      </c>
      <c r="S49" s="76">
        <f t="shared" si="8"/>
        <v>1709000</v>
      </c>
      <c r="T49" s="152">
        <f t="shared" si="9"/>
        <v>3.5</v>
      </c>
      <c r="U49" s="208">
        <f t="shared" si="10"/>
        <v>488285.71428571426</v>
      </c>
    </row>
    <row r="50" spans="1:21" x14ac:dyDescent="0.25">
      <c r="A50" s="33"/>
      <c r="F50" s="211" t="s">
        <v>369</v>
      </c>
      <c r="G50">
        <v>36</v>
      </c>
      <c r="H50">
        <v>12</v>
      </c>
      <c r="I50" s="121">
        <v>25.9</v>
      </c>
      <c r="J50" s="124">
        <v>2</v>
      </c>
      <c r="K50" s="76">
        <v>4632</v>
      </c>
      <c r="L50" s="76">
        <v>435000</v>
      </c>
      <c r="M50" s="143">
        <v>4</v>
      </c>
      <c r="N50" s="76">
        <v>200000</v>
      </c>
      <c r="O50" s="76">
        <f t="shared" si="6"/>
        <v>635000</v>
      </c>
      <c r="P50" s="151">
        <v>3.5</v>
      </c>
      <c r="Q50" s="208">
        <f t="shared" si="7"/>
        <v>181428.57142857142</v>
      </c>
      <c r="R50" s="76">
        <v>1450000</v>
      </c>
      <c r="S50" s="76">
        <f t="shared" si="8"/>
        <v>1885000</v>
      </c>
      <c r="T50" s="152">
        <f t="shared" si="9"/>
        <v>3.5</v>
      </c>
      <c r="U50" s="208">
        <f t="shared" si="10"/>
        <v>538571.42857142852</v>
      </c>
    </row>
    <row r="51" spans="1:21" x14ac:dyDescent="0.25">
      <c r="A51" s="33"/>
      <c r="F51" s="211" t="s">
        <v>372</v>
      </c>
      <c r="G51">
        <v>36</v>
      </c>
      <c r="H51">
        <v>108</v>
      </c>
      <c r="I51" s="121">
        <v>30.1</v>
      </c>
      <c r="J51" s="124">
        <v>2</v>
      </c>
      <c r="K51" s="76">
        <v>8448</v>
      </c>
      <c r="L51" s="76">
        <v>638000</v>
      </c>
      <c r="M51" s="143">
        <v>4</v>
      </c>
      <c r="N51" s="76">
        <v>170000</v>
      </c>
      <c r="O51" s="76">
        <f t="shared" si="6"/>
        <v>808000</v>
      </c>
      <c r="P51" s="151">
        <v>3.5</v>
      </c>
      <c r="Q51" s="208">
        <f t="shared" si="7"/>
        <v>230857.14285714287</v>
      </c>
      <c r="R51" s="76">
        <v>1300000</v>
      </c>
      <c r="S51" s="76">
        <f t="shared" si="8"/>
        <v>1938000</v>
      </c>
      <c r="T51" s="152">
        <f t="shared" si="9"/>
        <v>3.5</v>
      </c>
      <c r="U51" s="208">
        <f t="shared" si="10"/>
        <v>553714.28571428568</v>
      </c>
    </row>
    <row r="52" spans="1:21" x14ac:dyDescent="0.25">
      <c r="A52" s="33"/>
      <c r="F52" s="211" t="s">
        <v>333</v>
      </c>
      <c r="G52">
        <v>39</v>
      </c>
      <c r="H52">
        <v>5</v>
      </c>
      <c r="I52" s="121">
        <v>25.9</v>
      </c>
      <c r="J52" s="124">
        <v>1</v>
      </c>
      <c r="K52" s="76">
        <v>636</v>
      </c>
      <c r="L52" s="76">
        <v>60000</v>
      </c>
      <c r="M52" s="143">
        <v>3</v>
      </c>
      <c r="N52" s="76">
        <v>200000</v>
      </c>
      <c r="O52" s="76">
        <f t="shared" si="6"/>
        <v>260000</v>
      </c>
      <c r="P52" s="151">
        <v>2</v>
      </c>
      <c r="Q52" s="208">
        <f t="shared" si="7"/>
        <v>130000</v>
      </c>
      <c r="R52" s="76">
        <v>1450000</v>
      </c>
      <c r="S52" s="76">
        <f t="shared" si="8"/>
        <v>1510000</v>
      </c>
      <c r="T52" s="152">
        <f t="shared" si="9"/>
        <v>2</v>
      </c>
      <c r="U52" s="208">
        <f t="shared" si="10"/>
        <v>755000</v>
      </c>
    </row>
    <row r="53" spans="1:21" x14ac:dyDescent="0.25">
      <c r="I53" s="121">
        <v>0</v>
      </c>
      <c r="J53" s="124">
        <v>0</v>
      </c>
      <c r="K53" s="76"/>
      <c r="L53" s="76"/>
      <c r="M53" s="143">
        <v>3</v>
      </c>
      <c r="N53" s="76"/>
      <c r="O53" s="76">
        <f t="shared" si="6"/>
        <v>0</v>
      </c>
      <c r="P53" s="151">
        <v>9</v>
      </c>
      <c r="Q53" s="208">
        <f t="shared" si="7"/>
        <v>0</v>
      </c>
      <c r="R53" s="76"/>
      <c r="S53" s="76">
        <f t="shared" si="8"/>
        <v>0</v>
      </c>
      <c r="T53" s="152">
        <f t="shared" si="9"/>
        <v>9</v>
      </c>
      <c r="U53" s="208">
        <f t="shared" si="10"/>
        <v>0</v>
      </c>
    </row>
    <row r="54" spans="1:21" x14ac:dyDescent="0.25">
      <c r="I54" s="121">
        <v>0</v>
      </c>
      <c r="J54" s="124">
        <v>0</v>
      </c>
      <c r="K54" s="76"/>
      <c r="L54" s="76"/>
      <c r="M54" s="143">
        <v>3</v>
      </c>
      <c r="N54" s="76"/>
      <c r="O54" s="76">
        <f t="shared" si="6"/>
        <v>0</v>
      </c>
      <c r="P54" s="151">
        <v>9</v>
      </c>
      <c r="Q54" s="208">
        <f t="shared" si="7"/>
        <v>0</v>
      </c>
      <c r="R54" s="76"/>
      <c r="S54" s="76">
        <f t="shared" si="8"/>
        <v>0</v>
      </c>
      <c r="T54" s="152">
        <f t="shared" si="9"/>
        <v>9</v>
      </c>
      <c r="U54" s="208">
        <f t="shared" si="10"/>
        <v>0</v>
      </c>
    </row>
    <row r="55" spans="1:21" x14ac:dyDescent="0.25">
      <c r="I55" s="121">
        <v>0</v>
      </c>
      <c r="J55" s="124">
        <v>0</v>
      </c>
      <c r="K55" s="76"/>
      <c r="L55" s="76"/>
      <c r="M55" s="143">
        <v>3</v>
      </c>
      <c r="N55" s="76"/>
      <c r="O55" s="76">
        <f t="shared" si="6"/>
        <v>0</v>
      </c>
      <c r="P55" s="151">
        <v>9</v>
      </c>
      <c r="Q55" s="208">
        <f t="shared" si="7"/>
        <v>0</v>
      </c>
      <c r="R55" s="76"/>
      <c r="S55" s="76">
        <f t="shared" si="8"/>
        <v>0</v>
      </c>
      <c r="T55" s="152">
        <f t="shared" si="9"/>
        <v>9</v>
      </c>
      <c r="U55" s="208">
        <f t="shared" si="10"/>
        <v>0</v>
      </c>
    </row>
    <row r="56" spans="1:21" x14ac:dyDescent="0.25">
      <c r="I56" s="121">
        <v>0</v>
      </c>
      <c r="J56" s="124">
        <v>0</v>
      </c>
      <c r="K56" s="76"/>
      <c r="L56" s="76"/>
      <c r="M56" s="143">
        <v>3</v>
      </c>
      <c r="N56" s="76"/>
      <c r="O56" s="76">
        <f t="shared" si="6"/>
        <v>0</v>
      </c>
      <c r="P56" s="151">
        <v>9</v>
      </c>
      <c r="Q56" s="208">
        <f t="shared" si="7"/>
        <v>0</v>
      </c>
      <c r="R56" s="76"/>
      <c r="S56" s="76">
        <f t="shared" si="8"/>
        <v>0</v>
      </c>
      <c r="T56" s="152">
        <f t="shared" si="9"/>
        <v>9</v>
      </c>
      <c r="U56" s="208">
        <f t="shared" si="10"/>
        <v>0</v>
      </c>
    </row>
    <row r="57" spans="1:21" x14ac:dyDescent="0.25">
      <c r="A57" s="33"/>
      <c r="I57" s="121">
        <v>0</v>
      </c>
      <c r="J57" s="124">
        <v>0</v>
      </c>
      <c r="K57" s="76"/>
      <c r="L57" s="76"/>
      <c r="M57" s="143">
        <v>3</v>
      </c>
      <c r="N57" s="153"/>
      <c r="O57" s="76">
        <f t="shared" si="6"/>
        <v>0</v>
      </c>
      <c r="P57" s="151">
        <v>9</v>
      </c>
      <c r="Q57" s="208">
        <f t="shared" si="7"/>
        <v>0</v>
      </c>
      <c r="R57" s="76"/>
      <c r="S57" s="76">
        <f t="shared" si="8"/>
        <v>0</v>
      </c>
      <c r="T57" s="152">
        <f t="shared" si="9"/>
        <v>9</v>
      </c>
      <c r="U57" s="208">
        <f t="shared" si="10"/>
        <v>0</v>
      </c>
    </row>
    <row r="58" spans="1:21" x14ac:dyDescent="0.25">
      <c r="A58" s="33"/>
      <c r="I58" s="121">
        <v>0</v>
      </c>
      <c r="J58" s="124">
        <v>0</v>
      </c>
      <c r="K58" s="76"/>
      <c r="L58" s="76"/>
      <c r="M58" s="143">
        <v>3</v>
      </c>
      <c r="N58" s="76"/>
      <c r="O58" s="76">
        <f t="shared" si="6"/>
        <v>0</v>
      </c>
      <c r="P58" s="151">
        <v>9</v>
      </c>
      <c r="Q58" s="208">
        <f t="shared" si="7"/>
        <v>0</v>
      </c>
      <c r="R58" s="76"/>
      <c r="S58" s="76">
        <f t="shared" si="8"/>
        <v>0</v>
      </c>
      <c r="T58" s="152">
        <f t="shared" si="9"/>
        <v>9</v>
      </c>
      <c r="U58" s="208">
        <f t="shared" si="10"/>
        <v>0</v>
      </c>
    </row>
    <row r="59" spans="1:21" x14ac:dyDescent="0.25">
      <c r="A59" s="33"/>
      <c r="I59" s="121">
        <v>0</v>
      </c>
      <c r="J59" s="124">
        <v>0</v>
      </c>
      <c r="K59" s="76"/>
      <c r="L59" s="76"/>
      <c r="M59" s="143">
        <v>3</v>
      </c>
      <c r="N59" s="76"/>
      <c r="O59" s="76">
        <f t="shared" si="6"/>
        <v>0</v>
      </c>
      <c r="P59" s="151">
        <v>9</v>
      </c>
      <c r="Q59" s="208">
        <f t="shared" si="7"/>
        <v>0</v>
      </c>
      <c r="R59" s="76"/>
      <c r="S59" s="76">
        <f t="shared" si="8"/>
        <v>0</v>
      </c>
      <c r="T59" s="152">
        <f t="shared" si="9"/>
        <v>9</v>
      </c>
      <c r="U59" s="208">
        <f t="shared" si="10"/>
        <v>0</v>
      </c>
    </row>
    <row r="60" spans="1:21" x14ac:dyDescent="0.25">
      <c r="I60" s="121">
        <v>0</v>
      </c>
      <c r="J60" s="124">
        <v>0</v>
      </c>
      <c r="K60" s="76"/>
      <c r="L60" s="76"/>
      <c r="M60" s="143">
        <v>3</v>
      </c>
      <c r="N60" s="76"/>
      <c r="O60" s="76">
        <f t="shared" si="6"/>
        <v>0</v>
      </c>
      <c r="P60" s="151">
        <v>9</v>
      </c>
      <c r="Q60" s="208">
        <f t="shared" si="7"/>
        <v>0</v>
      </c>
      <c r="R60" s="76"/>
      <c r="S60" s="76">
        <f t="shared" si="8"/>
        <v>0</v>
      </c>
      <c r="T60" s="152">
        <f t="shared" si="9"/>
        <v>9</v>
      </c>
      <c r="U60" s="208">
        <f t="shared" si="10"/>
        <v>0</v>
      </c>
    </row>
    <row r="61" spans="1:21" x14ac:dyDescent="0.25">
      <c r="I61" s="121">
        <v>0</v>
      </c>
      <c r="J61" s="124">
        <v>0</v>
      </c>
      <c r="K61" s="76"/>
      <c r="L61" s="76"/>
      <c r="M61" s="143">
        <v>3</v>
      </c>
      <c r="N61" s="76"/>
      <c r="O61" s="76">
        <f t="shared" si="6"/>
        <v>0</v>
      </c>
      <c r="P61" s="151">
        <v>9</v>
      </c>
      <c r="Q61" s="208">
        <f t="shared" si="7"/>
        <v>0</v>
      </c>
      <c r="R61" s="76"/>
      <c r="S61" s="76">
        <f t="shared" si="8"/>
        <v>0</v>
      </c>
      <c r="T61" s="152">
        <f t="shared" si="9"/>
        <v>9</v>
      </c>
      <c r="U61" s="208">
        <f t="shared" si="10"/>
        <v>0</v>
      </c>
    </row>
    <row r="62" spans="1:21" x14ac:dyDescent="0.25">
      <c r="I62" s="121">
        <v>0</v>
      </c>
      <c r="J62" s="124">
        <v>0</v>
      </c>
      <c r="K62" s="76"/>
      <c r="L62" s="76"/>
      <c r="M62" s="143">
        <v>3</v>
      </c>
      <c r="N62" s="153"/>
      <c r="O62" s="76">
        <f t="shared" si="6"/>
        <v>0</v>
      </c>
      <c r="P62" s="151">
        <v>9</v>
      </c>
      <c r="Q62" s="208">
        <f t="shared" si="7"/>
        <v>0</v>
      </c>
      <c r="R62" s="76"/>
      <c r="S62" s="76">
        <f t="shared" si="8"/>
        <v>0</v>
      </c>
      <c r="T62" s="152">
        <f t="shared" si="9"/>
        <v>9</v>
      </c>
      <c r="U62" s="208">
        <f t="shared" si="10"/>
        <v>0</v>
      </c>
    </row>
    <row r="63" spans="1:21" x14ac:dyDescent="0.25">
      <c r="I63" s="121">
        <v>0</v>
      </c>
      <c r="J63" s="124">
        <v>0</v>
      </c>
      <c r="K63" s="76"/>
      <c r="L63" s="76"/>
      <c r="M63" s="143">
        <v>3</v>
      </c>
      <c r="N63" s="76"/>
      <c r="O63" s="76">
        <f t="shared" si="6"/>
        <v>0</v>
      </c>
      <c r="P63" s="151">
        <v>9</v>
      </c>
      <c r="Q63" s="208">
        <f t="shared" si="7"/>
        <v>0</v>
      </c>
      <c r="R63" s="76"/>
      <c r="S63" s="76">
        <f t="shared" si="8"/>
        <v>0</v>
      </c>
      <c r="T63" s="152">
        <f t="shared" si="9"/>
        <v>9</v>
      </c>
      <c r="U63" s="208">
        <f t="shared" si="10"/>
        <v>0</v>
      </c>
    </row>
    <row r="64" spans="1:21" x14ac:dyDescent="0.25">
      <c r="I64" s="121">
        <v>0</v>
      </c>
      <c r="J64" s="124">
        <v>0</v>
      </c>
      <c r="K64" s="76"/>
      <c r="L64" s="76"/>
      <c r="M64" s="143">
        <v>3</v>
      </c>
      <c r="N64" s="76"/>
      <c r="O64" s="76">
        <f t="shared" si="6"/>
        <v>0</v>
      </c>
      <c r="P64" s="151">
        <v>9</v>
      </c>
      <c r="Q64" s="208">
        <f t="shared" si="7"/>
        <v>0</v>
      </c>
      <c r="R64" s="76"/>
      <c r="S64" s="76">
        <f t="shared" si="8"/>
        <v>0</v>
      </c>
      <c r="T64" s="152">
        <f t="shared" si="9"/>
        <v>9</v>
      </c>
      <c r="U64" s="208">
        <f t="shared" si="10"/>
        <v>0</v>
      </c>
    </row>
    <row r="65" spans="9:21" x14ac:dyDescent="0.25">
      <c r="I65" s="121">
        <v>0</v>
      </c>
      <c r="J65" s="124">
        <v>0</v>
      </c>
      <c r="K65" s="76"/>
      <c r="L65" s="76"/>
      <c r="M65" s="143">
        <v>3</v>
      </c>
      <c r="N65" s="76"/>
      <c r="O65" s="76">
        <f t="shared" si="6"/>
        <v>0</v>
      </c>
      <c r="P65" s="151">
        <v>9</v>
      </c>
      <c r="Q65" s="208">
        <f t="shared" si="7"/>
        <v>0</v>
      </c>
      <c r="R65" s="76"/>
      <c r="S65" s="76">
        <f t="shared" si="8"/>
        <v>0</v>
      </c>
      <c r="T65" s="152">
        <f t="shared" si="9"/>
        <v>9</v>
      </c>
      <c r="U65" s="208">
        <f t="shared" si="10"/>
        <v>0</v>
      </c>
    </row>
    <row r="66" spans="9:21" x14ac:dyDescent="0.25">
      <c r="I66" s="121">
        <v>0</v>
      </c>
      <c r="J66" s="124">
        <v>0</v>
      </c>
      <c r="K66" s="76"/>
      <c r="L66" s="76"/>
      <c r="M66" s="143">
        <v>3</v>
      </c>
      <c r="N66" s="76"/>
      <c r="O66" s="76">
        <f t="shared" ref="O66:O97" si="11">L66+N66</f>
        <v>0</v>
      </c>
      <c r="P66" s="151">
        <v>9</v>
      </c>
      <c r="Q66" s="208">
        <f t="shared" ref="Q66:Q97" si="12">O66/P66</f>
        <v>0</v>
      </c>
      <c r="R66" s="76"/>
      <c r="S66" s="76">
        <f t="shared" ref="S66:S97" si="13">R66+L66</f>
        <v>0</v>
      </c>
      <c r="T66" s="152">
        <f t="shared" ref="T66:T97" si="14">P66</f>
        <v>9</v>
      </c>
      <c r="U66" s="208">
        <f t="shared" ref="U66:U97" si="15">S66/T66</f>
        <v>0</v>
      </c>
    </row>
    <row r="67" spans="9:21" x14ac:dyDescent="0.25">
      <c r="I67" s="121">
        <v>0</v>
      </c>
      <c r="J67" s="124">
        <v>0</v>
      </c>
      <c r="K67" s="76"/>
      <c r="L67" s="76"/>
      <c r="M67" s="143">
        <v>3</v>
      </c>
      <c r="N67" s="153"/>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76"/>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153"/>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76"/>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row r="77" spans="9:21" x14ac:dyDescent="0.25">
      <c r="I77" s="121">
        <v>0</v>
      </c>
      <c r="J77" s="124">
        <v>0</v>
      </c>
      <c r="K77" s="76"/>
      <c r="L77" s="76"/>
      <c r="M77" s="143">
        <v>3</v>
      </c>
      <c r="N77" s="153"/>
      <c r="O77" s="76">
        <f t="shared" si="11"/>
        <v>0</v>
      </c>
      <c r="P77" s="151">
        <v>9</v>
      </c>
      <c r="Q77" s="208">
        <f t="shared" si="12"/>
        <v>0</v>
      </c>
      <c r="R77" s="76"/>
      <c r="S77" s="76">
        <f t="shared" si="13"/>
        <v>0</v>
      </c>
      <c r="T77" s="152">
        <f t="shared" si="14"/>
        <v>9</v>
      </c>
      <c r="U77" s="208">
        <f t="shared" si="15"/>
        <v>0</v>
      </c>
    </row>
    <row r="78" spans="9:21" x14ac:dyDescent="0.25">
      <c r="I78" s="121">
        <v>0</v>
      </c>
      <c r="J78" s="124">
        <v>0</v>
      </c>
      <c r="K78" s="76"/>
      <c r="L78" s="76"/>
      <c r="M78" s="143">
        <v>3</v>
      </c>
      <c r="N78" s="76"/>
      <c r="O78" s="76">
        <f t="shared" si="11"/>
        <v>0</v>
      </c>
      <c r="P78" s="151">
        <v>9</v>
      </c>
      <c r="Q78" s="208">
        <f t="shared" si="12"/>
        <v>0</v>
      </c>
      <c r="R78" s="76"/>
      <c r="S78" s="76">
        <f t="shared" si="13"/>
        <v>0</v>
      </c>
      <c r="T78" s="152">
        <f t="shared" si="14"/>
        <v>9</v>
      </c>
      <c r="U78" s="208">
        <f t="shared" si="15"/>
        <v>0</v>
      </c>
    </row>
    <row r="79" spans="9:21" x14ac:dyDescent="0.25">
      <c r="I79" s="121">
        <v>0</v>
      </c>
      <c r="J79" s="124">
        <v>0</v>
      </c>
      <c r="K79" s="76"/>
      <c r="L79" s="76"/>
      <c r="M79" s="143">
        <v>3</v>
      </c>
      <c r="N79" s="76"/>
      <c r="O79" s="76">
        <f t="shared" si="11"/>
        <v>0</v>
      </c>
      <c r="P79" s="151">
        <v>9</v>
      </c>
      <c r="Q79" s="208">
        <f t="shared" si="12"/>
        <v>0</v>
      </c>
      <c r="R79" s="76"/>
      <c r="S79" s="76">
        <f t="shared" si="13"/>
        <v>0</v>
      </c>
      <c r="T79" s="152">
        <f t="shared" si="14"/>
        <v>9</v>
      </c>
      <c r="U79" s="208">
        <f t="shared" si="15"/>
        <v>0</v>
      </c>
    </row>
    <row r="80" spans="9:21" x14ac:dyDescent="0.25">
      <c r="I80" s="121">
        <v>0</v>
      </c>
      <c r="J80" s="124">
        <v>0</v>
      </c>
      <c r="K80" s="76"/>
      <c r="L80" s="76"/>
      <c r="M80" s="143">
        <v>3</v>
      </c>
      <c r="N80" s="76"/>
      <c r="O80" s="76">
        <f t="shared" si="11"/>
        <v>0</v>
      </c>
      <c r="P80" s="151">
        <v>9</v>
      </c>
      <c r="Q80" s="208">
        <f t="shared" si="12"/>
        <v>0</v>
      </c>
      <c r="R80" s="76"/>
      <c r="S80" s="76">
        <f t="shared" si="13"/>
        <v>0</v>
      </c>
      <c r="T80" s="152">
        <f t="shared" si="14"/>
        <v>9</v>
      </c>
      <c r="U80" s="208">
        <f t="shared" si="15"/>
        <v>0</v>
      </c>
    </row>
    <row r="81" spans="9:21" x14ac:dyDescent="0.25">
      <c r="I81" s="121">
        <v>0</v>
      </c>
      <c r="J81" s="124">
        <v>0</v>
      </c>
      <c r="K81" s="76"/>
      <c r="L81" s="76"/>
      <c r="M81" s="143">
        <v>3</v>
      </c>
      <c r="N81" s="76"/>
      <c r="O81" s="76">
        <f t="shared" si="11"/>
        <v>0</v>
      </c>
      <c r="P81" s="151">
        <v>9</v>
      </c>
      <c r="Q81" s="208">
        <f t="shared" si="12"/>
        <v>0</v>
      </c>
      <c r="R81" s="76"/>
      <c r="S81" s="76">
        <f t="shared" si="13"/>
        <v>0</v>
      </c>
      <c r="T81" s="152">
        <f t="shared" si="14"/>
        <v>9</v>
      </c>
      <c r="U81" s="208">
        <f t="shared" si="15"/>
        <v>0</v>
      </c>
    </row>
    <row r="82" spans="9:21" x14ac:dyDescent="0.25">
      <c r="I82" s="121">
        <v>0</v>
      </c>
      <c r="J82" s="124">
        <v>0</v>
      </c>
      <c r="K82" s="76"/>
      <c r="L82" s="76"/>
      <c r="M82" s="143">
        <v>3</v>
      </c>
      <c r="N82" s="153"/>
      <c r="O82" s="76">
        <f t="shared" si="11"/>
        <v>0</v>
      </c>
      <c r="P82" s="151">
        <v>9</v>
      </c>
      <c r="Q82" s="208">
        <f t="shared" si="12"/>
        <v>0</v>
      </c>
      <c r="R82" s="76"/>
      <c r="S82" s="76">
        <f t="shared" si="13"/>
        <v>0</v>
      </c>
      <c r="T82" s="152">
        <f t="shared" si="14"/>
        <v>9</v>
      </c>
      <c r="U82" s="208">
        <f t="shared" si="15"/>
        <v>0</v>
      </c>
    </row>
    <row r="83" spans="9:21" x14ac:dyDescent="0.25">
      <c r="I83" s="121">
        <v>0</v>
      </c>
      <c r="J83" s="124">
        <v>0</v>
      </c>
      <c r="K83" s="76"/>
      <c r="L83" s="76"/>
      <c r="M83" s="143">
        <v>3</v>
      </c>
      <c r="N83" s="76"/>
      <c r="O83" s="76">
        <f t="shared" si="11"/>
        <v>0</v>
      </c>
      <c r="P83" s="151">
        <v>9</v>
      </c>
      <c r="Q83" s="208">
        <f t="shared" si="12"/>
        <v>0</v>
      </c>
      <c r="R83" s="76"/>
      <c r="S83" s="76">
        <f t="shared" si="13"/>
        <v>0</v>
      </c>
      <c r="T83" s="152">
        <f t="shared" si="14"/>
        <v>9</v>
      </c>
      <c r="U83" s="208">
        <f t="shared" si="15"/>
        <v>0</v>
      </c>
    </row>
    <row r="84" spans="9:21" x14ac:dyDescent="0.25">
      <c r="I84" s="121">
        <v>0</v>
      </c>
      <c r="J84" s="124">
        <v>0</v>
      </c>
      <c r="K84" s="76"/>
      <c r="L84" s="76"/>
      <c r="M84" s="143">
        <v>3</v>
      </c>
      <c r="N84" s="76"/>
      <c r="O84" s="76">
        <f t="shared" si="11"/>
        <v>0</v>
      </c>
      <c r="P84" s="151">
        <v>9</v>
      </c>
      <c r="Q84" s="208">
        <f t="shared" si="12"/>
        <v>0</v>
      </c>
      <c r="R84" s="76"/>
      <c r="S84" s="76">
        <f t="shared" si="13"/>
        <v>0</v>
      </c>
      <c r="T84" s="152">
        <f t="shared" si="14"/>
        <v>9</v>
      </c>
      <c r="U84" s="208">
        <f t="shared" si="15"/>
        <v>0</v>
      </c>
    </row>
    <row r="85" spans="9:21" x14ac:dyDescent="0.25">
      <c r="I85" s="121">
        <v>0</v>
      </c>
      <c r="J85" s="124">
        <v>0</v>
      </c>
      <c r="K85" s="76"/>
      <c r="L85" s="76"/>
      <c r="M85" s="143">
        <v>3</v>
      </c>
      <c r="N85" s="76"/>
      <c r="O85" s="76">
        <f t="shared" si="11"/>
        <v>0</v>
      </c>
      <c r="P85" s="151">
        <v>9</v>
      </c>
      <c r="Q85" s="208">
        <f t="shared" si="12"/>
        <v>0</v>
      </c>
      <c r="R85" s="76"/>
      <c r="S85" s="76">
        <f t="shared" si="13"/>
        <v>0</v>
      </c>
      <c r="T85" s="152">
        <f t="shared" si="14"/>
        <v>9</v>
      </c>
      <c r="U85" s="208">
        <f t="shared" si="15"/>
        <v>0</v>
      </c>
    </row>
    <row r="86" spans="9:21" x14ac:dyDescent="0.25">
      <c r="I86" s="121">
        <v>0</v>
      </c>
      <c r="J86" s="124">
        <v>0</v>
      </c>
      <c r="K86" s="76"/>
      <c r="L86" s="76"/>
      <c r="M86" s="143">
        <v>3</v>
      </c>
      <c r="N86" s="76"/>
      <c r="O86" s="76">
        <f t="shared" si="11"/>
        <v>0</v>
      </c>
      <c r="P86" s="151">
        <v>9</v>
      </c>
      <c r="Q86" s="208">
        <f t="shared" si="12"/>
        <v>0</v>
      </c>
      <c r="R86" s="76"/>
      <c r="S86" s="76">
        <f t="shared" si="13"/>
        <v>0</v>
      </c>
      <c r="T86" s="152">
        <f t="shared" si="14"/>
        <v>9</v>
      </c>
      <c r="U86" s="208">
        <f t="shared" si="15"/>
        <v>0</v>
      </c>
    </row>
    <row r="87" spans="9:21" x14ac:dyDescent="0.25">
      <c r="I87" s="121">
        <v>0</v>
      </c>
      <c r="J87" s="124">
        <v>0</v>
      </c>
      <c r="K87" s="76"/>
      <c r="L87" s="76"/>
      <c r="M87" s="143">
        <v>3</v>
      </c>
      <c r="N87" s="153"/>
      <c r="O87" s="76">
        <f t="shared" si="11"/>
        <v>0</v>
      </c>
      <c r="P87" s="151">
        <v>9</v>
      </c>
      <c r="Q87" s="208">
        <f t="shared" si="12"/>
        <v>0</v>
      </c>
      <c r="R87" s="76"/>
      <c r="S87" s="76">
        <f t="shared" si="13"/>
        <v>0</v>
      </c>
      <c r="T87" s="152">
        <f t="shared" si="14"/>
        <v>9</v>
      </c>
      <c r="U87" s="208">
        <f t="shared" si="15"/>
        <v>0</v>
      </c>
    </row>
    <row r="88" spans="9:21" x14ac:dyDescent="0.25">
      <c r="I88" s="121">
        <v>0</v>
      </c>
      <c r="J88" s="124">
        <v>0</v>
      </c>
      <c r="K88" s="76"/>
      <c r="L88" s="76"/>
      <c r="M88" s="143">
        <v>3</v>
      </c>
      <c r="N88" s="76"/>
      <c r="O88" s="76">
        <f t="shared" si="11"/>
        <v>0</v>
      </c>
      <c r="P88" s="151">
        <v>9</v>
      </c>
      <c r="Q88" s="208">
        <f t="shared" si="12"/>
        <v>0</v>
      </c>
      <c r="R88" s="76"/>
      <c r="S88" s="76">
        <f t="shared" si="13"/>
        <v>0</v>
      </c>
      <c r="T88" s="152">
        <f t="shared" si="14"/>
        <v>9</v>
      </c>
      <c r="U88" s="208">
        <f t="shared" si="15"/>
        <v>0</v>
      </c>
    </row>
    <row r="89" spans="9:21" x14ac:dyDescent="0.25">
      <c r="I89" s="121">
        <v>0</v>
      </c>
      <c r="J89" s="124">
        <v>0</v>
      </c>
      <c r="K89" s="76"/>
      <c r="L89" s="76"/>
      <c r="M89" s="143">
        <v>3</v>
      </c>
      <c r="N89" s="76"/>
      <c r="O89" s="76">
        <f t="shared" si="11"/>
        <v>0</v>
      </c>
      <c r="P89" s="151">
        <v>9</v>
      </c>
      <c r="Q89" s="208">
        <f t="shared" si="12"/>
        <v>0</v>
      </c>
      <c r="R89" s="76"/>
      <c r="S89" s="76">
        <f t="shared" si="13"/>
        <v>0</v>
      </c>
      <c r="T89" s="152">
        <f t="shared" si="14"/>
        <v>9</v>
      </c>
      <c r="U89" s="208">
        <f t="shared" si="15"/>
        <v>0</v>
      </c>
    </row>
    <row r="90" spans="9:21" x14ac:dyDescent="0.25">
      <c r="I90" s="121">
        <v>0</v>
      </c>
      <c r="J90" s="124">
        <v>0</v>
      </c>
      <c r="K90" s="76"/>
      <c r="L90" s="76"/>
      <c r="M90" s="143">
        <v>3</v>
      </c>
      <c r="N90" s="76"/>
      <c r="O90" s="76">
        <f t="shared" si="11"/>
        <v>0</v>
      </c>
      <c r="P90" s="151">
        <v>9</v>
      </c>
      <c r="Q90" s="208">
        <f t="shared" si="12"/>
        <v>0</v>
      </c>
      <c r="R90" s="76"/>
      <c r="S90" s="76">
        <f t="shared" si="13"/>
        <v>0</v>
      </c>
      <c r="T90" s="152">
        <f t="shared" si="14"/>
        <v>9</v>
      </c>
      <c r="U90" s="208">
        <f t="shared" si="15"/>
        <v>0</v>
      </c>
    </row>
    <row r="91" spans="9:21" x14ac:dyDescent="0.25">
      <c r="I91" s="121">
        <v>0</v>
      </c>
      <c r="J91" s="124">
        <v>0</v>
      </c>
      <c r="K91" s="76"/>
      <c r="L91" s="76"/>
      <c r="M91" s="143">
        <v>3</v>
      </c>
      <c r="N91" s="76"/>
      <c r="O91" s="76">
        <f t="shared" si="11"/>
        <v>0</v>
      </c>
      <c r="P91" s="151">
        <v>9</v>
      </c>
      <c r="Q91" s="208">
        <f t="shared" si="12"/>
        <v>0</v>
      </c>
      <c r="R91" s="76"/>
      <c r="S91" s="76">
        <f t="shared" si="13"/>
        <v>0</v>
      </c>
      <c r="T91" s="152">
        <f t="shared" si="14"/>
        <v>9</v>
      </c>
      <c r="U91" s="208">
        <f t="shared" si="15"/>
        <v>0</v>
      </c>
    </row>
    <row r="92" spans="9:21" x14ac:dyDescent="0.25">
      <c r="I92" s="121">
        <v>0</v>
      </c>
      <c r="J92" s="124">
        <v>0</v>
      </c>
      <c r="K92" s="76"/>
      <c r="L92" s="76"/>
      <c r="M92" s="143">
        <v>3</v>
      </c>
      <c r="N92" s="153"/>
      <c r="O92" s="76">
        <f t="shared" si="11"/>
        <v>0</v>
      </c>
      <c r="P92" s="151">
        <v>9</v>
      </c>
      <c r="Q92" s="208">
        <f t="shared" si="12"/>
        <v>0</v>
      </c>
      <c r="R92" s="76"/>
      <c r="S92" s="76">
        <f t="shared" si="13"/>
        <v>0</v>
      </c>
      <c r="T92" s="152">
        <f t="shared" si="14"/>
        <v>9</v>
      </c>
      <c r="U92" s="208">
        <f t="shared" si="15"/>
        <v>0</v>
      </c>
    </row>
    <row r="93" spans="9:21" x14ac:dyDescent="0.25">
      <c r="I93" s="121">
        <v>0</v>
      </c>
      <c r="J93" s="124">
        <v>0</v>
      </c>
      <c r="K93" s="76"/>
      <c r="L93" s="76"/>
      <c r="M93" s="143">
        <v>3</v>
      </c>
      <c r="N93" s="76"/>
      <c r="O93" s="76">
        <f t="shared" si="11"/>
        <v>0</v>
      </c>
      <c r="P93" s="151">
        <v>9</v>
      </c>
      <c r="Q93" s="208">
        <f t="shared" si="12"/>
        <v>0</v>
      </c>
      <c r="R93" s="76"/>
      <c r="S93" s="76">
        <f t="shared" si="13"/>
        <v>0</v>
      </c>
      <c r="T93" s="152">
        <f t="shared" si="14"/>
        <v>9</v>
      </c>
      <c r="U93" s="208">
        <f t="shared" si="15"/>
        <v>0</v>
      </c>
    </row>
    <row r="94" spans="9:21" x14ac:dyDescent="0.25">
      <c r="I94" s="121">
        <v>0</v>
      </c>
      <c r="J94" s="124">
        <v>0</v>
      </c>
      <c r="K94" s="76"/>
      <c r="L94" s="76"/>
      <c r="M94" s="143">
        <v>3</v>
      </c>
      <c r="N94" s="76"/>
      <c r="O94" s="76">
        <f t="shared" si="11"/>
        <v>0</v>
      </c>
      <c r="P94" s="151">
        <v>9</v>
      </c>
      <c r="Q94" s="208">
        <f t="shared" si="12"/>
        <v>0</v>
      </c>
      <c r="R94" s="76"/>
      <c r="S94" s="76">
        <f t="shared" si="13"/>
        <v>0</v>
      </c>
      <c r="T94" s="152">
        <f t="shared" si="14"/>
        <v>9</v>
      </c>
      <c r="U94" s="208">
        <f t="shared" si="15"/>
        <v>0</v>
      </c>
    </row>
    <row r="95" spans="9:21" x14ac:dyDescent="0.25">
      <c r="I95" s="121">
        <v>0</v>
      </c>
      <c r="J95" s="124">
        <v>0</v>
      </c>
      <c r="K95" s="76"/>
      <c r="L95" s="76"/>
      <c r="M95" s="143">
        <v>3</v>
      </c>
      <c r="N95" s="76"/>
      <c r="O95" s="76">
        <f t="shared" si="11"/>
        <v>0</v>
      </c>
      <c r="P95" s="151">
        <v>9</v>
      </c>
      <c r="Q95" s="208">
        <f t="shared" si="12"/>
        <v>0</v>
      </c>
      <c r="R95" s="76"/>
      <c r="S95" s="76">
        <f t="shared" si="13"/>
        <v>0</v>
      </c>
      <c r="T95" s="152">
        <f t="shared" si="14"/>
        <v>9</v>
      </c>
      <c r="U95" s="208">
        <f t="shared" si="15"/>
        <v>0</v>
      </c>
    </row>
    <row r="96" spans="9:21" x14ac:dyDescent="0.25">
      <c r="I96" s="121">
        <v>0</v>
      </c>
      <c r="J96" s="124">
        <v>0</v>
      </c>
      <c r="K96" s="76"/>
      <c r="L96" s="76"/>
      <c r="M96" s="143">
        <v>3</v>
      </c>
      <c r="N96" s="76"/>
      <c r="O96" s="76">
        <f t="shared" si="11"/>
        <v>0</v>
      </c>
      <c r="P96" s="151">
        <v>9</v>
      </c>
      <c r="Q96" s="208">
        <f t="shared" si="12"/>
        <v>0</v>
      </c>
      <c r="R96" s="76"/>
      <c r="S96" s="76">
        <f t="shared" si="13"/>
        <v>0</v>
      </c>
      <c r="T96" s="152">
        <f t="shared" si="14"/>
        <v>9</v>
      </c>
      <c r="U96" s="208">
        <f t="shared" si="15"/>
        <v>0</v>
      </c>
    </row>
    <row r="97" spans="9:21" x14ac:dyDescent="0.25">
      <c r="I97" s="121">
        <v>0</v>
      </c>
      <c r="J97" s="124">
        <v>0</v>
      </c>
      <c r="K97" s="76"/>
      <c r="L97" s="76"/>
      <c r="M97" s="143">
        <v>3</v>
      </c>
      <c r="N97" s="76"/>
      <c r="O97" s="76">
        <f t="shared" si="11"/>
        <v>0</v>
      </c>
      <c r="P97" s="151">
        <v>9</v>
      </c>
      <c r="Q97" s="208">
        <f t="shared" si="12"/>
        <v>0</v>
      </c>
      <c r="R97" s="76"/>
      <c r="S97" s="76">
        <f t="shared" si="13"/>
        <v>0</v>
      </c>
      <c r="T97" s="152">
        <f t="shared" si="14"/>
        <v>9</v>
      </c>
      <c r="U97" s="208">
        <f t="shared" si="15"/>
        <v>0</v>
      </c>
    </row>
    <row r="98" spans="9:21" x14ac:dyDescent="0.25">
      <c r="I98" s="121">
        <v>0</v>
      </c>
      <c r="J98" s="124">
        <v>0</v>
      </c>
      <c r="K98" s="76"/>
      <c r="L98" s="76"/>
      <c r="M98" s="143">
        <v>3</v>
      </c>
      <c r="N98" s="153"/>
      <c r="O98" s="76">
        <f t="shared" ref="O98:O127" si="16">L98+N98</f>
        <v>0</v>
      </c>
      <c r="P98" s="151">
        <v>9</v>
      </c>
      <c r="Q98" s="208">
        <f t="shared" ref="Q98:Q127" si="17">O98/P98</f>
        <v>0</v>
      </c>
      <c r="R98" s="76"/>
      <c r="S98" s="76">
        <f t="shared" ref="S98:S127" si="18">R98+L98</f>
        <v>0</v>
      </c>
      <c r="T98" s="152">
        <f t="shared" ref="T98:T127" si="19">P98</f>
        <v>9</v>
      </c>
      <c r="U98" s="208">
        <f t="shared" ref="U98:U127" si="20">S98/T98</f>
        <v>0</v>
      </c>
    </row>
    <row r="99" spans="9:21" x14ac:dyDescent="0.25">
      <c r="I99" s="121">
        <v>0</v>
      </c>
      <c r="J99" s="124">
        <v>0</v>
      </c>
      <c r="K99" s="76"/>
      <c r="L99" s="76"/>
      <c r="M99" s="143">
        <v>3</v>
      </c>
      <c r="N99" s="76"/>
      <c r="O99" s="76">
        <f t="shared" si="16"/>
        <v>0</v>
      </c>
      <c r="P99" s="151">
        <v>9</v>
      </c>
      <c r="Q99" s="208">
        <f t="shared" si="17"/>
        <v>0</v>
      </c>
      <c r="R99" s="76"/>
      <c r="S99" s="76">
        <f t="shared" si="18"/>
        <v>0</v>
      </c>
      <c r="T99" s="152">
        <f t="shared" si="19"/>
        <v>9</v>
      </c>
      <c r="U99" s="208">
        <f t="shared" si="20"/>
        <v>0</v>
      </c>
    </row>
    <row r="100" spans="9:21" x14ac:dyDescent="0.25">
      <c r="I100" s="121">
        <v>0</v>
      </c>
      <c r="J100" s="124">
        <v>0</v>
      </c>
      <c r="K100" s="76"/>
      <c r="L100" s="76"/>
      <c r="M100" s="143">
        <v>3</v>
      </c>
      <c r="N100" s="76"/>
      <c r="O100" s="76">
        <f t="shared" si="16"/>
        <v>0</v>
      </c>
      <c r="P100" s="151">
        <v>9</v>
      </c>
      <c r="Q100" s="208">
        <f t="shared" si="17"/>
        <v>0</v>
      </c>
      <c r="R100" s="76"/>
      <c r="S100" s="76">
        <f t="shared" si="18"/>
        <v>0</v>
      </c>
      <c r="T100" s="152">
        <f t="shared" si="19"/>
        <v>9</v>
      </c>
      <c r="U100" s="208">
        <f t="shared" si="20"/>
        <v>0</v>
      </c>
    </row>
    <row r="101" spans="9:21" x14ac:dyDescent="0.25">
      <c r="I101" s="121">
        <v>0</v>
      </c>
      <c r="J101" s="124">
        <v>0</v>
      </c>
      <c r="K101" s="76"/>
      <c r="L101" s="76"/>
      <c r="M101" s="143">
        <v>3</v>
      </c>
      <c r="N101" s="76"/>
      <c r="O101" s="76">
        <f t="shared" si="16"/>
        <v>0</v>
      </c>
      <c r="P101" s="151">
        <v>9</v>
      </c>
      <c r="Q101" s="208">
        <f t="shared" si="17"/>
        <v>0</v>
      </c>
      <c r="R101" s="76"/>
      <c r="S101" s="76">
        <f t="shared" si="18"/>
        <v>0</v>
      </c>
      <c r="T101" s="152">
        <f t="shared" si="19"/>
        <v>9</v>
      </c>
      <c r="U101" s="208">
        <f t="shared" si="20"/>
        <v>0</v>
      </c>
    </row>
    <row r="102" spans="9:21" x14ac:dyDescent="0.25">
      <c r="I102" s="121">
        <v>0</v>
      </c>
      <c r="J102" s="124">
        <v>0</v>
      </c>
      <c r="K102" s="76"/>
      <c r="L102" s="76"/>
      <c r="M102" s="143">
        <v>3</v>
      </c>
      <c r="N102" s="76"/>
      <c r="O102" s="76">
        <f t="shared" si="16"/>
        <v>0</v>
      </c>
      <c r="P102" s="151">
        <v>9</v>
      </c>
      <c r="Q102" s="208">
        <f t="shared" si="17"/>
        <v>0</v>
      </c>
      <c r="R102" s="76"/>
      <c r="S102" s="76">
        <f t="shared" si="18"/>
        <v>0</v>
      </c>
      <c r="T102" s="152">
        <f t="shared" si="19"/>
        <v>9</v>
      </c>
      <c r="U102" s="208">
        <f t="shared" si="20"/>
        <v>0</v>
      </c>
    </row>
    <row r="103" spans="9:21" x14ac:dyDescent="0.25">
      <c r="I103" s="121">
        <v>0</v>
      </c>
      <c r="J103" s="124">
        <v>0</v>
      </c>
      <c r="K103" s="76"/>
      <c r="L103" s="76"/>
      <c r="M103" s="143">
        <v>3</v>
      </c>
      <c r="N103" s="153"/>
      <c r="O103" s="76">
        <f t="shared" si="16"/>
        <v>0</v>
      </c>
      <c r="P103" s="151">
        <v>9</v>
      </c>
      <c r="Q103" s="208">
        <f t="shared" si="17"/>
        <v>0</v>
      </c>
      <c r="R103" s="76"/>
      <c r="S103" s="76">
        <f t="shared" si="18"/>
        <v>0</v>
      </c>
      <c r="T103" s="152">
        <f t="shared" si="19"/>
        <v>9</v>
      </c>
      <c r="U103" s="208">
        <f t="shared" si="20"/>
        <v>0</v>
      </c>
    </row>
    <row r="104" spans="9:21" x14ac:dyDescent="0.25">
      <c r="I104" s="121">
        <v>0</v>
      </c>
      <c r="J104" s="124">
        <v>0</v>
      </c>
      <c r="K104" s="76"/>
      <c r="L104" s="76"/>
      <c r="M104" s="143">
        <v>3</v>
      </c>
      <c r="N104" s="76"/>
      <c r="O104" s="76">
        <f t="shared" si="16"/>
        <v>0</v>
      </c>
      <c r="P104" s="151">
        <v>9</v>
      </c>
      <c r="Q104" s="208">
        <f t="shared" si="17"/>
        <v>0</v>
      </c>
      <c r="R104" s="76"/>
      <c r="S104" s="76">
        <f t="shared" si="18"/>
        <v>0</v>
      </c>
      <c r="T104" s="152">
        <f t="shared" si="19"/>
        <v>9</v>
      </c>
      <c r="U104" s="208">
        <f t="shared" si="20"/>
        <v>0</v>
      </c>
    </row>
    <row r="105" spans="9:21" x14ac:dyDescent="0.25">
      <c r="I105" s="121">
        <v>0</v>
      </c>
      <c r="J105" s="124">
        <v>0</v>
      </c>
      <c r="K105" s="76"/>
      <c r="L105" s="76"/>
      <c r="M105" s="143">
        <v>3</v>
      </c>
      <c r="N105" s="76"/>
      <c r="O105" s="76">
        <f t="shared" si="16"/>
        <v>0</v>
      </c>
      <c r="P105" s="151">
        <v>9</v>
      </c>
      <c r="Q105" s="208">
        <f t="shared" si="17"/>
        <v>0</v>
      </c>
      <c r="R105" s="76"/>
      <c r="S105" s="76">
        <f t="shared" si="18"/>
        <v>0</v>
      </c>
      <c r="T105" s="152">
        <f t="shared" si="19"/>
        <v>9</v>
      </c>
      <c r="U105" s="208">
        <f t="shared" si="20"/>
        <v>0</v>
      </c>
    </row>
    <row r="106" spans="9:21" x14ac:dyDescent="0.25">
      <c r="I106" s="121">
        <v>0</v>
      </c>
      <c r="J106" s="124">
        <v>0</v>
      </c>
      <c r="K106" s="76"/>
      <c r="L106" s="76"/>
      <c r="M106" s="143">
        <v>3</v>
      </c>
      <c r="N106" s="76"/>
      <c r="O106" s="76">
        <f t="shared" si="16"/>
        <v>0</v>
      </c>
      <c r="P106" s="151">
        <v>9</v>
      </c>
      <c r="Q106" s="208">
        <f t="shared" si="17"/>
        <v>0</v>
      </c>
      <c r="R106" s="76"/>
      <c r="S106" s="76">
        <f t="shared" si="18"/>
        <v>0</v>
      </c>
      <c r="T106" s="152">
        <f t="shared" si="19"/>
        <v>9</v>
      </c>
      <c r="U106" s="208">
        <f t="shared" si="20"/>
        <v>0</v>
      </c>
    </row>
    <row r="107" spans="9:21" x14ac:dyDescent="0.25">
      <c r="I107" s="121">
        <v>0</v>
      </c>
      <c r="J107" s="124">
        <v>0</v>
      </c>
      <c r="K107" s="76"/>
      <c r="L107" s="76"/>
      <c r="M107" s="143">
        <v>3</v>
      </c>
      <c r="N107" s="76"/>
      <c r="O107" s="76">
        <f t="shared" si="16"/>
        <v>0</v>
      </c>
      <c r="P107" s="151">
        <v>9</v>
      </c>
      <c r="Q107" s="208">
        <f t="shared" si="17"/>
        <v>0</v>
      </c>
      <c r="R107" s="76"/>
      <c r="S107" s="76">
        <f t="shared" si="18"/>
        <v>0</v>
      </c>
      <c r="T107" s="152">
        <f t="shared" si="19"/>
        <v>9</v>
      </c>
      <c r="U107" s="208">
        <f t="shared" si="20"/>
        <v>0</v>
      </c>
    </row>
    <row r="108" spans="9:21" x14ac:dyDescent="0.25">
      <c r="I108" s="121">
        <v>0</v>
      </c>
      <c r="J108" s="124">
        <v>0</v>
      </c>
      <c r="K108" s="76"/>
      <c r="L108" s="76"/>
      <c r="M108" s="143">
        <v>3</v>
      </c>
      <c r="N108" s="76"/>
      <c r="O108" s="76">
        <f t="shared" si="16"/>
        <v>0</v>
      </c>
      <c r="P108" s="151">
        <v>9</v>
      </c>
      <c r="Q108" s="208">
        <f t="shared" si="17"/>
        <v>0</v>
      </c>
      <c r="R108" s="76"/>
      <c r="S108" s="76">
        <f t="shared" si="18"/>
        <v>0</v>
      </c>
      <c r="T108" s="152">
        <f t="shared" si="19"/>
        <v>9</v>
      </c>
      <c r="U108" s="208">
        <f t="shared" si="20"/>
        <v>0</v>
      </c>
    </row>
    <row r="109" spans="9:21" x14ac:dyDescent="0.25">
      <c r="I109" s="121">
        <v>0</v>
      </c>
      <c r="J109" s="124">
        <v>0</v>
      </c>
      <c r="K109" s="76"/>
      <c r="L109" s="76"/>
      <c r="M109" s="143">
        <v>3</v>
      </c>
      <c r="N109" s="153"/>
      <c r="O109" s="76">
        <f t="shared" si="16"/>
        <v>0</v>
      </c>
      <c r="P109" s="151">
        <v>9</v>
      </c>
      <c r="Q109" s="208">
        <f t="shared" si="17"/>
        <v>0</v>
      </c>
      <c r="R109" s="76"/>
      <c r="S109" s="76">
        <f t="shared" si="18"/>
        <v>0</v>
      </c>
      <c r="T109" s="152">
        <f t="shared" si="19"/>
        <v>9</v>
      </c>
      <c r="U109" s="208">
        <f t="shared" si="20"/>
        <v>0</v>
      </c>
    </row>
    <row r="110" spans="9:21" x14ac:dyDescent="0.25">
      <c r="I110" s="121">
        <v>0</v>
      </c>
      <c r="J110" s="124">
        <v>0</v>
      </c>
      <c r="K110" s="76"/>
      <c r="L110" s="76"/>
      <c r="M110" s="143">
        <v>3</v>
      </c>
      <c r="N110" s="76"/>
      <c r="O110" s="76">
        <f t="shared" si="16"/>
        <v>0</v>
      </c>
      <c r="P110" s="151">
        <v>9</v>
      </c>
      <c r="Q110" s="208">
        <f t="shared" si="17"/>
        <v>0</v>
      </c>
      <c r="R110" s="76"/>
      <c r="S110" s="76">
        <f t="shared" si="18"/>
        <v>0</v>
      </c>
      <c r="T110" s="152">
        <f t="shared" si="19"/>
        <v>9</v>
      </c>
      <c r="U110" s="208">
        <f t="shared" si="20"/>
        <v>0</v>
      </c>
    </row>
    <row r="111" spans="9:21" x14ac:dyDescent="0.25">
      <c r="I111" s="121">
        <v>0</v>
      </c>
      <c r="J111" s="124">
        <v>0</v>
      </c>
      <c r="K111" s="76"/>
      <c r="L111" s="76"/>
      <c r="M111" s="143">
        <v>3</v>
      </c>
      <c r="N111" s="76"/>
      <c r="O111" s="76">
        <f t="shared" si="16"/>
        <v>0</v>
      </c>
      <c r="P111" s="151">
        <v>9</v>
      </c>
      <c r="Q111" s="208">
        <f t="shared" si="17"/>
        <v>0</v>
      </c>
      <c r="R111" s="76"/>
      <c r="S111" s="76">
        <f t="shared" si="18"/>
        <v>0</v>
      </c>
      <c r="T111" s="152">
        <f t="shared" si="19"/>
        <v>9</v>
      </c>
      <c r="U111" s="208">
        <f t="shared" si="20"/>
        <v>0</v>
      </c>
    </row>
    <row r="112" spans="9:21" x14ac:dyDescent="0.25">
      <c r="I112" s="121">
        <v>0</v>
      </c>
      <c r="J112" s="124">
        <v>0</v>
      </c>
      <c r="K112" s="76"/>
      <c r="L112" s="76"/>
      <c r="M112" s="143">
        <v>3</v>
      </c>
      <c r="N112" s="76"/>
      <c r="O112" s="76">
        <f t="shared" si="16"/>
        <v>0</v>
      </c>
      <c r="P112" s="151">
        <v>9</v>
      </c>
      <c r="Q112" s="208">
        <f t="shared" si="17"/>
        <v>0</v>
      </c>
      <c r="R112" s="76"/>
      <c r="S112" s="76">
        <f t="shared" si="18"/>
        <v>0</v>
      </c>
      <c r="T112" s="152">
        <f t="shared" si="19"/>
        <v>9</v>
      </c>
      <c r="U112" s="208">
        <f t="shared" si="20"/>
        <v>0</v>
      </c>
    </row>
    <row r="113" spans="9:21" x14ac:dyDescent="0.25">
      <c r="I113" s="121">
        <v>0</v>
      </c>
      <c r="J113" s="124">
        <v>0</v>
      </c>
      <c r="K113" s="76"/>
      <c r="L113" s="76"/>
      <c r="M113" s="143">
        <v>3</v>
      </c>
      <c r="N113" s="76"/>
      <c r="O113" s="76">
        <f t="shared" si="16"/>
        <v>0</v>
      </c>
      <c r="P113" s="151">
        <v>9</v>
      </c>
      <c r="Q113" s="208">
        <f t="shared" si="17"/>
        <v>0</v>
      </c>
      <c r="R113" s="76"/>
      <c r="S113" s="76">
        <f t="shared" si="18"/>
        <v>0</v>
      </c>
      <c r="T113" s="152">
        <f t="shared" si="19"/>
        <v>9</v>
      </c>
      <c r="U113" s="208">
        <f t="shared" si="20"/>
        <v>0</v>
      </c>
    </row>
    <row r="114" spans="9:21" x14ac:dyDescent="0.25">
      <c r="I114" s="121">
        <v>0</v>
      </c>
      <c r="J114" s="124">
        <v>0</v>
      </c>
      <c r="K114" s="76"/>
      <c r="L114" s="76"/>
      <c r="M114" s="143">
        <v>3</v>
      </c>
      <c r="N114" s="153"/>
      <c r="O114" s="76">
        <f t="shared" si="16"/>
        <v>0</v>
      </c>
      <c r="P114" s="151">
        <v>9</v>
      </c>
      <c r="Q114" s="208">
        <f t="shared" si="17"/>
        <v>0</v>
      </c>
      <c r="R114" s="76"/>
      <c r="S114" s="76">
        <f t="shared" si="18"/>
        <v>0</v>
      </c>
      <c r="T114" s="152">
        <f t="shared" si="19"/>
        <v>9</v>
      </c>
      <c r="U114" s="208">
        <f t="shared" si="20"/>
        <v>0</v>
      </c>
    </row>
    <row r="115" spans="9:21" x14ac:dyDescent="0.25">
      <c r="I115" s="121">
        <v>0</v>
      </c>
      <c r="J115" s="124">
        <v>0</v>
      </c>
      <c r="K115" s="76"/>
      <c r="L115" s="76"/>
      <c r="M115" s="143">
        <v>3</v>
      </c>
      <c r="N115" s="76"/>
      <c r="O115" s="76">
        <f t="shared" si="16"/>
        <v>0</v>
      </c>
      <c r="P115" s="151">
        <v>9</v>
      </c>
      <c r="Q115" s="208">
        <f t="shared" si="17"/>
        <v>0</v>
      </c>
      <c r="R115" s="76"/>
      <c r="S115" s="76">
        <f t="shared" si="18"/>
        <v>0</v>
      </c>
      <c r="T115" s="152">
        <f t="shared" si="19"/>
        <v>9</v>
      </c>
      <c r="U115" s="208">
        <f t="shared" si="20"/>
        <v>0</v>
      </c>
    </row>
    <row r="116" spans="9:21" x14ac:dyDescent="0.25">
      <c r="I116" s="121">
        <v>0</v>
      </c>
      <c r="J116" s="124">
        <v>0</v>
      </c>
      <c r="K116" s="76"/>
      <c r="L116" s="76"/>
      <c r="M116" s="143">
        <v>3</v>
      </c>
      <c r="N116" s="76"/>
      <c r="O116" s="76">
        <f t="shared" si="16"/>
        <v>0</v>
      </c>
      <c r="P116" s="151">
        <v>9</v>
      </c>
      <c r="Q116" s="208">
        <f t="shared" si="17"/>
        <v>0</v>
      </c>
      <c r="R116" s="76"/>
      <c r="S116" s="76">
        <f t="shared" si="18"/>
        <v>0</v>
      </c>
      <c r="T116" s="152">
        <f t="shared" si="19"/>
        <v>9</v>
      </c>
      <c r="U116" s="208">
        <f t="shared" si="20"/>
        <v>0</v>
      </c>
    </row>
    <row r="117" spans="9:21" x14ac:dyDescent="0.25">
      <c r="I117" s="121">
        <v>0</v>
      </c>
      <c r="J117" s="124">
        <v>0</v>
      </c>
      <c r="K117" s="76"/>
      <c r="L117" s="76"/>
      <c r="M117" s="143">
        <v>3</v>
      </c>
      <c r="N117" s="76"/>
      <c r="O117" s="76">
        <f t="shared" si="16"/>
        <v>0</v>
      </c>
      <c r="P117" s="151">
        <v>9</v>
      </c>
      <c r="Q117" s="208">
        <f t="shared" si="17"/>
        <v>0</v>
      </c>
      <c r="R117" s="76"/>
      <c r="S117" s="76">
        <f t="shared" si="18"/>
        <v>0</v>
      </c>
      <c r="T117" s="152">
        <f t="shared" si="19"/>
        <v>9</v>
      </c>
      <c r="U117" s="208">
        <f t="shared" si="20"/>
        <v>0</v>
      </c>
    </row>
    <row r="118" spans="9:21" x14ac:dyDescent="0.25">
      <c r="I118" s="121">
        <v>0</v>
      </c>
      <c r="J118" s="124">
        <v>0</v>
      </c>
      <c r="K118" s="76"/>
      <c r="L118" s="76"/>
      <c r="M118" s="143">
        <v>3</v>
      </c>
      <c r="N118" s="76"/>
      <c r="O118" s="76">
        <f t="shared" si="16"/>
        <v>0</v>
      </c>
      <c r="P118" s="151">
        <v>9</v>
      </c>
      <c r="Q118" s="208">
        <f t="shared" si="17"/>
        <v>0</v>
      </c>
      <c r="R118" s="76"/>
      <c r="S118" s="76">
        <f t="shared" si="18"/>
        <v>0</v>
      </c>
      <c r="T118" s="152">
        <f t="shared" si="19"/>
        <v>9</v>
      </c>
      <c r="U118" s="208">
        <f t="shared" si="20"/>
        <v>0</v>
      </c>
    </row>
    <row r="119" spans="9:21" x14ac:dyDescent="0.25">
      <c r="I119" s="121">
        <v>0</v>
      </c>
      <c r="J119" s="124">
        <v>0</v>
      </c>
      <c r="K119" s="76"/>
      <c r="L119" s="76"/>
      <c r="M119" s="143">
        <v>3</v>
      </c>
      <c r="N119" s="76"/>
      <c r="O119" s="76">
        <f t="shared" si="16"/>
        <v>0</v>
      </c>
      <c r="P119" s="151">
        <v>9</v>
      </c>
      <c r="Q119" s="208">
        <f t="shared" si="17"/>
        <v>0</v>
      </c>
      <c r="R119" s="76"/>
      <c r="S119" s="76">
        <f t="shared" si="18"/>
        <v>0</v>
      </c>
      <c r="T119" s="152">
        <f t="shared" si="19"/>
        <v>9</v>
      </c>
      <c r="U119" s="208">
        <f t="shared" si="20"/>
        <v>0</v>
      </c>
    </row>
    <row r="120" spans="9:21" x14ac:dyDescent="0.25">
      <c r="I120" s="121">
        <v>0</v>
      </c>
      <c r="J120" s="124">
        <v>0</v>
      </c>
      <c r="K120" s="76"/>
      <c r="L120" s="76"/>
      <c r="M120" s="143">
        <v>3</v>
      </c>
      <c r="N120" s="153"/>
      <c r="O120" s="76">
        <f t="shared" si="16"/>
        <v>0</v>
      </c>
      <c r="P120" s="151">
        <v>9</v>
      </c>
      <c r="Q120" s="208">
        <f t="shared" si="17"/>
        <v>0</v>
      </c>
      <c r="R120" s="76"/>
      <c r="S120" s="76">
        <f t="shared" si="18"/>
        <v>0</v>
      </c>
      <c r="T120" s="152">
        <f t="shared" si="19"/>
        <v>9</v>
      </c>
      <c r="U120" s="208">
        <f t="shared" si="20"/>
        <v>0</v>
      </c>
    </row>
    <row r="121" spans="9:21" x14ac:dyDescent="0.25">
      <c r="I121" s="121">
        <v>0</v>
      </c>
      <c r="J121" s="124">
        <v>0</v>
      </c>
      <c r="K121" s="76"/>
      <c r="L121" s="76"/>
      <c r="M121" s="143">
        <v>3</v>
      </c>
      <c r="N121" s="76"/>
      <c r="O121" s="76">
        <f t="shared" si="16"/>
        <v>0</v>
      </c>
      <c r="P121" s="151">
        <v>9</v>
      </c>
      <c r="Q121" s="208">
        <f t="shared" si="17"/>
        <v>0</v>
      </c>
      <c r="R121" s="76"/>
      <c r="S121" s="76">
        <f t="shared" si="18"/>
        <v>0</v>
      </c>
      <c r="T121" s="152">
        <f t="shared" si="19"/>
        <v>9</v>
      </c>
      <c r="U121" s="208">
        <f t="shared" si="20"/>
        <v>0</v>
      </c>
    </row>
    <row r="122" spans="9:21" x14ac:dyDescent="0.25">
      <c r="I122" s="121">
        <v>0</v>
      </c>
      <c r="J122" s="124">
        <v>0</v>
      </c>
      <c r="K122" s="76"/>
      <c r="L122" s="76"/>
      <c r="M122" s="143">
        <v>3</v>
      </c>
      <c r="N122" s="76"/>
      <c r="O122" s="76">
        <f t="shared" si="16"/>
        <v>0</v>
      </c>
      <c r="P122" s="151">
        <v>9</v>
      </c>
      <c r="Q122" s="208">
        <f t="shared" si="17"/>
        <v>0</v>
      </c>
      <c r="R122" s="76"/>
      <c r="S122" s="76">
        <f t="shared" si="18"/>
        <v>0</v>
      </c>
      <c r="T122" s="152">
        <f t="shared" si="19"/>
        <v>9</v>
      </c>
      <c r="U122" s="208">
        <f t="shared" si="20"/>
        <v>0</v>
      </c>
    </row>
    <row r="123" spans="9:21" x14ac:dyDescent="0.25">
      <c r="I123" s="121">
        <v>0</v>
      </c>
      <c r="J123" s="124">
        <v>0</v>
      </c>
      <c r="K123" s="76"/>
      <c r="L123" s="76"/>
      <c r="M123" s="143">
        <v>3</v>
      </c>
      <c r="N123" s="76"/>
      <c r="O123" s="76">
        <f t="shared" si="16"/>
        <v>0</v>
      </c>
      <c r="P123" s="151">
        <v>9</v>
      </c>
      <c r="Q123" s="208">
        <f t="shared" si="17"/>
        <v>0</v>
      </c>
      <c r="R123" s="76"/>
      <c r="S123" s="76">
        <f t="shared" si="18"/>
        <v>0</v>
      </c>
      <c r="T123" s="152">
        <f t="shared" si="19"/>
        <v>9</v>
      </c>
      <c r="U123" s="208">
        <f t="shared" si="20"/>
        <v>0</v>
      </c>
    </row>
    <row r="124" spans="9:21" x14ac:dyDescent="0.25">
      <c r="I124" s="121">
        <v>0</v>
      </c>
      <c r="J124" s="124">
        <v>0</v>
      </c>
      <c r="K124" s="76"/>
      <c r="L124" s="76"/>
      <c r="M124" s="143">
        <v>3</v>
      </c>
      <c r="N124" s="76"/>
      <c r="O124" s="76">
        <f t="shared" si="16"/>
        <v>0</v>
      </c>
      <c r="P124" s="151">
        <v>9</v>
      </c>
      <c r="Q124" s="208">
        <f t="shared" si="17"/>
        <v>0</v>
      </c>
      <c r="R124" s="76"/>
      <c r="S124" s="76">
        <f t="shared" si="18"/>
        <v>0</v>
      </c>
      <c r="T124" s="152">
        <f t="shared" si="19"/>
        <v>9</v>
      </c>
      <c r="U124" s="208">
        <f t="shared" si="20"/>
        <v>0</v>
      </c>
    </row>
    <row r="125" spans="9:21" x14ac:dyDescent="0.25">
      <c r="I125" s="121">
        <v>0</v>
      </c>
      <c r="J125" s="124">
        <v>0</v>
      </c>
      <c r="K125" s="76"/>
      <c r="L125" s="76"/>
      <c r="M125" s="143">
        <v>3</v>
      </c>
      <c r="N125" s="153"/>
      <c r="O125" s="76">
        <f t="shared" si="16"/>
        <v>0</v>
      </c>
      <c r="P125" s="151">
        <v>9</v>
      </c>
      <c r="Q125" s="208">
        <f t="shared" si="17"/>
        <v>0</v>
      </c>
      <c r="R125" s="76"/>
      <c r="S125" s="76">
        <f t="shared" si="18"/>
        <v>0</v>
      </c>
      <c r="T125" s="152">
        <f t="shared" si="19"/>
        <v>9</v>
      </c>
      <c r="U125" s="208">
        <f t="shared" si="20"/>
        <v>0</v>
      </c>
    </row>
    <row r="126" spans="9:21" x14ac:dyDescent="0.25">
      <c r="I126" s="121">
        <v>0</v>
      </c>
      <c r="J126" s="124">
        <v>0</v>
      </c>
      <c r="K126" s="76"/>
      <c r="L126" s="76"/>
      <c r="M126" s="143">
        <v>3</v>
      </c>
      <c r="N126" s="76"/>
      <c r="O126" s="76">
        <f t="shared" si="16"/>
        <v>0</v>
      </c>
      <c r="P126" s="151">
        <v>9</v>
      </c>
      <c r="Q126" s="208">
        <f t="shared" si="17"/>
        <v>0</v>
      </c>
      <c r="R126" s="76"/>
      <c r="S126" s="76">
        <f t="shared" si="18"/>
        <v>0</v>
      </c>
      <c r="T126" s="152">
        <f t="shared" si="19"/>
        <v>9</v>
      </c>
      <c r="U126" s="208">
        <f t="shared" si="20"/>
        <v>0</v>
      </c>
    </row>
    <row r="127" spans="9:21" x14ac:dyDescent="0.25">
      <c r="I127" s="121">
        <v>0</v>
      </c>
      <c r="J127" s="124">
        <v>0</v>
      </c>
      <c r="K127" s="76"/>
      <c r="L127" s="76"/>
      <c r="M127" s="143">
        <v>3</v>
      </c>
      <c r="N127" s="76"/>
      <c r="O127" s="76">
        <f t="shared" si="16"/>
        <v>0</v>
      </c>
      <c r="P127" s="151">
        <v>9</v>
      </c>
      <c r="Q127" s="208">
        <f t="shared" si="17"/>
        <v>0</v>
      </c>
      <c r="R127" s="76"/>
      <c r="S127" s="76">
        <f t="shared" si="18"/>
        <v>0</v>
      </c>
      <c r="T127" s="152">
        <f t="shared" si="19"/>
        <v>9</v>
      </c>
      <c r="U127" s="208">
        <f t="shared" si="20"/>
        <v>0</v>
      </c>
    </row>
  </sheetData>
  <sortState ref="F2:U127">
    <sortCondition descending="1" ref="J2:J127"/>
    <sortCondition ref="U2:U127"/>
  </sortState>
  <mergeCells count="5">
    <mergeCell ref="A1:D1"/>
    <mergeCell ref="A2:A3"/>
    <mergeCell ref="B2:B3"/>
    <mergeCell ref="C2:C3"/>
    <mergeCell ref="D2:D3"/>
  </mergeCells>
  <conditionalFormatting sqref="J2">
    <cfRule type="colorScale" priority="2">
      <colorScale>
        <cfvo type="min"/>
        <cfvo type="max"/>
        <color rgb="FFFCFCFF"/>
        <color rgb="FFF8696B"/>
      </colorScale>
    </cfRule>
  </conditionalFormatting>
  <conditionalFormatting sqref="J3:J127">
    <cfRule type="colorScale" priority="4018">
      <colorScale>
        <cfvo type="min"/>
        <cfvo type="max"/>
        <color rgb="FFFCFCFF"/>
        <color rgb="FFF8696B"/>
      </colorScale>
    </cfRule>
  </conditionalFormatting>
  <conditionalFormatting sqref="I2:I127">
    <cfRule type="dataBar" priority="4020">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I2:I127</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72"/>
      <c r="U1" s="272"/>
      <c r="V1" s="272"/>
      <c r="W1" s="159"/>
      <c r="X1" s="272" t="s">
        <v>180</v>
      </c>
      <c r="Y1" s="272"/>
      <c r="Z1" s="125">
        <f>T2+U2+V2+W2+X2+Y2+Z2</f>
        <v>1</v>
      </c>
      <c r="AC1" s="69"/>
      <c r="AD1" s="69"/>
      <c r="AE1" s="69"/>
      <c r="AF1" s="69"/>
      <c r="AG1" s="69"/>
      <c r="AH1" s="69"/>
      <c r="AI1" s="69"/>
      <c r="AJ1" s="69"/>
      <c r="AS1" s="272" t="s">
        <v>207</v>
      </c>
      <c r="AT1" s="272"/>
      <c r="AU1" s="272"/>
      <c r="AV1" s="272"/>
      <c r="AW1" s="272"/>
      <c r="AX1" s="272"/>
      <c r="AY1" s="272"/>
      <c r="AZ1" s="272"/>
      <c r="BA1" s="272"/>
      <c r="BB1" s="272"/>
      <c r="BC1" s="272"/>
      <c r="BD1" s="272"/>
      <c r="BE1" s="272"/>
      <c r="BG1" s="112" t="s">
        <v>173</v>
      </c>
      <c r="BH1" s="112" t="s">
        <v>174</v>
      </c>
      <c r="BI1" s="112" t="s">
        <v>208</v>
      </c>
      <c r="BJ1" s="113" t="s">
        <v>209</v>
      </c>
      <c r="BK1" s="69" t="s">
        <v>210</v>
      </c>
      <c r="BL1" s="69" t="s">
        <v>211</v>
      </c>
    </row>
    <row r="2" spans="1:64" ht="18.75" x14ac:dyDescent="0.3">
      <c r="A2" s="160"/>
      <c r="B2" s="160"/>
      <c r="C2" s="161"/>
      <c r="D2" s="162">
        <f ca="1">TODAY()</f>
        <v>43063</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f>SUM(AU4:AU14)*$BJ$3</f>
        <v>0</v>
      </c>
      <c r="AV2" s="171">
        <f>SUM(AV4:AV14)*$BJ$3</f>
        <v>0</v>
      </c>
      <c r="AW2" s="171">
        <f>SUM(AW4:AW14)*$BJ$2</f>
        <v>0</v>
      </c>
      <c r="AX2" s="171">
        <f>SUM(AX4:AX14)*$BJ$4</f>
        <v>0</v>
      </c>
      <c r="AY2" s="171">
        <f>SUM(AY4:AY14)*$BJ$5</f>
        <v>3.251378205128197E-2</v>
      </c>
      <c r="AZ2" s="171">
        <f>SUM(AZ4:AZ14)*$BJ$5</f>
        <v>2.715373931623926E-2</v>
      </c>
      <c r="BA2" s="171">
        <f>SUM(BA4:BA14)*$BJ$6</f>
        <v>4.6422764957264884E-2</v>
      </c>
      <c r="BB2" s="172">
        <f>SUM(BB4:BB14)</f>
        <v>0</v>
      </c>
      <c r="BC2" s="172">
        <f>SUM(BC4:BC14)</f>
        <v>0</v>
      </c>
      <c r="BD2" s="172">
        <f t="shared" ref="BD2:BE2" si="0">SUM(BD4:BD14)</f>
        <v>12.261517857142856</v>
      </c>
      <c r="BE2" s="172">
        <f t="shared" si="0"/>
        <v>5.8482142857142705E-2</v>
      </c>
      <c r="BF2" s="160"/>
      <c r="BG2" s="114" t="s">
        <v>175</v>
      </c>
      <c r="BH2" s="115">
        <v>1</v>
      </c>
      <c r="BI2" s="173">
        <v>0.624</v>
      </c>
      <c r="BJ2" s="174">
        <v>0.245</v>
      </c>
      <c r="BK2" s="72">
        <f>BJ2*10</f>
        <v>2.4500000000000002</v>
      </c>
      <c r="BL2" s="72">
        <f>BJ2*15</f>
        <v>3.6749999999999998</v>
      </c>
    </row>
    <row r="3" spans="1:64" ht="18.75" x14ac:dyDescent="0.3">
      <c r="A3" s="11" t="s">
        <v>1</v>
      </c>
      <c r="B3" s="11" t="s">
        <v>2</v>
      </c>
      <c r="C3" s="12" t="s">
        <v>198</v>
      </c>
      <c r="D3" s="13" t="s">
        <v>3</v>
      </c>
      <c r="E3" s="11" t="s">
        <v>4</v>
      </c>
      <c r="F3" s="11" t="s">
        <v>5</v>
      </c>
      <c r="G3" s="11" t="s">
        <v>6</v>
      </c>
      <c r="H3" s="11" t="s">
        <v>7</v>
      </c>
      <c r="I3" s="11" t="s">
        <v>8</v>
      </c>
      <c r="J3" s="11" t="s">
        <v>9</v>
      </c>
      <c r="K3" s="14" t="s">
        <v>212</v>
      </c>
      <c r="L3" s="14" t="s">
        <v>213</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70" t="s">
        <v>229</v>
      </c>
      <c r="AT3" s="271"/>
      <c r="AU3" s="177" t="s">
        <v>214</v>
      </c>
      <c r="AV3" s="177" t="s">
        <v>215</v>
      </c>
      <c r="AW3" s="177" t="s">
        <v>216</v>
      </c>
      <c r="AX3" s="177" t="s">
        <v>217</v>
      </c>
      <c r="AY3" s="177" t="s">
        <v>218</v>
      </c>
      <c r="AZ3" s="177" t="s">
        <v>219</v>
      </c>
      <c r="BA3" s="177" t="s">
        <v>220</v>
      </c>
      <c r="BB3" s="177" t="s">
        <v>221</v>
      </c>
      <c r="BC3" s="177" t="s">
        <v>222</v>
      </c>
      <c r="BD3" s="177" t="s">
        <v>22</v>
      </c>
      <c r="BE3" s="177" t="s">
        <v>223</v>
      </c>
      <c r="BG3" s="114" t="s">
        <v>176</v>
      </c>
      <c r="BH3" s="115">
        <v>1</v>
      </c>
      <c r="BI3" s="173">
        <v>1.002</v>
      </c>
      <c r="BJ3" s="174">
        <v>0.34</v>
      </c>
      <c r="BK3" s="72">
        <f t="shared" ref="BK3:BK6" si="1">BJ3*10</f>
        <v>3.4000000000000004</v>
      </c>
      <c r="BL3" s="72">
        <f t="shared" ref="BL3:BL6" si="2">BJ3*15</f>
        <v>5.1000000000000005</v>
      </c>
    </row>
    <row r="4" spans="1:64" ht="18.75" x14ac:dyDescent="0.3">
      <c r="A4" s="16" t="str">
        <f>PLANTILLA!A4</f>
        <v>#1</v>
      </c>
      <c r="B4" s="16" t="str">
        <f>PLANTILLA!B4</f>
        <v>POR</v>
      </c>
      <c r="C4" s="132">
        <f ca="1">PLANTILLA!C4</f>
        <v>2.75</v>
      </c>
      <c r="D4" s="17" t="str">
        <f>PLANTILLA!D4</f>
        <v>Damián Sala</v>
      </c>
      <c r="E4" s="18">
        <f>PLANTILLA!E4</f>
        <v>30</v>
      </c>
      <c r="F4" s="19">
        <f ca="1">PLANTILLA!F4</f>
        <v>28</v>
      </c>
      <c r="G4" s="20">
        <f>PLANTILLA!G4</f>
        <v>0</v>
      </c>
      <c r="H4" s="5">
        <f>PLANTILLA!H4</f>
        <v>2</v>
      </c>
      <c r="I4" s="30">
        <f>PLANTILLA!I4</f>
        <v>10.6</v>
      </c>
      <c r="J4" s="21">
        <f>PLANTILLA!O4</f>
        <v>7.9</v>
      </c>
      <c r="K4" s="7">
        <f>(H4)*(H4)*(I4)</f>
        <v>42.4</v>
      </c>
      <c r="L4" s="7">
        <f>(H4+1)*(H4+1)*I4</f>
        <v>95.399999999999991</v>
      </c>
      <c r="M4" s="23">
        <f>PLANTILLA!X4</f>
        <v>13.95</v>
      </c>
      <c r="N4" s="23">
        <f>PLANTILLA!Y4</f>
        <v>11.066666666666666</v>
      </c>
      <c r="O4" s="23">
        <f>PLANTILLA!Z4</f>
        <v>0.17999999999999997</v>
      </c>
      <c r="P4" s="23">
        <f>PLANTILLA!AA4</f>
        <v>0.01</v>
      </c>
      <c r="Q4" s="23">
        <f>PLANTILLA!AB4</f>
        <v>2.3299999999999996</v>
      </c>
      <c r="R4" s="23">
        <f>PLANTILLA!AC4</f>
        <v>1.8100000000000005</v>
      </c>
      <c r="S4" s="23">
        <f>PLANTILLA!AD4</f>
        <v>19.299999999999997</v>
      </c>
      <c r="T4" s="180">
        <v>1</v>
      </c>
      <c r="U4" s="180">
        <v>1</v>
      </c>
      <c r="V4" s="180">
        <v>0.13</v>
      </c>
      <c r="W4" s="180">
        <v>0.13</v>
      </c>
      <c r="X4" s="180">
        <f>0.17</f>
        <v>0.17</v>
      </c>
      <c r="Y4" s="180">
        <f t="shared" ref="Y4:Y14" si="3">0.17</f>
        <v>0.17</v>
      </c>
      <c r="Z4" s="180">
        <v>1.25</v>
      </c>
      <c r="AA4" s="178">
        <f t="shared" ref="AA4:AA18" si="4">E4</f>
        <v>30</v>
      </c>
      <c r="AB4" s="179">
        <f t="shared" ref="AB4:AB18" ca="1" si="5">F4+7</f>
        <v>35</v>
      </c>
      <c r="AC4" s="27">
        <f t="shared" ref="AC4:AC18" si="6">I4+$AC$2</f>
        <v>10.6</v>
      </c>
      <c r="AD4" s="181">
        <f>M4+(T4*T$2/12)</f>
        <v>13.95</v>
      </c>
      <c r="AE4" s="181">
        <f>N4+(U$2/14)</f>
        <v>11.066666666666666</v>
      </c>
      <c r="AF4" s="181">
        <f t="shared" ref="AF4:AH4" si="7">O4</f>
        <v>0.17999999999999997</v>
      </c>
      <c r="AG4" s="181">
        <f t="shared" si="7"/>
        <v>0.01</v>
      </c>
      <c r="AH4" s="181">
        <f t="shared" si="7"/>
        <v>2.3299999999999996</v>
      </c>
      <c r="AI4" s="181">
        <f>R4</f>
        <v>1.8100000000000005</v>
      </c>
      <c r="AJ4" s="181">
        <f>S4+(Z$2/4)</f>
        <v>19.299999999999997</v>
      </c>
      <c r="AK4" s="182">
        <f t="shared" ref="AK4:AQ6" si="8">AD4-M4</f>
        <v>0</v>
      </c>
      <c r="AL4" s="182">
        <f t="shared" si="8"/>
        <v>0</v>
      </c>
      <c r="AM4" s="182">
        <f t="shared" si="8"/>
        <v>0</v>
      </c>
      <c r="AN4" s="182">
        <f t="shared" si="8"/>
        <v>0</v>
      </c>
      <c r="AO4" s="182">
        <f t="shared" si="8"/>
        <v>0</v>
      </c>
      <c r="AP4" s="182">
        <f t="shared" si="8"/>
        <v>0</v>
      </c>
      <c r="AQ4" s="182">
        <f t="shared" si="8"/>
        <v>0</v>
      </c>
      <c r="AR4" s="183"/>
      <c r="AS4" s="201" t="s">
        <v>28</v>
      </c>
      <c r="AT4" s="185" t="str">
        <f>D4</f>
        <v>Damián Sala</v>
      </c>
      <c r="AU4" s="186">
        <f>(AK4*0.597)+(AL4*0.276)</f>
        <v>0</v>
      </c>
      <c r="AV4" s="186">
        <f>AU4</f>
        <v>0</v>
      </c>
      <c r="AW4" s="186">
        <f>(AK4*0.866)+(AL4*0.425)</f>
        <v>0</v>
      </c>
      <c r="AX4" s="186">
        <v>0</v>
      </c>
      <c r="AY4" s="186">
        <v>0</v>
      </c>
      <c r="AZ4" s="186">
        <v>0</v>
      </c>
      <c r="BA4" s="186">
        <v>0</v>
      </c>
      <c r="BB4" s="199">
        <v>0</v>
      </c>
      <c r="BC4" s="199">
        <f>0.08*AK4+0.1*AQ4</f>
        <v>0</v>
      </c>
      <c r="BD4" s="199">
        <v>0</v>
      </c>
      <c r="BE4" s="199">
        <v>0</v>
      </c>
      <c r="BF4" s="183"/>
      <c r="BG4" s="114" t="s">
        <v>177</v>
      </c>
      <c r="BH4" s="115">
        <v>1</v>
      </c>
      <c r="BI4" s="173">
        <v>0.46800000000000003</v>
      </c>
      <c r="BJ4" s="174">
        <v>0.125</v>
      </c>
      <c r="BK4" s="72">
        <f t="shared" si="1"/>
        <v>1.25</v>
      </c>
      <c r="BL4" s="72">
        <f t="shared" si="2"/>
        <v>1.875</v>
      </c>
    </row>
    <row r="5" spans="1:64" ht="18.75" x14ac:dyDescent="0.3">
      <c r="A5" s="16" t="str">
        <f>PLANTILLA!A5</f>
        <v>#2</v>
      </c>
      <c r="B5" s="16" t="str">
        <f>PLANTILLA!B5</f>
        <v>DEF</v>
      </c>
      <c r="C5" s="132">
        <f ca="1">PLANTILLA!C5</f>
        <v>1.0178571428571428</v>
      </c>
      <c r="D5" s="31" t="str">
        <f>PLANTILLA!D5</f>
        <v>Mario Omarini</v>
      </c>
      <c r="E5" s="18">
        <f>PLANTILLA!E5</f>
        <v>31</v>
      </c>
      <c r="F5" s="19">
        <f ca="1">PLANTILLA!F5</f>
        <v>110</v>
      </c>
      <c r="G5" s="20" t="str">
        <f>PLANTILLA!G5</f>
        <v>TEC</v>
      </c>
      <c r="H5" s="5">
        <f>PLANTILLA!H5</f>
        <v>3</v>
      </c>
      <c r="I5" s="30">
        <f>PLANTILLA!I5</f>
        <v>9.6999999999999993</v>
      </c>
      <c r="J5" s="21">
        <f>PLANTILLA!O5</f>
        <v>7.2</v>
      </c>
      <c r="K5" s="7">
        <f t="shared" ref="K5:K18" si="9">(H5)*(H5)*(I5)</f>
        <v>87.3</v>
      </c>
      <c r="L5" s="7">
        <f t="shared" ref="L5:L18" si="10">(H5+1)*(H5+1)*I5</f>
        <v>155.19999999999999</v>
      </c>
      <c r="M5" s="23">
        <f>PLANTILLA!X5</f>
        <v>0</v>
      </c>
      <c r="N5" s="23">
        <f>PLANTILLA!Y5</f>
        <v>14</v>
      </c>
      <c r="O5" s="23">
        <f>PLANTILLA!Z5</f>
        <v>7.1099999999999994</v>
      </c>
      <c r="P5" s="23">
        <f>PLANTILLA!AA5</f>
        <v>11.035714285714286</v>
      </c>
      <c r="Q5" s="23">
        <f>PLANTILLA!AB5</f>
        <v>7.0499999999999989</v>
      </c>
      <c r="R5" s="23">
        <f>PLANTILLA!AC5</f>
        <v>2.0099999999999998</v>
      </c>
      <c r="S5" s="23">
        <f>PLANTILLA!AD5</f>
        <v>15.499999999999998</v>
      </c>
      <c r="T5" s="180">
        <v>0</v>
      </c>
      <c r="U5" s="180">
        <v>1</v>
      </c>
      <c r="V5" s="180">
        <v>0.13</v>
      </c>
      <c r="W5" s="180">
        <v>0.5</v>
      </c>
      <c r="X5" s="180">
        <v>1</v>
      </c>
      <c r="Y5" s="180">
        <f t="shared" si="3"/>
        <v>0.17</v>
      </c>
      <c r="Z5" s="180">
        <v>1.25</v>
      </c>
      <c r="AA5" s="178">
        <f t="shared" si="4"/>
        <v>31</v>
      </c>
      <c r="AB5" s="179">
        <f t="shared" ca="1" si="5"/>
        <v>117</v>
      </c>
      <c r="AC5" s="27">
        <f t="shared" si="6"/>
        <v>9.6999999999999993</v>
      </c>
      <c r="AD5" s="181">
        <f>M5</f>
        <v>0</v>
      </c>
      <c r="AE5" s="181">
        <f>N5+(U$2/11)</f>
        <v>14</v>
      </c>
      <c r="AF5" s="181">
        <f>O5+(V$2/34)</f>
        <v>7.1099999999999994</v>
      </c>
      <c r="AG5" s="181">
        <f>P5+(W$2/14)</f>
        <v>11.035714285714286</v>
      </c>
      <c r="AH5" s="181">
        <f>Q5+(X$2/10)</f>
        <v>7.1499999999999986</v>
      </c>
      <c r="AI5" s="181">
        <f>R5+(Y$2/40)</f>
        <v>2.0099999999999998</v>
      </c>
      <c r="AJ5" s="181">
        <f>S5+(Z$2/7)</f>
        <v>15.499999999999998</v>
      </c>
      <c r="AK5" s="182">
        <f t="shared" si="8"/>
        <v>0</v>
      </c>
      <c r="AL5" s="182">
        <f t="shared" si="8"/>
        <v>0</v>
      </c>
      <c r="AM5" s="182">
        <f t="shared" si="8"/>
        <v>0</v>
      </c>
      <c r="AN5" s="182">
        <f t="shared" si="8"/>
        <v>0</v>
      </c>
      <c r="AO5" s="182">
        <f t="shared" si="8"/>
        <v>9.9999999999999645E-2</v>
      </c>
      <c r="AP5" s="182">
        <f t="shared" si="8"/>
        <v>0</v>
      </c>
      <c r="AQ5" s="182">
        <f t="shared" si="8"/>
        <v>0</v>
      </c>
      <c r="AR5" s="187"/>
      <c r="AS5" s="188" t="s">
        <v>224</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3.9124999999999996</v>
      </c>
      <c r="BE5" s="191">
        <f>((AL5)+(AO5)*2)/8</f>
        <v>2.4999999999999911E-2</v>
      </c>
      <c r="BF5" s="187"/>
      <c r="BG5" s="114" t="s">
        <v>178</v>
      </c>
      <c r="BH5" s="115">
        <v>1</v>
      </c>
      <c r="BI5" s="173">
        <v>0.877</v>
      </c>
      <c r="BJ5" s="174">
        <v>0.25</v>
      </c>
      <c r="BK5" s="72">
        <f t="shared" si="1"/>
        <v>2.5</v>
      </c>
      <c r="BL5" s="72">
        <f t="shared" si="2"/>
        <v>3.75</v>
      </c>
    </row>
    <row r="6" spans="1:64" ht="18.75" x14ac:dyDescent="0.3">
      <c r="A6" s="16" t="str">
        <f>PLANTILLA!A6</f>
        <v>#3</v>
      </c>
      <c r="B6" s="26" t="str">
        <f>PLANTILLA!B6</f>
        <v>DEF</v>
      </c>
      <c r="C6" s="132">
        <f ca="1">PLANTILLA!C6</f>
        <v>1.2142857142857142</v>
      </c>
      <c r="D6" s="1" t="str">
        <f>PLANTILLA!D6</f>
        <v>Csaba Mező</v>
      </c>
      <c r="E6" s="2">
        <f>PLANTILLA!E6</f>
        <v>31</v>
      </c>
      <c r="F6" s="3">
        <f ca="1">PLANTILLA!F6</f>
        <v>88</v>
      </c>
      <c r="G6" s="4">
        <f>PLANTILLA!G6</f>
        <v>0</v>
      </c>
      <c r="H6" s="5">
        <f>PLANTILLA!H6</f>
        <v>3</v>
      </c>
      <c r="I6" s="6">
        <f>PLANTILLA!I6</f>
        <v>9.1</v>
      </c>
      <c r="J6" s="21">
        <f>PLANTILLA!O6</f>
        <v>7.1</v>
      </c>
      <c r="K6" s="7">
        <f t="shared" si="9"/>
        <v>81.899999999999991</v>
      </c>
      <c r="L6" s="7">
        <f t="shared" si="10"/>
        <v>145.6</v>
      </c>
      <c r="M6" s="23">
        <f>PLANTILLA!X6</f>
        <v>0</v>
      </c>
      <c r="N6" s="23">
        <f>PLANTILLA!Y6</f>
        <v>13.05</v>
      </c>
      <c r="O6" s="23">
        <f>PLANTILLA!Z6</f>
        <v>3.18</v>
      </c>
      <c r="P6" s="23">
        <f>PLANTILLA!AA6</f>
        <v>12.033333333333333</v>
      </c>
      <c r="Q6" s="23">
        <f>PLANTILLA!AB6</f>
        <v>9.0399999999999991</v>
      </c>
      <c r="R6" s="23">
        <f>PLANTILLA!AC6</f>
        <v>4.01</v>
      </c>
      <c r="S6" s="23">
        <f>PLANTILLA!AD6</f>
        <v>10.333333333333334</v>
      </c>
      <c r="T6" s="180">
        <v>0</v>
      </c>
      <c r="U6" s="180">
        <v>1</v>
      </c>
      <c r="V6" s="180">
        <v>0.13</v>
      </c>
      <c r="W6" s="180">
        <v>0.5</v>
      </c>
      <c r="X6" s="180">
        <v>1</v>
      </c>
      <c r="Y6" s="180">
        <f t="shared" si="3"/>
        <v>0.17</v>
      </c>
      <c r="Z6" s="180">
        <v>1</v>
      </c>
      <c r="AA6" s="178">
        <f t="shared" si="4"/>
        <v>31</v>
      </c>
      <c r="AB6" s="179">
        <f t="shared" ca="1" si="5"/>
        <v>95</v>
      </c>
      <c r="AC6" s="27">
        <f t="shared" si="6"/>
        <v>9.1</v>
      </c>
      <c r="AD6" s="181">
        <f t="shared" ref="AD6:AD18" si="11">M6</f>
        <v>0</v>
      </c>
      <c r="AE6" s="181">
        <f>N6+(U$2/15)</f>
        <v>13.05</v>
      </c>
      <c r="AF6" s="181">
        <f>O6+(V$2/60)</f>
        <v>3.18</v>
      </c>
      <c r="AG6" s="181">
        <f>P6+(W$2/16)</f>
        <v>12.033333333333333</v>
      </c>
      <c r="AH6" s="181">
        <f>Q6+(X$2/16)</f>
        <v>9.1024999999999991</v>
      </c>
      <c r="AI6" s="181">
        <f>R6+(Y$2/40)</f>
        <v>4.01</v>
      </c>
      <c r="AJ6" s="181">
        <f>S6+(Z$2/4)</f>
        <v>10.333333333333334</v>
      </c>
      <c r="AK6" s="182">
        <f t="shared" si="8"/>
        <v>0</v>
      </c>
      <c r="AL6" s="182">
        <f t="shared" si="8"/>
        <v>0</v>
      </c>
      <c r="AM6" s="182">
        <f t="shared" si="8"/>
        <v>0</v>
      </c>
      <c r="AN6" s="182">
        <f t="shared" si="8"/>
        <v>0</v>
      </c>
      <c r="AO6" s="182">
        <f t="shared" si="8"/>
        <v>6.25E-2</v>
      </c>
      <c r="AP6" s="182">
        <f t="shared" si="8"/>
        <v>0</v>
      </c>
      <c r="AQ6" s="182">
        <f t="shared" si="8"/>
        <v>0</v>
      </c>
      <c r="AR6" s="34"/>
      <c r="AS6" s="123" t="s">
        <v>232</v>
      </c>
      <c r="AT6" s="26" t="str">
        <f>D9</f>
        <v>Ibiur Altxakoa</v>
      </c>
      <c r="AU6" s="192">
        <f>AL9*0.378</f>
        <v>0</v>
      </c>
      <c r="AV6" s="192">
        <f>AU6</f>
        <v>0</v>
      </c>
      <c r="AW6" s="192">
        <f>AL9*1</f>
        <v>0</v>
      </c>
      <c r="AX6" s="192">
        <f>AM9*0.236</f>
        <v>0</v>
      </c>
      <c r="AY6" s="192">
        <v>0</v>
      </c>
      <c r="AZ6" s="192">
        <v>0</v>
      </c>
      <c r="BA6" s="192">
        <v>0</v>
      </c>
      <c r="BB6" s="200">
        <f>(0.5*AP9+0.3*AQ9)/10</f>
        <v>0</v>
      </c>
      <c r="BC6" s="200">
        <f>(0.4*AL9+0.3*AQ9)/10</f>
        <v>0</v>
      </c>
      <c r="BD6" s="191">
        <f>((AE9+1)+(AH9+1)*2)/8</f>
        <v>4.0671428571428567</v>
      </c>
      <c r="BE6" s="191">
        <f>((AL9)+(AO9)*2)/8</f>
        <v>1.7857142857142794E-2</v>
      </c>
      <c r="BF6" s="34"/>
      <c r="BG6" s="114" t="s">
        <v>179</v>
      </c>
      <c r="BH6" s="115">
        <v>1</v>
      </c>
      <c r="BI6" s="173">
        <v>0.59299999999999997</v>
      </c>
      <c r="BJ6" s="174">
        <v>0.19</v>
      </c>
      <c r="BK6" s="72">
        <f t="shared" si="1"/>
        <v>1.9</v>
      </c>
      <c r="BL6" s="72">
        <f t="shared" si="2"/>
        <v>2.85</v>
      </c>
    </row>
    <row r="7" spans="1:64" x14ac:dyDescent="0.25">
      <c r="A7" s="16" t="str">
        <f>PLANTILLA!A7</f>
        <v>#5</v>
      </c>
      <c r="B7" s="16" t="str">
        <f>PLANTILLA!B7</f>
        <v>DEF</v>
      </c>
      <c r="C7" s="132">
        <f ca="1">PLANTILLA!C7</f>
        <v>1.7142857142857142</v>
      </c>
      <c r="D7" s="1" t="str">
        <f>PLANTILLA!D7</f>
        <v>Mateuz Brzostowski</v>
      </c>
      <c r="E7" s="2">
        <f>PLANTILLA!E7</f>
        <v>31</v>
      </c>
      <c r="F7" s="3">
        <f ca="1">PLANTILLA!F7</f>
        <v>32</v>
      </c>
      <c r="G7" s="4">
        <f>PLANTILLA!G7</f>
        <v>0</v>
      </c>
      <c r="H7" s="138">
        <f>PLANTILLA!H7</f>
        <v>2</v>
      </c>
      <c r="I7" s="6">
        <f>PLANTILLA!I7</f>
        <v>8.9</v>
      </c>
      <c r="J7" s="21">
        <f>PLANTILLA!O7</f>
        <v>7</v>
      </c>
      <c r="K7" s="7">
        <f t="shared" si="9"/>
        <v>35.6</v>
      </c>
      <c r="L7" s="7">
        <f t="shared" si="10"/>
        <v>80.100000000000009</v>
      </c>
      <c r="M7" s="23">
        <f>PLANTILLA!X7</f>
        <v>0</v>
      </c>
      <c r="N7" s="23">
        <f>PLANTILLA!Y7</f>
        <v>14</v>
      </c>
      <c r="O7" s="23">
        <f>PLANTILLA!Z7</f>
        <v>5.0199999999999996</v>
      </c>
      <c r="P7" s="23">
        <f>PLANTILLA!AA7</f>
        <v>10.01</v>
      </c>
      <c r="Q7" s="23">
        <f>PLANTILLA!AB7</f>
        <v>9.0399999999999991</v>
      </c>
      <c r="R7" s="23">
        <f>PLANTILLA!AC7</f>
        <v>1.01</v>
      </c>
      <c r="S7" s="23">
        <f>PLANTILLA!AD7</f>
        <v>13.999999999999998</v>
      </c>
      <c r="T7" s="180">
        <v>0</v>
      </c>
      <c r="U7" s="180">
        <v>1</v>
      </c>
      <c r="V7" s="180">
        <v>0.13</v>
      </c>
      <c r="W7" s="180">
        <v>0.13</v>
      </c>
      <c r="X7" s="180">
        <v>1</v>
      </c>
      <c r="Y7" s="180">
        <f t="shared" si="3"/>
        <v>0.17</v>
      </c>
      <c r="Z7" s="180">
        <v>1</v>
      </c>
      <c r="AA7" s="178">
        <f t="shared" si="4"/>
        <v>31</v>
      </c>
      <c r="AB7" s="179">
        <f t="shared" ca="1" si="5"/>
        <v>39</v>
      </c>
      <c r="AC7" s="27">
        <f t="shared" si="6"/>
        <v>8.9</v>
      </c>
      <c r="AD7" s="181">
        <f t="shared" si="11"/>
        <v>0</v>
      </c>
      <c r="AE7" s="181">
        <f>N7+(U$2/20)</f>
        <v>14</v>
      </c>
      <c r="AF7" s="181">
        <f>O7+(V$2/50)</f>
        <v>5.0199999999999996</v>
      </c>
      <c r="AG7" s="181">
        <f>P7+(W$2/43)</f>
        <v>10.01</v>
      </c>
      <c r="AH7" s="181">
        <f>Q7+(X$2/7)</f>
        <v>9.1828571428571415</v>
      </c>
      <c r="AI7" s="181">
        <f>R7+(Y$2/32)</f>
        <v>1.01</v>
      </c>
      <c r="AJ7" s="181">
        <f>S7+(Z$2/3)</f>
        <v>13.999999999999998</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224</v>
      </c>
      <c r="AT7" s="26" t="str">
        <f>D6</f>
        <v>Csaba Mező</v>
      </c>
      <c r="AU7" s="192">
        <v>0</v>
      </c>
      <c r="AV7" s="192">
        <f>AL6*0.919</f>
        <v>0</v>
      </c>
      <c r="AW7" s="192">
        <f>AL6*0.414</f>
        <v>0</v>
      </c>
      <c r="AX7" s="192">
        <f>AM6*0.167</f>
        <v>0</v>
      </c>
      <c r="AY7" s="192">
        <v>0</v>
      </c>
      <c r="AZ7" s="192">
        <f>AN6*0.588</f>
        <v>0</v>
      </c>
      <c r="BA7" s="192">
        <v>0</v>
      </c>
      <c r="BB7" s="200">
        <f>(0.5*AP6+0.3*AQ6)/10</f>
        <v>0</v>
      </c>
      <c r="BC7" s="200">
        <f>(0.4*AL6+0.3*AQ6)/10</f>
        <v>0</v>
      </c>
      <c r="BD7" s="191">
        <f>((AE6+1)+(AH6+1)*2)/8</f>
        <v>4.2818749999999994</v>
      </c>
      <c r="BE7" s="191">
        <f>((AL6)+(AO6)*2)/8</f>
        <v>1.5625E-2</v>
      </c>
      <c r="BF7" s="34"/>
      <c r="BG7" s="34"/>
      <c r="BH7" s="34"/>
      <c r="BI7" s="34"/>
      <c r="BJ7" s="34"/>
      <c r="BK7" s="34"/>
      <c r="BL7" s="34"/>
    </row>
    <row r="8" spans="1:64" x14ac:dyDescent="0.25">
      <c r="A8" s="16" t="str">
        <f>PLANTILLA!A8</f>
        <v>#8</v>
      </c>
      <c r="B8" s="26" t="str">
        <f>PLANTILLA!B8</f>
        <v>DEF</v>
      </c>
      <c r="C8" s="132">
        <f ca="1">PLANTILLA!C8</f>
        <v>1.8660714285714286</v>
      </c>
      <c r="D8" s="1" t="str">
        <f>PLANTILLA!D8</f>
        <v>Andrea Califano</v>
      </c>
      <c r="E8" s="2">
        <f>PLANTILLA!E8</f>
        <v>31</v>
      </c>
      <c r="F8" s="3">
        <f ca="1">PLANTILLA!F8</f>
        <v>15</v>
      </c>
      <c r="G8" s="4">
        <f>PLANTILLA!G8</f>
        <v>0</v>
      </c>
      <c r="H8" s="5">
        <f>PLANTILLA!H8</f>
        <v>3</v>
      </c>
      <c r="I8" s="6">
        <f>PLANTILLA!I8</f>
        <v>8.3000000000000007</v>
      </c>
      <c r="J8" s="21">
        <f>PLANTILLA!O8</f>
        <v>7</v>
      </c>
      <c r="K8" s="7">
        <f t="shared" si="9"/>
        <v>74.7</v>
      </c>
      <c r="L8" s="7">
        <f t="shared" si="10"/>
        <v>132.80000000000001</v>
      </c>
      <c r="M8" s="23">
        <f>PLANTILLA!X8</f>
        <v>0</v>
      </c>
      <c r="N8" s="23">
        <f>PLANTILLA!Y8</f>
        <v>14</v>
      </c>
      <c r="O8" s="23">
        <f>PLANTILLA!Z8</f>
        <v>3.02</v>
      </c>
      <c r="P8" s="23">
        <f>PLANTILLA!AA8</f>
        <v>3.01</v>
      </c>
      <c r="Q8" s="23">
        <f>PLANTILLA!AB8</f>
        <v>10.01</v>
      </c>
      <c r="R8" s="23">
        <f>PLANTILLA!AC8</f>
        <v>3</v>
      </c>
      <c r="S8" s="23">
        <f>PLANTILLA!AD8</f>
        <v>17.166666666666668</v>
      </c>
      <c r="T8" s="180">
        <v>0</v>
      </c>
      <c r="U8" s="180">
        <v>1</v>
      </c>
      <c r="V8" s="180">
        <v>0.13</v>
      </c>
      <c r="W8" s="180">
        <v>0.5</v>
      </c>
      <c r="X8" s="180">
        <v>1</v>
      </c>
      <c r="Y8" s="180">
        <f t="shared" si="3"/>
        <v>0.17</v>
      </c>
      <c r="Z8" s="180">
        <v>1</v>
      </c>
      <c r="AA8" s="178">
        <f t="shared" si="4"/>
        <v>31</v>
      </c>
      <c r="AB8" s="179">
        <f t="shared" ca="1" si="5"/>
        <v>22</v>
      </c>
      <c r="AC8" s="27">
        <f t="shared" si="6"/>
        <v>8.3000000000000007</v>
      </c>
      <c r="AD8" s="181">
        <f t="shared" si="11"/>
        <v>0</v>
      </c>
      <c r="AE8" s="181">
        <f>N8+(U$2/18)</f>
        <v>14</v>
      </c>
      <c r="AF8" s="181">
        <f>O8+(V$2/56)</f>
        <v>3.02</v>
      </c>
      <c r="AG8" s="181">
        <f>P8+(W$2/10)</f>
        <v>3.01</v>
      </c>
      <c r="AH8" s="181">
        <f>Q8+(X$2/6)</f>
        <v>10.176666666666666</v>
      </c>
      <c r="AI8" s="181">
        <f>R8+(Y$2/40)</f>
        <v>3</v>
      </c>
      <c r="AJ8" s="181">
        <f>S8+(Z$2/2.5)</f>
        <v>17.166666666666668</v>
      </c>
      <c r="AK8" s="182">
        <v>0</v>
      </c>
      <c r="AL8" s="182">
        <f t="shared" ref="AL8" si="18">AE8-N8</f>
        <v>0</v>
      </c>
      <c r="AM8" s="182">
        <f t="shared" ref="AM8" si="19">AF8-O8</f>
        <v>0</v>
      </c>
      <c r="AN8" s="182">
        <f t="shared" ref="AN8" si="20">AG8-P8</f>
        <v>0</v>
      </c>
      <c r="AO8" s="182">
        <f t="shared" ref="AO8" si="21">AH8-Q8</f>
        <v>0.16666666666666607</v>
      </c>
      <c r="AP8" s="182">
        <f t="shared" ref="AP8" si="22">AI8-R8</f>
        <v>0</v>
      </c>
      <c r="AQ8" s="182">
        <f t="shared" ref="AQ8" si="23">AJ8-S8</f>
        <v>0</v>
      </c>
      <c r="AR8" s="193"/>
      <c r="AS8" s="201" t="s">
        <v>230</v>
      </c>
      <c r="AT8" s="185" t="str">
        <f>D13</f>
        <v>Iyad Chaabo</v>
      </c>
      <c r="AU8" s="186">
        <f>AL13*0.284</f>
        <v>0</v>
      </c>
      <c r="AV8" s="186">
        <v>0</v>
      </c>
      <c r="AW8" s="186">
        <f>AL13*0.244</f>
        <v>0</v>
      </c>
      <c r="AX8" s="186">
        <f>AM13*0.631</f>
        <v>0</v>
      </c>
      <c r="AY8" s="186">
        <f>(AN13*0.702)+(AO13*0.193)</f>
        <v>3.2166666666666552E-2</v>
      </c>
      <c r="AZ8" s="186">
        <v>0</v>
      </c>
      <c r="BA8" s="186">
        <f>(AO13*0.148)</f>
        <v>2.4666666666666576E-2</v>
      </c>
      <c r="BB8" s="200">
        <f>(0.5*AP13+0.3*AQ13)/10</f>
        <v>0</v>
      </c>
      <c r="BC8" s="200">
        <f>(0.4*AL13+0.3*AQ13)/10</f>
        <v>0</v>
      </c>
      <c r="BD8" s="199">
        <v>0</v>
      </c>
      <c r="BE8" s="199">
        <v>0</v>
      </c>
      <c r="BF8" s="193"/>
      <c r="BG8" s="56"/>
      <c r="BH8" s="193"/>
      <c r="BI8" s="193"/>
      <c r="BJ8" s="193"/>
      <c r="BK8" s="193"/>
      <c r="BL8" s="193"/>
    </row>
    <row r="9" spans="1:64" x14ac:dyDescent="0.25">
      <c r="A9" s="16" t="str">
        <f>PLANTILLA!A9</f>
        <v>#7</v>
      </c>
      <c r="B9" s="26" t="str">
        <f>PLANTILLA!B9</f>
        <v>DEF</v>
      </c>
      <c r="C9" s="132">
        <f ca="1">PLANTILLA!C9</f>
        <v>0.4017857142857143</v>
      </c>
      <c r="D9" s="1" t="str">
        <f>PLANTILLA!D9</f>
        <v>Ibiur Altxakoa</v>
      </c>
      <c r="E9" s="2">
        <f>PLANTILLA!E9</f>
        <v>32</v>
      </c>
      <c r="F9" s="3">
        <f ca="1">PLANTILLA!F9</f>
        <v>67</v>
      </c>
      <c r="G9" s="4" t="str">
        <f>PLANTILLA!G9</f>
        <v>CAB</v>
      </c>
      <c r="H9" s="138">
        <f>PLANTILLA!H9</f>
        <v>3</v>
      </c>
      <c r="I9" s="6">
        <f>PLANTILLA!I9</f>
        <v>10.9</v>
      </c>
      <c r="J9" s="21">
        <f>PLANTILLA!O9</f>
        <v>6.9</v>
      </c>
      <c r="K9" s="7">
        <f t="shared" si="9"/>
        <v>98.100000000000009</v>
      </c>
      <c r="L9" s="7">
        <f t="shared" si="10"/>
        <v>174.4</v>
      </c>
      <c r="M9" s="23">
        <f>PLANTILLA!X9</f>
        <v>0</v>
      </c>
      <c r="N9" s="23">
        <f>PLANTILLA!Y9</f>
        <v>15.028571428571428</v>
      </c>
      <c r="O9" s="23">
        <f>PLANTILLA!Z9</f>
        <v>12</v>
      </c>
      <c r="P9" s="23">
        <f>PLANTILLA!AA9</f>
        <v>2.0099999999999998</v>
      </c>
      <c r="Q9" s="23">
        <f>PLANTILLA!AB9</f>
        <v>7.1828571428571424</v>
      </c>
      <c r="R9" s="23">
        <f>PLANTILLA!AC9</f>
        <v>3.99</v>
      </c>
      <c r="S9" s="23">
        <f>PLANTILLA!AD9</f>
        <v>14.599999999999998</v>
      </c>
      <c r="T9" s="180">
        <v>0</v>
      </c>
      <c r="U9" s="180">
        <v>1</v>
      </c>
      <c r="V9" s="180">
        <v>0.13</v>
      </c>
      <c r="W9" s="180">
        <v>0.5</v>
      </c>
      <c r="X9" s="180">
        <v>1</v>
      </c>
      <c r="Y9" s="180">
        <f t="shared" si="3"/>
        <v>0.17</v>
      </c>
      <c r="Z9" s="180">
        <v>1</v>
      </c>
      <c r="AA9" s="178">
        <f t="shared" si="4"/>
        <v>32</v>
      </c>
      <c r="AB9" s="179">
        <f t="shared" ca="1" si="5"/>
        <v>74</v>
      </c>
      <c r="AC9" s="27">
        <f t="shared" si="6"/>
        <v>10.9</v>
      </c>
      <c r="AD9" s="181">
        <f t="shared" si="11"/>
        <v>0</v>
      </c>
      <c r="AE9" s="181">
        <f>N9+(U$2/28)</f>
        <v>15.028571428571428</v>
      </c>
      <c r="AF9" s="181">
        <f>O9+(V$2/45)</f>
        <v>12</v>
      </c>
      <c r="AG9" s="181">
        <f>P9+(W$2/6)</f>
        <v>2.0099999999999998</v>
      </c>
      <c r="AH9" s="181">
        <f>Q9+(X$2/14)</f>
        <v>7.2542857142857136</v>
      </c>
      <c r="AI9" s="181">
        <f>R9+(Y$2/45)</f>
        <v>3.99</v>
      </c>
      <c r="AJ9" s="181">
        <f>S9+(Z$2/1)</f>
        <v>14.599999999999998</v>
      </c>
      <c r="AK9" s="182">
        <v>0</v>
      </c>
      <c r="AL9" s="182">
        <f t="shared" ref="AL9" si="24">AE9-N9</f>
        <v>0</v>
      </c>
      <c r="AM9" s="182">
        <f t="shared" ref="AM9" si="25">AF9-O9</f>
        <v>0</v>
      </c>
      <c r="AN9" s="182">
        <f t="shared" ref="AN9" si="26">AG9-P9</f>
        <v>0</v>
      </c>
      <c r="AO9" s="182">
        <f t="shared" ref="AO9" si="27">AH9-Q9</f>
        <v>7.1428571428571175E-2</v>
      </c>
      <c r="AP9" s="182">
        <f t="shared" ref="AP9" si="28">AI9-R9</f>
        <v>0</v>
      </c>
      <c r="AQ9" s="182">
        <f t="shared" ref="AQ9" si="29">AJ9-S9</f>
        <v>0</v>
      </c>
      <c r="AR9" s="34"/>
      <c r="AS9" s="123" t="s">
        <v>226</v>
      </c>
      <c r="AT9" s="26" t="str">
        <f>D15</f>
        <v>Gianfranco Rezza</v>
      </c>
      <c r="AU9" s="192">
        <f>AL15*0.057</f>
        <v>0</v>
      </c>
      <c r="AV9" s="192">
        <f>AL15*0.057</f>
        <v>0</v>
      </c>
      <c r="AW9" s="192">
        <f>AL15*0.162</f>
        <v>0</v>
      </c>
      <c r="AX9" s="192">
        <f>AM15*0.944</f>
        <v>0</v>
      </c>
      <c r="AY9" s="192">
        <f>(AO15*0.189)</f>
        <v>1.5750000000000111E-2</v>
      </c>
      <c r="AZ9" s="192">
        <f>(AO15*0.189)</f>
        <v>1.5750000000000111E-2</v>
      </c>
      <c r="BA9" s="192">
        <f>(AO15*0.507)+(AP15*0.31)</f>
        <v>4.2250000000000301E-2</v>
      </c>
      <c r="BB9" s="200">
        <f>(0.5*AP15+0.3*AQ15)/10</f>
        <v>0</v>
      </c>
      <c r="BC9" s="200">
        <f>(0.4*AL15+0.3*AQ15)/10</f>
        <v>0</v>
      </c>
      <c r="BD9" s="200">
        <v>0</v>
      </c>
      <c r="BE9" s="200">
        <v>0</v>
      </c>
      <c r="BF9" s="34"/>
      <c r="BG9" t="s">
        <v>235</v>
      </c>
      <c r="BH9" s="34"/>
      <c r="BI9" s="34"/>
      <c r="BJ9" s="34"/>
      <c r="BK9" s="34"/>
      <c r="BL9" s="34"/>
    </row>
    <row r="10" spans="1:64" x14ac:dyDescent="0.25">
      <c r="A10" s="16" t="str">
        <f>PLANTILLA!A10</f>
        <v>#4</v>
      </c>
      <c r="B10" s="16" t="str">
        <f>PLANTILLA!B10</f>
        <v>DEF</v>
      </c>
      <c r="C10" s="132">
        <f ca="1">PLANTILLA!C10</f>
        <v>1.0892857142857142</v>
      </c>
      <c r="D10" s="31" t="str">
        <f>PLANTILLA!D10</f>
        <v>Jorge W. Whitaker</v>
      </c>
      <c r="E10" s="18">
        <f>PLANTILLA!E10</f>
        <v>31</v>
      </c>
      <c r="F10" s="3">
        <f ca="1">PLANTILLA!F10</f>
        <v>102</v>
      </c>
      <c r="G10" s="20" t="str">
        <f>PLANTILLA!G10</f>
        <v>POT</v>
      </c>
      <c r="H10" s="138">
        <f>PLANTILLA!H10</f>
        <v>2</v>
      </c>
      <c r="I10" s="30">
        <f>PLANTILLA!I10</f>
        <v>9.1999999999999993</v>
      </c>
      <c r="J10" s="21">
        <f>PLANTILLA!O10</f>
        <v>7</v>
      </c>
      <c r="K10" s="7">
        <f t="shared" si="9"/>
        <v>36.799999999999997</v>
      </c>
      <c r="L10" s="7">
        <f t="shared" si="10"/>
        <v>82.8</v>
      </c>
      <c r="M10" s="23">
        <f>PLANTILLA!X10</f>
        <v>0</v>
      </c>
      <c r="N10" s="23">
        <f>PLANTILLA!Y10</f>
        <v>12</v>
      </c>
      <c r="O10" s="23">
        <f>PLANTILLA!Z10</f>
        <v>15.04</v>
      </c>
      <c r="P10" s="23">
        <f>PLANTILLA!AA10</f>
        <v>2.0099999999999998</v>
      </c>
      <c r="Q10" s="23">
        <f>PLANTILLA!AB10</f>
        <v>8.3488888888888884</v>
      </c>
      <c r="R10" s="23">
        <f>PLANTILLA!AC10</f>
        <v>2.1666666666666665</v>
      </c>
      <c r="S10" s="23">
        <f>PLANTILLA!AD10</f>
        <v>8.4488888888888898</v>
      </c>
      <c r="T10" s="180">
        <v>0</v>
      </c>
      <c r="U10" s="180">
        <v>1</v>
      </c>
      <c r="V10" s="180">
        <v>1</v>
      </c>
      <c r="W10" s="180">
        <v>0.13</v>
      </c>
      <c r="X10" s="180">
        <v>1</v>
      </c>
      <c r="Y10" s="180">
        <f t="shared" si="3"/>
        <v>0.17</v>
      </c>
      <c r="Z10" s="180">
        <v>1</v>
      </c>
      <c r="AA10" s="178">
        <f t="shared" si="4"/>
        <v>31</v>
      </c>
      <c r="AB10" s="179">
        <f t="shared" ca="1" si="5"/>
        <v>109</v>
      </c>
      <c r="AC10" s="27">
        <f t="shared" si="6"/>
        <v>9.1999999999999993</v>
      </c>
      <c r="AD10" s="181">
        <f t="shared" si="11"/>
        <v>0</v>
      </c>
      <c r="AE10" s="181">
        <f>N10+(U$2/18)</f>
        <v>12</v>
      </c>
      <c r="AF10" s="181">
        <f>O10+(V$2/19)</f>
        <v>15.04</v>
      </c>
      <c r="AG10" s="181">
        <f>P10+(W$2/41)</f>
        <v>2.0099999999999998</v>
      </c>
      <c r="AH10" s="181">
        <f>Q10+(X$2/5)</f>
        <v>8.5488888888888876</v>
      </c>
      <c r="AI10" s="181">
        <f>R10+(Y$2/45)</f>
        <v>2.1666666666666665</v>
      </c>
      <c r="AJ10" s="181">
        <f>S10+(Z$2/1)</f>
        <v>8.4488888888888898</v>
      </c>
      <c r="AK10" s="182">
        <v>0</v>
      </c>
      <c r="AL10" s="182">
        <f t="shared" ref="AL10" si="30">AE10-N10</f>
        <v>0</v>
      </c>
      <c r="AM10" s="182">
        <f t="shared" ref="AM10" si="31">AF10-O10</f>
        <v>0</v>
      </c>
      <c r="AN10" s="182">
        <f t="shared" ref="AN10" si="32">AG10-P10</f>
        <v>0</v>
      </c>
      <c r="AO10" s="182">
        <f t="shared" ref="AO10" si="33">AH10-Q10</f>
        <v>0.19999999999999929</v>
      </c>
      <c r="AP10" s="182">
        <f t="shared" ref="AP10" si="34">AI10-R10</f>
        <v>0</v>
      </c>
      <c r="AQ10" s="182">
        <f t="shared" ref="AQ10" si="35">AJ10-S10</f>
        <v>0</v>
      </c>
      <c r="AR10" s="56"/>
      <c r="AS10" s="123" t="s">
        <v>231</v>
      </c>
      <c r="AT10" s="26" t="str">
        <f>D10</f>
        <v>Jorge W. Whitaker</v>
      </c>
      <c r="AU10" s="192">
        <f>AL10*0.189</f>
        <v>0</v>
      </c>
      <c r="AV10" s="192">
        <f>AL10*0.095</f>
        <v>0</v>
      </c>
      <c r="AW10" s="192">
        <f>AL10*0.4</f>
        <v>0</v>
      </c>
      <c r="AX10" s="192">
        <f>AM10*1</f>
        <v>0</v>
      </c>
      <c r="AY10" s="192">
        <f>AO10*0.253</f>
        <v>5.0599999999999819E-2</v>
      </c>
      <c r="AZ10" s="192">
        <f>AO10*0.123</f>
        <v>2.4599999999999914E-2</v>
      </c>
      <c r="BA10" s="192">
        <f>(AO10*0.341)+(AP10*0.21)</f>
        <v>6.8199999999999761E-2</v>
      </c>
      <c r="BB10" s="200">
        <f>(0.5*AP10+0.3*AQ10)/10</f>
        <v>0</v>
      </c>
      <c r="BC10" s="200">
        <f>(0.4*AL10+0.3*AQ10)/10</f>
        <v>0</v>
      </c>
      <c r="BD10" s="200">
        <v>0</v>
      </c>
      <c r="BE10" s="200">
        <v>0</v>
      </c>
      <c r="BF10" s="56"/>
      <c r="BG10" t="s">
        <v>236</v>
      </c>
      <c r="BH10" s="56"/>
      <c r="BI10" s="56"/>
      <c r="BJ10" s="56"/>
      <c r="BK10" s="56"/>
      <c r="BL10" s="56"/>
    </row>
    <row r="11" spans="1:64" x14ac:dyDescent="0.25">
      <c r="A11" s="16" t="str">
        <f>PLANTILLA!A11</f>
        <v>#13</v>
      </c>
      <c r="B11" s="26" t="str">
        <f>PLANTILLA!B11</f>
        <v>MED</v>
      </c>
      <c r="C11" s="132">
        <f ca="1">PLANTILLA!C11</f>
        <v>0.8303571428571429</v>
      </c>
      <c r="D11" s="1" t="str">
        <f>PLANTILLA!D11</f>
        <v>Emilio Mochelato</v>
      </c>
      <c r="E11" s="2">
        <f>PLANTILLA!E11</f>
        <v>32</v>
      </c>
      <c r="F11" s="3">
        <f ca="1">PLANTILLA!F11</f>
        <v>19</v>
      </c>
      <c r="G11" s="4" t="str">
        <f>PLANTILLA!G11</f>
        <v>RAP</v>
      </c>
      <c r="H11" s="5">
        <f>PLANTILLA!H11</f>
        <v>1</v>
      </c>
      <c r="I11" s="6">
        <f>PLANTILLA!I11</f>
        <v>10.5</v>
      </c>
      <c r="J11" s="21">
        <f>PLANTILLA!O11</f>
        <v>6.9</v>
      </c>
      <c r="K11" s="7">
        <f t="shared" si="9"/>
        <v>10.5</v>
      </c>
      <c r="L11" s="7">
        <f t="shared" si="10"/>
        <v>42</v>
      </c>
      <c r="M11" s="23">
        <f>PLANTILLA!X11</f>
        <v>0</v>
      </c>
      <c r="N11" s="23">
        <f>PLANTILLA!Y11</f>
        <v>5.0196078431372548</v>
      </c>
      <c r="O11" s="23">
        <f>PLANTILLA!Z11</f>
        <v>14.210000000000003</v>
      </c>
      <c r="P11" s="23">
        <f>PLANTILLA!AA11</f>
        <v>5</v>
      </c>
      <c r="Q11" s="23">
        <f>PLANTILLA!AB11</f>
        <v>12.487301587301586</v>
      </c>
      <c r="R11" s="23">
        <f>PLANTILLA!AC11</f>
        <v>3.41</v>
      </c>
      <c r="S11" s="23">
        <f>PLANTILLA!AD11</f>
        <v>15.499999999999998</v>
      </c>
      <c r="T11" s="180">
        <v>0</v>
      </c>
      <c r="U11" s="180">
        <f>0.17</f>
        <v>0.17</v>
      </c>
      <c r="V11" s="180">
        <v>0.5</v>
      </c>
      <c r="W11" s="180">
        <v>1</v>
      </c>
      <c r="X11" s="180">
        <v>1</v>
      </c>
      <c r="Y11" s="180">
        <f t="shared" si="3"/>
        <v>0.17</v>
      </c>
      <c r="Z11" s="180">
        <v>1</v>
      </c>
      <c r="AA11" s="178">
        <f t="shared" si="4"/>
        <v>32</v>
      </c>
      <c r="AB11" s="179">
        <f t="shared" ca="1" si="5"/>
        <v>26</v>
      </c>
      <c r="AC11" s="27">
        <f t="shared" si="6"/>
        <v>10.5</v>
      </c>
      <c r="AD11" s="181">
        <f t="shared" si="11"/>
        <v>0</v>
      </c>
      <c r="AE11" s="181">
        <f>N11+(U$2/4.5)</f>
        <v>5.0196078431372548</v>
      </c>
      <c r="AF11" s="181">
        <f>O11+(V$2/12)</f>
        <v>14.210000000000003</v>
      </c>
      <c r="AG11" s="181">
        <f>P11+(W$2/13)</f>
        <v>5</v>
      </c>
      <c r="AH11" s="181">
        <f>Q11+(X$2/16)</f>
        <v>12.549801587301586</v>
      </c>
      <c r="AI11" s="181">
        <f>R11+(Y$2/7)</f>
        <v>3.41</v>
      </c>
      <c r="AJ11" s="181">
        <f>S11+(Z$2/5)</f>
        <v>15.499999999999998</v>
      </c>
      <c r="AK11" s="182">
        <v>0</v>
      </c>
      <c r="AL11" s="182">
        <f t="shared" ref="AL11:AL12" si="36">AE11-N11</f>
        <v>0</v>
      </c>
      <c r="AM11" s="182">
        <f t="shared" ref="AM11:AM12" si="37">AF11-O11</f>
        <v>0</v>
      </c>
      <c r="AN11" s="182">
        <f t="shared" ref="AN11:AN12" si="38">AG11-P11</f>
        <v>0</v>
      </c>
      <c r="AO11" s="182">
        <f t="shared" ref="AO11:AO12" si="39">AH11-Q11</f>
        <v>6.25E-2</v>
      </c>
      <c r="AP11" s="182">
        <f t="shared" ref="AP11:AP12" si="40">AI11-R11</f>
        <v>0</v>
      </c>
      <c r="AQ11" s="182">
        <f t="shared" ref="AQ11:AQ12" si="41">AJ11-S11</f>
        <v>0</v>
      </c>
      <c r="AS11" s="123" t="s">
        <v>226</v>
      </c>
      <c r="AT11" s="26" t="str">
        <f>D16</f>
        <v>Saul Piña</v>
      </c>
      <c r="AU11" s="192">
        <f>AL16*0.038</f>
        <v>0</v>
      </c>
      <c r="AV11" s="192">
        <f>AL16*0.077</f>
        <v>0</v>
      </c>
      <c r="AW11" s="192">
        <f>AL16*0.162</f>
        <v>0</v>
      </c>
      <c r="AX11" s="192">
        <f>AM16*0.944</f>
        <v>0</v>
      </c>
      <c r="AY11" s="192">
        <f>(AO16*0.126)</f>
        <v>9.6923076923076581E-3</v>
      </c>
      <c r="AZ11" s="192">
        <f>(AO16*0.251)</f>
        <v>1.9307692307692238E-2</v>
      </c>
      <c r="BA11" s="192">
        <f>(AO16*0.507)+(AP16*0.31)</f>
        <v>3.8999999999999861E-2</v>
      </c>
      <c r="BB11" s="200">
        <f>(0.5*AP16+0.3*AQ16)/10</f>
        <v>0</v>
      </c>
      <c r="BC11" s="200">
        <f>(0.4*AL16+0.3*AQ16)/10</f>
        <v>0</v>
      </c>
      <c r="BD11" s="200">
        <v>0</v>
      </c>
      <c r="BE11" s="200">
        <v>0</v>
      </c>
    </row>
    <row r="12" spans="1:64" x14ac:dyDescent="0.25">
      <c r="A12" s="16" t="str">
        <f>PLANTILLA!A12</f>
        <v>#6</v>
      </c>
      <c r="B12" s="16" t="str">
        <f>PLANTILLA!B12</f>
        <v>DAV</v>
      </c>
      <c r="C12" s="132">
        <f ca="1">PLANTILLA!C12</f>
        <v>3</v>
      </c>
      <c r="D12" s="1" t="str">
        <f>PLANTILLA!D12</f>
        <v>Cezary Pauch</v>
      </c>
      <c r="E12" s="2">
        <f>PLANTILLA!E12</f>
        <v>30</v>
      </c>
      <c r="F12" s="3">
        <f ca="1">PLANTILLA!F12</f>
        <v>0</v>
      </c>
      <c r="G12" s="4" t="str">
        <f>PLANTILLA!G12</f>
        <v>RAP</v>
      </c>
      <c r="H12" s="5">
        <f>PLANTILLA!H12</f>
        <v>2</v>
      </c>
      <c r="I12" s="6">
        <f>PLANTILLA!I12</f>
        <v>6.1</v>
      </c>
      <c r="J12" s="21">
        <f>PLANTILLA!O12</f>
        <v>7</v>
      </c>
      <c r="K12" s="7">
        <f t="shared" si="9"/>
        <v>24.4</v>
      </c>
      <c r="L12" s="7">
        <f t="shared" si="10"/>
        <v>54.9</v>
      </c>
      <c r="M12" s="23">
        <f>PLANTILLA!X12</f>
        <v>0</v>
      </c>
      <c r="N12" s="23">
        <f>PLANTILLA!Y12</f>
        <v>2</v>
      </c>
      <c r="O12" s="23">
        <f>PLANTILLA!Z12</f>
        <v>13.022727272727273</v>
      </c>
      <c r="P12" s="23">
        <f>PLANTILLA!AA12</f>
        <v>14.00679012345679</v>
      </c>
      <c r="Q12" s="23">
        <f>PLANTILLA!AB12</f>
        <v>6.9986111111111118</v>
      </c>
      <c r="R12" s="23">
        <f>PLANTILLA!AC12</f>
        <v>5.01</v>
      </c>
      <c r="S12" s="23">
        <f>PLANTILLA!AD12</f>
        <v>1</v>
      </c>
      <c r="T12" s="180">
        <v>0</v>
      </c>
      <c r="U12" s="180">
        <f>0.17</f>
        <v>0.17</v>
      </c>
      <c r="V12" s="180">
        <v>1</v>
      </c>
      <c r="W12" s="180">
        <v>1</v>
      </c>
      <c r="X12" s="180">
        <v>1</v>
      </c>
      <c r="Y12" s="180">
        <v>1</v>
      </c>
      <c r="Z12" s="180">
        <v>1</v>
      </c>
      <c r="AA12" s="178">
        <f t="shared" si="4"/>
        <v>30</v>
      </c>
      <c r="AB12" s="179">
        <f t="shared" ca="1" si="5"/>
        <v>7</v>
      </c>
      <c r="AC12" s="27">
        <f t="shared" si="6"/>
        <v>6.1</v>
      </c>
      <c r="AD12" s="181">
        <f t="shared" si="11"/>
        <v>0</v>
      </c>
      <c r="AE12" s="181">
        <f>N12+(U$2/5)</f>
        <v>2</v>
      </c>
      <c r="AF12" s="181">
        <f>O12+(V$2/16)</f>
        <v>13.022727272727273</v>
      </c>
      <c r="AG12" s="181">
        <f>P12+(W$2/17)</f>
        <v>14.00679012345679</v>
      </c>
      <c r="AH12" s="181">
        <f>Q12+(X$2/9)</f>
        <v>7.1097222222222225</v>
      </c>
      <c r="AI12" s="181">
        <f>R12+(Y$2/6)</f>
        <v>5.01</v>
      </c>
      <c r="AJ12" s="181">
        <f>S12+(Z$2/3)</f>
        <v>1</v>
      </c>
      <c r="AK12" s="182">
        <v>0</v>
      </c>
      <c r="AL12" s="182">
        <f t="shared" si="36"/>
        <v>0</v>
      </c>
      <c r="AM12" s="182">
        <f t="shared" si="37"/>
        <v>0</v>
      </c>
      <c r="AN12" s="182">
        <f t="shared" si="38"/>
        <v>0</v>
      </c>
      <c r="AO12" s="182">
        <f t="shared" si="39"/>
        <v>0.11111111111111072</v>
      </c>
      <c r="AP12" s="182">
        <f t="shared" si="40"/>
        <v>0</v>
      </c>
      <c r="AQ12" s="182">
        <f t="shared" si="41"/>
        <v>0</v>
      </c>
      <c r="AR12" s="34"/>
      <c r="AS12" s="123" t="s">
        <v>225</v>
      </c>
      <c r="AT12" s="26" t="str">
        <f>D12</f>
        <v>Cezary Pauch</v>
      </c>
      <c r="AU12" s="192">
        <v>0</v>
      </c>
      <c r="AV12" s="192">
        <f>AL12*0.349</f>
        <v>0</v>
      </c>
      <c r="AW12" s="192">
        <f>AL12*0.201</f>
        <v>0</v>
      </c>
      <c r="AX12" s="192">
        <f>AM12*0.455</f>
        <v>0</v>
      </c>
      <c r="AY12" s="192">
        <v>0</v>
      </c>
      <c r="AZ12" s="192">
        <f>(AN12*0.864)+(AO12*0.244)</f>
        <v>2.7111111111111013E-2</v>
      </c>
      <c r="BA12" s="192">
        <f>AO12*0.121</f>
        <v>1.3444444444444396E-2</v>
      </c>
      <c r="BB12" s="200">
        <f>(0.5*AP12+0.3*AQ12)/10</f>
        <v>0</v>
      </c>
      <c r="BC12" s="200">
        <f>(0.4*AL12+0.3*AQ12)/10</f>
        <v>0</v>
      </c>
      <c r="BD12" s="200">
        <v>0</v>
      </c>
      <c r="BE12" s="200">
        <v>0</v>
      </c>
      <c r="BF12" s="34"/>
      <c r="BG12" t="s">
        <v>237</v>
      </c>
      <c r="BH12" s="34"/>
      <c r="BI12" s="34"/>
      <c r="BJ12" s="34"/>
      <c r="BK12" s="34"/>
      <c r="BL12" s="34"/>
    </row>
    <row r="13" spans="1:64" x14ac:dyDescent="0.25">
      <c r="A13" s="16" t="str">
        <f>PLANTILLA!A13</f>
        <v>#8</v>
      </c>
      <c r="B13" s="26" t="str">
        <f>PLANTILLA!B13</f>
        <v>EXT</v>
      </c>
      <c r="C13" s="132">
        <f ca="1">PLANTILLA!C13</f>
        <v>1.2589285714285714</v>
      </c>
      <c r="D13" s="1" t="str">
        <f>PLANTILLA!D13</f>
        <v>Iyad Chaabo</v>
      </c>
      <c r="E13" s="2">
        <f>PLANTILLA!E13</f>
        <v>31</v>
      </c>
      <c r="F13" s="3">
        <f ca="1">PLANTILLA!F13</f>
        <v>83</v>
      </c>
      <c r="G13" s="4">
        <f>PLANTILLA!G13</f>
        <v>0</v>
      </c>
      <c r="H13" s="138">
        <f>PLANTILLA!H13</f>
        <v>2</v>
      </c>
      <c r="I13" s="6">
        <f>PLANTILLA!I13</f>
        <v>8.6999999999999993</v>
      </c>
      <c r="J13" s="21">
        <f>PLANTILLA!O13</f>
        <v>7</v>
      </c>
      <c r="K13" s="7">
        <f t="shared" si="9"/>
        <v>34.799999999999997</v>
      </c>
      <c r="L13" s="7">
        <f t="shared" si="10"/>
        <v>78.3</v>
      </c>
      <c r="M13" s="23">
        <f>PLANTILLA!X13</f>
        <v>0</v>
      </c>
      <c r="N13" s="23">
        <f>PLANTILLA!Y13</f>
        <v>4</v>
      </c>
      <c r="O13" s="23">
        <f>PLANTILLA!Z13</f>
        <v>12.022727272727273</v>
      </c>
      <c r="P13" s="23">
        <f>PLANTILLA!AA13</f>
        <v>14.066666666666666</v>
      </c>
      <c r="Q13" s="23">
        <f>PLANTILLA!AB13</f>
        <v>8.5999999999999979</v>
      </c>
      <c r="R13" s="23">
        <f>PLANTILLA!AC13</f>
        <v>3.01</v>
      </c>
      <c r="S13" s="23">
        <f>PLANTILLA!AD13</f>
        <v>6</v>
      </c>
      <c r="T13" s="180">
        <v>0</v>
      </c>
      <c r="U13" s="180">
        <f>0.17</f>
        <v>0.17</v>
      </c>
      <c r="V13" s="180">
        <v>0.5</v>
      </c>
      <c r="W13" s="180">
        <v>1</v>
      </c>
      <c r="X13" s="180">
        <v>1</v>
      </c>
      <c r="Y13" s="180">
        <v>1</v>
      </c>
      <c r="Z13" s="180">
        <v>1</v>
      </c>
      <c r="AA13" s="178">
        <f t="shared" si="4"/>
        <v>31</v>
      </c>
      <c r="AB13" s="179">
        <f t="shared" ca="1" si="5"/>
        <v>90</v>
      </c>
      <c r="AC13" s="27">
        <f t="shared" si="6"/>
        <v>8.6999999999999993</v>
      </c>
      <c r="AD13" s="181">
        <f t="shared" si="11"/>
        <v>0</v>
      </c>
      <c r="AE13" s="181">
        <f>N13+(U$2/26)</f>
        <v>4</v>
      </c>
      <c r="AF13" s="181">
        <f>O13+(V$2/25)</f>
        <v>12.022727272727273</v>
      </c>
      <c r="AG13" s="181">
        <f>P13+(W$2/15)</f>
        <v>14.066666666666666</v>
      </c>
      <c r="AH13" s="181">
        <f>Q13+(X$2/6)</f>
        <v>8.7666666666666639</v>
      </c>
      <c r="AI13" s="181">
        <f>R13+(Y$2/8)</f>
        <v>3.01</v>
      </c>
      <c r="AJ13" s="181">
        <f>S13+(Z$2/2.5)</f>
        <v>6</v>
      </c>
      <c r="AK13" s="182">
        <v>0</v>
      </c>
      <c r="AL13" s="182">
        <f t="shared" ref="AL13" si="42">AE13-N13</f>
        <v>0</v>
      </c>
      <c r="AM13" s="182">
        <f t="shared" ref="AM13" si="43">AF13-O13</f>
        <v>0</v>
      </c>
      <c r="AN13" s="182">
        <f t="shared" ref="AN13" si="44">AG13-P13</f>
        <v>0</v>
      </c>
      <c r="AO13" s="182">
        <f t="shared" ref="AO13" si="45">AH13-Q13</f>
        <v>0.16666666666666607</v>
      </c>
      <c r="AP13" s="182">
        <f t="shared" ref="AP13" si="46">AI13-R13</f>
        <v>0</v>
      </c>
      <c r="AQ13" s="182">
        <f t="shared" ref="AQ13" si="47">AJ13-S13</f>
        <v>0</v>
      </c>
      <c r="AR13" s="193"/>
      <c r="AS13" s="201" t="s">
        <v>44</v>
      </c>
      <c r="AT13" s="185" t="str">
        <f>D17</f>
        <v>Adam Moss</v>
      </c>
      <c r="AU13" s="186">
        <v>0</v>
      </c>
      <c r="AV13" s="186">
        <v>0</v>
      </c>
      <c r="AW13" s="186">
        <v>0</v>
      </c>
      <c r="AX13" s="186">
        <f>AM17*0.25</f>
        <v>0</v>
      </c>
      <c r="AY13" s="186">
        <f>(AO17*0.142)+(AN17*0.221)+(AP17*0.26)</f>
        <v>1.0923076923076883E-2</v>
      </c>
      <c r="AZ13" s="186">
        <f>AY13</f>
        <v>1.0923076923076883E-2</v>
      </c>
      <c r="BA13" s="186">
        <f>(AO17*0.369)+(AP17*1)</f>
        <v>2.8384615384615283E-2</v>
      </c>
      <c r="BB13" s="200">
        <f>(0.5*AP17+0.3*AQ17)/10</f>
        <v>0</v>
      </c>
      <c r="BC13" s="200">
        <f>(0.4*AL17+0.3*AQ17)/10</f>
        <v>0</v>
      </c>
      <c r="BD13" s="200">
        <v>0</v>
      </c>
      <c r="BE13" s="200">
        <v>0</v>
      </c>
      <c r="BF13" s="193"/>
      <c r="BG13" t="s">
        <v>238</v>
      </c>
      <c r="BH13" s="193"/>
      <c r="BI13" s="193"/>
      <c r="BJ13" s="193"/>
      <c r="BK13" s="193"/>
      <c r="BL13" s="193"/>
    </row>
    <row r="14" spans="1:64" x14ac:dyDescent="0.25">
      <c r="A14" s="16" t="str">
        <f>PLANTILLA!A14</f>
        <v>#10</v>
      </c>
      <c r="B14" s="16" t="str">
        <f>PLANTILLA!B14</f>
        <v>EXT</v>
      </c>
      <c r="C14" s="132">
        <f ca="1">PLANTILLA!C14</f>
        <v>3.5714285714285712E-2</v>
      </c>
      <c r="D14" s="31" t="str">
        <f>PLANTILLA!D14</f>
        <v>Morgan Thomas</v>
      </c>
      <c r="E14" s="18">
        <f>PLANTILLA!E14</f>
        <v>32</v>
      </c>
      <c r="F14" s="3">
        <f ca="1">PLANTILLA!F14</f>
        <v>108</v>
      </c>
      <c r="G14" s="20" t="str">
        <f>PLANTILLA!G14</f>
        <v>CAB</v>
      </c>
      <c r="H14" s="5">
        <f>PLANTILLA!H14</f>
        <v>1</v>
      </c>
      <c r="I14" s="30">
        <f>PLANTILLA!I14</f>
        <v>10.199999999999999</v>
      </c>
      <c r="J14" s="21">
        <f>PLANTILLA!O14</f>
        <v>6.9</v>
      </c>
      <c r="K14" s="7">
        <f t="shared" si="9"/>
        <v>10.199999999999999</v>
      </c>
      <c r="L14" s="7">
        <f t="shared" si="10"/>
        <v>40.799999999999997</v>
      </c>
      <c r="M14" s="23">
        <f>PLANTILLA!X14</f>
        <v>0</v>
      </c>
      <c r="N14" s="23">
        <f>PLANTILLA!Y14</f>
        <v>1.037037037037037</v>
      </c>
      <c r="O14" s="23">
        <f>PLANTILLA!Z14</f>
        <v>13.230909090909091</v>
      </c>
      <c r="P14" s="23">
        <f>PLANTILLA!AA14</f>
        <v>14.058518518518518</v>
      </c>
      <c r="Q14" s="23">
        <f>PLANTILLA!AB14</f>
        <v>10.936666666666666</v>
      </c>
      <c r="R14" s="23">
        <f>PLANTILLA!AC14</f>
        <v>2.95</v>
      </c>
      <c r="S14" s="23">
        <f>PLANTILLA!AD14</f>
        <v>10.333333333333334</v>
      </c>
      <c r="T14" s="180">
        <v>0</v>
      </c>
      <c r="U14" s="180">
        <f>0.17</f>
        <v>0.17</v>
      </c>
      <c r="V14" s="180">
        <v>0.5</v>
      </c>
      <c r="W14" s="180">
        <v>1</v>
      </c>
      <c r="X14" s="180">
        <v>1</v>
      </c>
      <c r="Y14" s="180">
        <f t="shared" si="3"/>
        <v>0.17</v>
      </c>
      <c r="Z14" s="180">
        <v>1</v>
      </c>
      <c r="AA14" s="178">
        <f t="shared" si="4"/>
        <v>32</v>
      </c>
      <c r="AB14" s="179">
        <f t="shared" ca="1" si="5"/>
        <v>115</v>
      </c>
      <c r="AC14" s="27">
        <f t="shared" si="6"/>
        <v>10.199999999999999</v>
      </c>
      <c r="AD14" s="181">
        <f t="shared" si="11"/>
        <v>0</v>
      </c>
      <c r="AE14" s="181">
        <f>N14+(U$2/25)</f>
        <v>1.037037037037037</v>
      </c>
      <c r="AF14" s="181">
        <f>O14+(V$2/20)</f>
        <v>13.230909090909091</v>
      </c>
      <c r="AG14" s="181">
        <f>P14+(W$2/10)</f>
        <v>14.058518518518518</v>
      </c>
      <c r="AH14" s="181">
        <f>Q14+(X$2/16)</f>
        <v>10.999166666666666</v>
      </c>
      <c r="AI14" s="181">
        <f>R14+(Y$2/45)</f>
        <v>2.95</v>
      </c>
      <c r="AJ14" s="181">
        <f>S14+(Z$2/2)</f>
        <v>10.333333333333334</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str">
        <f>PLANTILLA!A15</f>
        <v>#9</v>
      </c>
      <c r="B15" s="16" t="str">
        <f>PLANTILLA!B15</f>
        <v>DAV</v>
      </c>
      <c r="C15" s="132">
        <f ca="1">PLANTILLA!C15</f>
        <v>2.9107142857142856</v>
      </c>
      <c r="D15" s="17" t="str">
        <f>PLANTILLA!D15</f>
        <v>Gianfranco Rezza</v>
      </c>
      <c r="E15" s="18">
        <f>PLANTILLA!E15</f>
        <v>30</v>
      </c>
      <c r="F15" s="3">
        <f ca="1">PLANTILLA!F15</f>
        <v>10</v>
      </c>
      <c r="G15" s="20" t="str">
        <f>PLANTILLA!G15</f>
        <v>CAB</v>
      </c>
      <c r="H15" s="5">
        <f>PLANTILLA!H15</f>
        <v>4</v>
      </c>
      <c r="I15" s="30">
        <f>PLANTILLA!I15</f>
        <v>9.3000000000000007</v>
      </c>
      <c r="J15" s="21">
        <f>PLANTILLA!O15</f>
        <v>7.9</v>
      </c>
      <c r="K15" s="7">
        <f t="shared" si="9"/>
        <v>148.80000000000001</v>
      </c>
      <c r="L15" s="7">
        <f t="shared" si="10"/>
        <v>232.50000000000003</v>
      </c>
      <c r="M15" s="23">
        <f>PLANTILLA!X15</f>
        <v>0</v>
      </c>
      <c r="N15" s="23">
        <f>PLANTILLA!Y15</f>
        <v>2</v>
      </c>
      <c r="O15" s="23">
        <f>PLANTILLA!Z15</f>
        <v>14.066666666666666</v>
      </c>
      <c r="P15" s="23">
        <f>PLANTILLA!AA15</f>
        <v>2.125</v>
      </c>
      <c r="Q15" s="23">
        <f>PLANTILLA!AB15</f>
        <v>14.460000000000004</v>
      </c>
      <c r="R15" s="23">
        <f>PLANTILLA!AC15</f>
        <v>8.1057777777777762</v>
      </c>
      <c r="S15" s="23">
        <f>PLANTILLA!AD15</f>
        <v>14.25</v>
      </c>
      <c r="T15" s="180">
        <v>0</v>
      </c>
      <c r="U15" s="180">
        <v>1</v>
      </c>
      <c r="V15" s="180">
        <v>1</v>
      </c>
      <c r="W15" s="180">
        <v>0.13</v>
      </c>
      <c r="X15" s="180">
        <v>1</v>
      </c>
      <c r="Y15" s="180">
        <v>1</v>
      </c>
      <c r="Z15" s="180">
        <v>1</v>
      </c>
      <c r="AA15" s="178">
        <f t="shared" si="4"/>
        <v>30</v>
      </c>
      <c r="AB15" s="179">
        <f t="shared" ca="1" si="5"/>
        <v>17</v>
      </c>
      <c r="AC15" s="27">
        <f t="shared" si="6"/>
        <v>9.3000000000000007</v>
      </c>
      <c r="AD15" s="181">
        <f t="shared" si="11"/>
        <v>0</v>
      </c>
      <c r="AE15" s="181">
        <f>N15+(U$2/4.5)</f>
        <v>2</v>
      </c>
      <c r="AF15" s="181">
        <f>O15+(V$2/15)</f>
        <v>14.066666666666666</v>
      </c>
      <c r="AG15" s="181">
        <f>P15+(W$2/20)</f>
        <v>2.125</v>
      </c>
      <c r="AH15" s="181">
        <f>Q15+(X$2/12)</f>
        <v>14.543333333333338</v>
      </c>
      <c r="AI15" s="181">
        <f>R15+(Y$2/8.5)</f>
        <v>8.1057777777777762</v>
      </c>
      <c r="AJ15" s="181">
        <f>S15+(Z$2/2)</f>
        <v>14.25</v>
      </c>
      <c r="AK15" s="182">
        <f t="shared" ref="AK15:AQ18" si="54">AD15-M15</f>
        <v>0</v>
      </c>
      <c r="AL15" s="182">
        <f t="shared" si="54"/>
        <v>0</v>
      </c>
      <c r="AM15" s="182">
        <f t="shared" si="54"/>
        <v>0</v>
      </c>
      <c r="AN15" s="182">
        <f t="shared" si="54"/>
        <v>0</v>
      </c>
      <c r="AO15" s="182">
        <f t="shared" si="54"/>
        <v>8.3333333333333925E-2</v>
      </c>
      <c r="AP15" s="182">
        <f t="shared" si="54"/>
        <v>0</v>
      </c>
      <c r="AQ15" s="182">
        <f t="shared" si="54"/>
        <v>0</v>
      </c>
      <c r="AR15" s="187"/>
      <c r="AS15" s="194"/>
      <c r="AT15" s="195"/>
      <c r="AU15" s="195"/>
      <c r="AV15" s="195"/>
      <c r="AW15" s="195"/>
      <c r="AX15" s="195"/>
      <c r="AY15" s="195"/>
      <c r="AZ15" s="195"/>
      <c r="BA15" s="195"/>
      <c r="BB15" s="195"/>
      <c r="BC15" s="195"/>
      <c r="BD15" s="195"/>
      <c r="BE15" s="195"/>
      <c r="BF15" s="187"/>
      <c r="BG15" t="s">
        <v>239</v>
      </c>
      <c r="BH15" s="187"/>
      <c r="BI15" s="187"/>
      <c r="BJ15" s="187"/>
      <c r="BK15" s="187"/>
      <c r="BL15" s="187"/>
    </row>
    <row r="16" spans="1:64" x14ac:dyDescent="0.25">
      <c r="A16" s="16" t="str">
        <f>PLANTILLA!A16</f>
        <v>#11</v>
      </c>
      <c r="B16" s="16" t="str">
        <f>PLANTILLA!B16</f>
        <v>DAV</v>
      </c>
      <c r="C16" s="132">
        <f ca="1">PLANTILLA!C16</f>
        <v>3.3482142857142856</v>
      </c>
      <c r="D16" s="17" t="str">
        <f>PLANTILLA!D16</f>
        <v>Saul Piña</v>
      </c>
      <c r="E16" s="18">
        <f>PLANTILLA!E16</f>
        <v>29</v>
      </c>
      <c r="F16" s="3">
        <f ca="1">PLANTILLA!F16</f>
        <v>73</v>
      </c>
      <c r="G16" s="20" t="str">
        <f>PLANTILLA!G16</f>
        <v>TEC</v>
      </c>
      <c r="H16" s="43">
        <f>PLANTILLA!H16</f>
        <v>6</v>
      </c>
      <c r="I16" s="30">
        <f>PLANTILLA!I16</f>
        <v>8.4</v>
      </c>
      <c r="J16" s="21">
        <f>PLANTILLA!O16</f>
        <v>7.9</v>
      </c>
      <c r="K16" s="7">
        <f t="shared" si="9"/>
        <v>302.40000000000003</v>
      </c>
      <c r="L16" s="7">
        <f t="shared" si="10"/>
        <v>411.6</v>
      </c>
      <c r="M16" s="23">
        <f>PLANTILLA!X16</f>
        <v>0</v>
      </c>
      <c r="N16" s="23">
        <f>PLANTILLA!Y16</f>
        <v>2.2000000000000002</v>
      </c>
      <c r="O16" s="23">
        <f>PLANTILLA!Z16</f>
        <v>14.399999999999999</v>
      </c>
      <c r="P16" s="23">
        <f>PLANTILLA!AA16</f>
        <v>1.33</v>
      </c>
      <c r="Q16" s="23">
        <f>PLANTILLA!AB16</f>
        <v>14.142888888888882</v>
      </c>
      <c r="R16" s="23">
        <f>PLANTILLA!AC16</f>
        <v>9.3399999999999981</v>
      </c>
      <c r="S16" s="23">
        <f>PLANTILLA!AD16</f>
        <v>15.399999999999999</v>
      </c>
      <c r="T16" s="180">
        <v>0</v>
      </c>
      <c r="U16" s="180">
        <v>1</v>
      </c>
      <c r="V16" s="180">
        <v>1</v>
      </c>
      <c r="W16" s="180">
        <v>0.13</v>
      </c>
      <c r="X16" s="180">
        <v>1</v>
      </c>
      <c r="Y16" s="180">
        <v>1</v>
      </c>
      <c r="Z16" s="180">
        <v>1</v>
      </c>
      <c r="AA16" s="178">
        <f t="shared" si="4"/>
        <v>29</v>
      </c>
      <c r="AB16" s="179">
        <f t="shared" ca="1" si="5"/>
        <v>80</v>
      </c>
      <c r="AC16" s="27">
        <f t="shared" si="6"/>
        <v>8.4</v>
      </c>
      <c r="AD16" s="181">
        <f t="shared" si="11"/>
        <v>0</v>
      </c>
      <c r="AE16" s="181">
        <f>N16+(U$2/4.5)</f>
        <v>2.2000000000000002</v>
      </c>
      <c r="AF16" s="181">
        <f>O16+(V$2/19)</f>
        <v>14.399999999999999</v>
      </c>
      <c r="AG16" s="181">
        <f>P16+(W$2/17)</f>
        <v>1.33</v>
      </c>
      <c r="AH16" s="181">
        <f>Q16+(X$2/13)</f>
        <v>14.219811965811958</v>
      </c>
      <c r="AI16" s="181">
        <f>R16+(Y$2/10)</f>
        <v>9.3399999999999981</v>
      </c>
      <c r="AJ16" s="181">
        <f>S16+(Z$2/3)</f>
        <v>15.399999999999999</v>
      </c>
      <c r="AK16" s="182">
        <f t="shared" si="54"/>
        <v>0</v>
      </c>
      <c r="AL16" s="182">
        <f t="shared" si="54"/>
        <v>0</v>
      </c>
      <c r="AM16" s="182">
        <f t="shared" si="54"/>
        <v>0</v>
      </c>
      <c r="AN16" s="182">
        <f t="shared" si="54"/>
        <v>0</v>
      </c>
      <c r="AO16" s="182">
        <f t="shared" si="54"/>
        <v>7.692307692307665E-2</v>
      </c>
      <c r="AP16" s="182">
        <f t="shared" si="54"/>
        <v>0</v>
      </c>
      <c r="AQ16" s="182">
        <f t="shared" si="54"/>
        <v>0</v>
      </c>
      <c r="AR16" s="193"/>
      <c r="AS16" s="160"/>
      <c r="AT16" s="160"/>
      <c r="AU16" s="171">
        <f>SUM(AU18:AU28)*$BJ$3</f>
        <v>0</v>
      </c>
      <c r="AV16" s="171">
        <f>SUM(AV18:AV28)*$BJ$3</f>
        <v>0</v>
      </c>
      <c r="AW16" s="171">
        <f>SUM(AW18:AW28)*$BJ$2</f>
        <v>0</v>
      </c>
      <c r="AX16" s="171">
        <f>SUM(AX18:AX28)*$BJ$4</f>
        <v>0</v>
      </c>
      <c r="AY16" s="171">
        <f>SUM(AY18:AY28)*$BJ$5</f>
        <v>3.8290224358974265E-2</v>
      </c>
      <c r="AZ16" s="171">
        <f>SUM(AZ18:AZ28)*$BJ$5</f>
        <v>3.247946047008541E-2</v>
      </c>
      <c r="BA16" s="171">
        <f>SUM(BA18:BA28)*$BJ$6</f>
        <v>5.2969543803418728E-2</v>
      </c>
      <c r="BB16" s="172">
        <f>SUM(BB18:BB28)</f>
        <v>0</v>
      </c>
      <c r="BC16" s="172">
        <f>SUM(BC18:BC28)</f>
        <v>0</v>
      </c>
      <c r="BD16" s="172">
        <f t="shared" ref="BD16:BE16" si="55">SUM(BD18:BD28)</f>
        <v>8.1943749999999991</v>
      </c>
      <c r="BE16" s="172">
        <f t="shared" si="55"/>
        <v>4.0624999999999911E-2</v>
      </c>
      <c r="BF16" s="193"/>
      <c r="BG16" t="s">
        <v>240</v>
      </c>
      <c r="BH16" s="193"/>
      <c r="BI16" s="193"/>
      <c r="BJ16" s="193"/>
      <c r="BK16" s="193"/>
      <c r="BL16" s="193"/>
    </row>
    <row r="17" spans="1:64" x14ac:dyDescent="0.25">
      <c r="A17" s="16" t="str">
        <f>PLANTILLA!A17</f>
        <v>#12</v>
      </c>
      <c r="B17" s="26" t="str">
        <f>PLANTILLA!B17</f>
        <v>DAV</v>
      </c>
      <c r="C17" s="132">
        <f ca="1">PLANTILLA!C17</f>
        <v>2.8928571428571428</v>
      </c>
      <c r="D17" s="29" t="str">
        <f>PLANTILLA!D17</f>
        <v>Adam Moss</v>
      </c>
      <c r="E17" s="2">
        <f>PLANTILLA!E17</f>
        <v>30</v>
      </c>
      <c r="F17" s="3">
        <f ca="1">PLANTILLA!F17</f>
        <v>12</v>
      </c>
      <c r="G17" s="20" t="str">
        <f>PLANTILLA!G17</f>
        <v>RAP</v>
      </c>
      <c r="H17" s="5">
        <f>PLANTILLA!H17</f>
        <v>1</v>
      </c>
      <c r="I17" s="6">
        <f>PLANTILLA!I17</f>
        <v>9.8000000000000007</v>
      </c>
      <c r="J17" s="21">
        <f>PLANTILLA!O17</f>
        <v>7.2</v>
      </c>
      <c r="K17" s="7">
        <f t="shared" si="9"/>
        <v>9.8000000000000007</v>
      </c>
      <c r="L17" s="7">
        <f t="shared" si="10"/>
        <v>39.200000000000003</v>
      </c>
      <c r="M17" s="23">
        <f>PLANTILLA!X17</f>
        <v>0</v>
      </c>
      <c r="N17" s="23">
        <f>PLANTILLA!Y17</f>
        <v>3.2</v>
      </c>
      <c r="O17" s="23">
        <f>PLANTILLA!Z17</f>
        <v>14.399999999999999</v>
      </c>
      <c r="P17" s="23">
        <f>PLANTILLA!AA17</f>
        <v>2.2999999999999998</v>
      </c>
      <c r="Q17" s="23">
        <f>PLANTILLA!AB17</f>
        <v>14.266</v>
      </c>
      <c r="R17" s="23">
        <f>PLANTILLA!AC17</f>
        <v>9.0999999999999961</v>
      </c>
      <c r="S17" s="23">
        <f>PLANTILLA!AD17</f>
        <v>15.899999999999999</v>
      </c>
      <c r="T17" s="180">
        <v>0</v>
      </c>
      <c r="U17" s="180">
        <v>1</v>
      </c>
      <c r="V17" s="180">
        <v>1</v>
      </c>
      <c r="W17" s="180">
        <v>0.13</v>
      </c>
      <c r="X17" s="180">
        <v>1</v>
      </c>
      <c r="Y17" s="180">
        <v>1</v>
      </c>
      <c r="Z17" s="180">
        <v>1</v>
      </c>
      <c r="AA17" s="178">
        <f t="shared" si="4"/>
        <v>30</v>
      </c>
      <c r="AB17" s="179">
        <f t="shared" ca="1" si="5"/>
        <v>19</v>
      </c>
      <c r="AC17" s="27">
        <f t="shared" si="6"/>
        <v>9.8000000000000007</v>
      </c>
      <c r="AD17" s="181">
        <f t="shared" si="11"/>
        <v>0</v>
      </c>
      <c r="AE17" s="181">
        <f>N17+(U$2/5)</f>
        <v>3.2</v>
      </c>
      <c r="AF17" s="181">
        <f>O17+(V$2/19)</f>
        <v>14.399999999999999</v>
      </c>
      <c r="AG17" s="181">
        <f>P17+(W$2/20)</f>
        <v>2.2999999999999998</v>
      </c>
      <c r="AH17" s="181">
        <f>Q17+(X$2/13)</f>
        <v>14.342923076923077</v>
      </c>
      <c r="AI17" s="181">
        <f>R17+(Y$2/9)</f>
        <v>9.0999999999999961</v>
      </c>
      <c r="AJ17" s="181">
        <f>S17+(Z$2/3)</f>
        <v>15.899999999999999</v>
      </c>
      <c r="AK17" s="182">
        <f t="shared" si="54"/>
        <v>0</v>
      </c>
      <c r="AL17" s="182">
        <f t="shared" si="54"/>
        <v>0</v>
      </c>
      <c r="AM17" s="182">
        <f t="shared" si="54"/>
        <v>0</v>
      </c>
      <c r="AN17" s="182">
        <f t="shared" si="54"/>
        <v>0</v>
      </c>
      <c r="AO17" s="182">
        <f t="shared" si="54"/>
        <v>7.692307692307665E-2</v>
      </c>
      <c r="AP17" s="182">
        <f t="shared" si="54"/>
        <v>0</v>
      </c>
      <c r="AQ17" s="182">
        <f t="shared" si="54"/>
        <v>0</v>
      </c>
      <c r="AR17" s="187"/>
      <c r="AS17" s="270" t="s">
        <v>228</v>
      </c>
      <c r="AT17" s="271"/>
      <c r="AU17" s="177" t="s">
        <v>214</v>
      </c>
      <c r="AV17" s="177" t="s">
        <v>215</v>
      </c>
      <c r="AW17" s="177" t="s">
        <v>216</v>
      </c>
      <c r="AX17" s="177" t="s">
        <v>217</v>
      </c>
      <c r="AY17" s="177" t="s">
        <v>218</v>
      </c>
      <c r="AZ17" s="177" t="s">
        <v>219</v>
      </c>
      <c r="BA17" s="177" t="s">
        <v>220</v>
      </c>
      <c r="BB17" s="177" t="s">
        <v>221</v>
      </c>
      <c r="BC17" s="177" t="s">
        <v>222</v>
      </c>
      <c r="BD17" s="177" t="s">
        <v>22</v>
      </c>
      <c r="BE17" s="177" t="s">
        <v>223</v>
      </c>
      <c r="BF17" s="187"/>
      <c r="BG17" s="187"/>
      <c r="BH17" s="187"/>
      <c r="BI17" s="187"/>
      <c r="BJ17" s="187"/>
      <c r="BK17" s="187"/>
      <c r="BL17" s="187"/>
    </row>
    <row r="18" spans="1:64" x14ac:dyDescent="0.25">
      <c r="A18" s="16" t="str">
        <f>PLANTILLA!A18</f>
        <v>#14</v>
      </c>
      <c r="B18" s="16" t="str">
        <f>PLANTILLA!B18</f>
        <v>DAV</v>
      </c>
      <c r="C18" s="132">
        <f ca="1">PLANTILLA!C18</f>
        <v>3.3839285714285716</v>
      </c>
      <c r="D18" s="29" t="str">
        <f>PLANTILLA!D18</f>
        <v>Rasheed Da'na</v>
      </c>
      <c r="E18" s="2">
        <f>PLANTILLA!E18</f>
        <v>29</v>
      </c>
      <c r="F18" s="3">
        <f ca="1">PLANTILLA!F18</f>
        <v>69</v>
      </c>
      <c r="G18" s="4" t="str">
        <f>PLANTILLA!G18</f>
        <v>RAP</v>
      </c>
      <c r="H18" s="5">
        <f>PLANTILLA!H18</f>
        <v>1</v>
      </c>
      <c r="I18" s="6">
        <f>PLANTILLA!I18</f>
        <v>9.5</v>
      </c>
      <c r="J18" s="21">
        <f>PLANTILLA!O18</f>
        <v>7.9</v>
      </c>
      <c r="K18" s="7">
        <f t="shared" si="9"/>
        <v>9.5</v>
      </c>
      <c r="L18" s="7">
        <f t="shared" si="10"/>
        <v>38</v>
      </c>
      <c r="M18" s="23">
        <f>PLANTILLA!X18</f>
        <v>0</v>
      </c>
      <c r="N18" s="23">
        <f>PLANTILLA!Y18</f>
        <v>2.0384615384615383</v>
      </c>
      <c r="O18" s="23">
        <f>PLANTILLA!Z18</f>
        <v>13.499999999999998</v>
      </c>
      <c r="P18" s="23">
        <f>PLANTILLA!AA18</f>
        <v>4.0999999999999996</v>
      </c>
      <c r="Q18" s="23">
        <f>PLANTILLA!AB18</f>
        <v>14.352222222222222</v>
      </c>
      <c r="R18" s="23">
        <f>PLANTILLA!AC18</f>
        <v>10.095333333333334</v>
      </c>
      <c r="S18" s="23">
        <f>PLANTILLA!AD18</f>
        <v>15</v>
      </c>
      <c r="T18" s="180">
        <v>0</v>
      </c>
      <c r="U18" s="180">
        <f>0.17</f>
        <v>0.17</v>
      </c>
      <c r="V18" s="180">
        <v>1</v>
      </c>
      <c r="W18" s="180">
        <v>0.13</v>
      </c>
      <c r="X18" s="180">
        <v>1</v>
      </c>
      <c r="Y18" s="180">
        <v>1</v>
      </c>
      <c r="Z18" s="180">
        <v>1</v>
      </c>
      <c r="AA18" s="178">
        <f t="shared" si="4"/>
        <v>29</v>
      </c>
      <c r="AB18" s="179">
        <f t="shared" ca="1" si="5"/>
        <v>76</v>
      </c>
      <c r="AC18" s="27">
        <f t="shared" si="6"/>
        <v>9.5</v>
      </c>
      <c r="AD18" s="181">
        <f t="shared" si="11"/>
        <v>0</v>
      </c>
      <c r="AE18" s="181">
        <f>N18+(U$2/24)</f>
        <v>2.0384615384615383</v>
      </c>
      <c r="AF18" s="181">
        <f>O18+(V$2/15)</f>
        <v>13.499999999999998</v>
      </c>
      <c r="AG18" s="181">
        <f>P18+(W$2/22)</f>
        <v>4.0999999999999996</v>
      </c>
      <c r="AH18" s="181">
        <f>Q18+(X$2/13)</f>
        <v>14.429145299145299</v>
      </c>
      <c r="AI18" s="181">
        <f>R18+(Y$2/10)</f>
        <v>10.095333333333334</v>
      </c>
      <c r="AJ18" s="181">
        <f>S18+(Z$2/3)</f>
        <v>15</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str">
        <f>D4</f>
        <v>Damián Sala</v>
      </c>
      <c r="AU18" s="186">
        <f>AU4</f>
        <v>0</v>
      </c>
      <c r="AV18" s="186">
        <f t="shared" ref="AV18:BE19" si="56">AV4</f>
        <v>0</v>
      </c>
      <c r="AW18" s="186">
        <f t="shared" si="56"/>
        <v>0</v>
      </c>
      <c r="AX18" s="186">
        <f t="shared" si="56"/>
        <v>0</v>
      </c>
      <c r="AY18" s="186">
        <f t="shared" si="56"/>
        <v>0</v>
      </c>
      <c r="AZ18" s="186">
        <f t="shared" si="56"/>
        <v>0</v>
      </c>
      <c r="BA18" s="186">
        <f t="shared" si="56"/>
        <v>0</v>
      </c>
      <c r="BB18" s="186">
        <f t="shared" si="56"/>
        <v>0</v>
      </c>
      <c r="BC18" s="186">
        <f t="shared" si="56"/>
        <v>0</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224</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3.9124999999999996</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224</v>
      </c>
      <c r="AT20" s="26" t="str">
        <f>AT7</f>
        <v>Csaba Mező</v>
      </c>
      <c r="AU20" s="186">
        <f>AU7</f>
        <v>0</v>
      </c>
      <c r="AV20" s="186">
        <f t="shared" ref="AV20:BE20" si="57">AV7</f>
        <v>0</v>
      </c>
      <c r="AW20" s="186">
        <f t="shared" si="57"/>
        <v>0</v>
      </c>
      <c r="AX20" s="186">
        <f t="shared" si="57"/>
        <v>0</v>
      </c>
      <c r="AY20" s="186">
        <f t="shared" si="57"/>
        <v>0</v>
      </c>
      <c r="AZ20" s="186">
        <f t="shared" si="57"/>
        <v>0</v>
      </c>
      <c r="BA20" s="186">
        <f t="shared" si="57"/>
        <v>0</v>
      </c>
      <c r="BB20" s="186">
        <f t="shared" si="57"/>
        <v>0</v>
      </c>
      <c r="BC20" s="186">
        <f t="shared" si="57"/>
        <v>0</v>
      </c>
      <c r="BD20" s="186">
        <f t="shared" si="57"/>
        <v>4.2818749999999994</v>
      </c>
      <c r="BE20" s="186">
        <f t="shared" si="57"/>
        <v>1.5625E-2</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230</v>
      </c>
      <c r="AT21" s="26" t="str">
        <f>AT8</f>
        <v>Iyad Chaabo</v>
      </c>
      <c r="AU21" s="192">
        <f>AU8</f>
        <v>0</v>
      </c>
      <c r="AV21" s="192">
        <f t="shared" ref="AV21:BE21" si="58">AV8</f>
        <v>0</v>
      </c>
      <c r="AW21" s="192">
        <f t="shared" si="58"/>
        <v>0</v>
      </c>
      <c r="AX21" s="192">
        <f t="shared" si="58"/>
        <v>0</v>
      </c>
      <c r="AY21" s="192">
        <f t="shared" si="58"/>
        <v>3.2166666666666552E-2</v>
      </c>
      <c r="AZ21" s="192">
        <f t="shared" si="58"/>
        <v>0</v>
      </c>
      <c r="BA21" s="192">
        <f t="shared" si="58"/>
        <v>2.4666666666666576E-2</v>
      </c>
      <c r="BB21" s="192">
        <f t="shared" si="58"/>
        <v>0</v>
      </c>
      <c r="BC21" s="192">
        <f t="shared" si="58"/>
        <v>0</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226</v>
      </c>
      <c r="AT22" s="26" t="str">
        <f t="shared" ref="AT22:AU27" si="59">AT9</f>
        <v>Gianfranco Rezza</v>
      </c>
      <c r="AU22" s="192">
        <f t="shared" si="59"/>
        <v>0</v>
      </c>
      <c r="AV22" s="192">
        <f t="shared" ref="AV22:BE22" si="60">AV9</f>
        <v>0</v>
      </c>
      <c r="AW22" s="192">
        <f t="shared" si="60"/>
        <v>0</v>
      </c>
      <c r="AX22" s="192">
        <f t="shared" si="60"/>
        <v>0</v>
      </c>
      <c r="AY22" s="192">
        <f t="shared" si="60"/>
        <v>1.5750000000000111E-2</v>
      </c>
      <c r="AZ22" s="192">
        <f t="shared" si="60"/>
        <v>1.5750000000000111E-2</v>
      </c>
      <c r="BA22" s="192">
        <f t="shared" si="60"/>
        <v>4.2250000000000301E-2</v>
      </c>
      <c r="BB22" s="192">
        <f t="shared" si="60"/>
        <v>0</v>
      </c>
      <c r="BC22" s="192">
        <f t="shared" si="60"/>
        <v>0</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231</v>
      </c>
      <c r="AT23" s="26" t="str">
        <f t="shared" si="59"/>
        <v>Jorge W. Whitaker</v>
      </c>
      <c r="AU23" s="192">
        <f t="shared" si="59"/>
        <v>0</v>
      </c>
      <c r="AV23" s="192">
        <f t="shared" ref="AV23:BE23" si="61">AV10</f>
        <v>0</v>
      </c>
      <c r="AW23" s="192">
        <f t="shared" si="61"/>
        <v>0</v>
      </c>
      <c r="AX23" s="192">
        <f t="shared" si="61"/>
        <v>0</v>
      </c>
      <c r="AY23" s="192">
        <f t="shared" si="61"/>
        <v>5.0599999999999819E-2</v>
      </c>
      <c r="AZ23" s="192">
        <f t="shared" si="61"/>
        <v>2.4599999999999914E-2</v>
      </c>
      <c r="BA23" s="192">
        <f t="shared" si="61"/>
        <v>6.8199999999999761E-2</v>
      </c>
      <c r="BB23" s="192">
        <f t="shared" si="61"/>
        <v>0</v>
      </c>
      <c r="BC23" s="192">
        <f t="shared" si="61"/>
        <v>0</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226</v>
      </c>
      <c r="AT24" s="26" t="str">
        <f>D11</f>
        <v>Emilio Mochelato</v>
      </c>
      <c r="AU24" s="192">
        <f>AL11*0.038</f>
        <v>0</v>
      </c>
      <c r="AV24" s="192">
        <f>AL11*0.077</f>
        <v>0</v>
      </c>
      <c r="AW24" s="192">
        <f>AL11*0.162</f>
        <v>0</v>
      </c>
      <c r="AX24" s="192">
        <f>AM11*0.944</f>
        <v>0</v>
      </c>
      <c r="AY24" s="192">
        <f>(AO11*0.126)</f>
        <v>7.8750000000000001E-3</v>
      </c>
      <c r="AZ24" s="192">
        <f>(AO11*0.251)</f>
        <v>1.56875E-2</v>
      </c>
      <c r="BA24" s="192">
        <f>(AO11*0.507)+(AP11*0.31)</f>
        <v>3.16875E-2</v>
      </c>
      <c r="BB24" s="200">
        <f>(0.5*AP11+0.3*AQ11)/10</f>
        <v>0</v>
      </c>
      <c r="BC24" s="200">
        <f>(0.4*AL11+0.3*AQ11)/10</f>
        <v>0</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225</v>
      </c>
      <c r="AT25" s="26" t="str">
        <f t="shared" si="59"/>
        <v>Cezary Pauch</v>
      </c>
      <c r="AU25" s="192">
        <f>AU12</f>
        <v>0</v>
      </c>
      <c r="AV25" s="192">
        <f t="shared" ref="AV25:BE25" si="62">AV12</f>
        <v>0</v>
      </c>
      <c r="AW25" s="192">
        <f t="shared" si="62"/>
        <v>0</v>
      </c>
      <c r="AX25" s="192">
        <f t="shared" si="62"/>
        <v>0</v>
      </c>
      <c r="AY25" s="192">
        <f t="shared" si="62"/>
        <v>0</v>
      </c>
      <c r="AZ25" s="192">
        <f t="shared" si="62"/>
        <v>2.7111111111111013E-2</v>
      </c>
      <c r="BA25" s="192">
        <f t="shared" si="62"/>
        <v>1.3444444444444396E-2</v>
      </c>
      <c r="BB25" s="192">
        <f t="shared" si="62"/>
        <v>0</v>
      </c>
      <c r="BC25" s="192">
        <f t="shared" si="62"/>
        <v>0</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str">
        <f t="shared" si="59"/>
        <v>Adam Moss</v>
      </c>
      <c r="AU26" s="192">
        <f t="shared" si="59"/>
        <v>0</v>
      </c>
      <c r="AV26" s="192">
        <f t="shared" ref="AV26:BE26" si="63">AV13</f>
        <v>0</v>
      </c>
      <c r="AW26" s="192">
        <f t="shared" si="63"/>
        <v>0</v>
      </c>
      <c r="AX26" s="192">
        <f t="shared" si="63"/>
        <v>0</v>
      </c>
      <c r="AY26" s="192">
        <f t="shared" si="63"/>
        <v>1.0923076923076883E-2</v>
      </c>
      <c r="AZ26" s="192">
        <f t="shared" si="63"/>
        <v>1.0923076923076883E-2</v>
      </c>
      <c r="BA26" s="192">
        <f t="shared" si="63"/>
        <v>2.8384615384615283E-2</v>
      </c>
      <c r="BB26" s="192">
        <f t="shared" si="63"/>
        <v>0</v>
      </c>
      <c r="BC26" s="192">
        <f t="shared" si="63"/>
        <v>0</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86</v>
      </c>
      <c r="AT28" s="26" t="str">
        <f>AT11</f>
        <v>Saul Piña</v>
      </c>
      <c r="AU28" s="186">
        <v>0</v>
      </c>
      <c r="AV28" s="186">
        <v>0</v>
      </c>
      <c r="AW28" s="186">
        <v>0</v>
      </c>
      <c r="AX28" s="186">
        <f>AM16*0.4</f>
        <v>0</v>
      </c>
      <c r="AY28" s="186">
        <f>(AO16*0.324)+(AN16*0.144)+(AP16*0.127)</f>
        <v>2.4923076923076836E-2</v>
      </c>
      <c r="AZ28" s="186">
        <f>AY28</f>
        <v>2.4923076923076836E-2</v>
      </c>
      <c r="BA28" s="186">
        <f>(AO16*0.543)+(AP16*0.583)</f>
        <v>4.1769230769230621E-2</v>
      </c>
      <c r="BB28" s="200">
        <f>(0.5*AP16+0.3*AQ16)/10</f>
        <v>0</v>
      </c>
      <c r="BC28" s="200">
        <f>(0.4*AL16+0.3*AQ16)/10</f>
        <v>0</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f>SUM(AU32:AU42)*$BJ$3</f>
        <v>0</v>
      </c>
      <c r="AV30" s="171">
        <f>SUM(AV32:AV42)*$BJ$3</f>
        <v>0</v>
      </c>
      <c r="AW30" s="171">
        <f>SUM(AW32:AW42)*$BJ$2</f>
        <v>0</v>
      </c>
      <c r="AX30" s="171">
        <f>SUM(AX32:AX42)*$BJ$4</f>
        <v>0</v>
      </c>
      <c r="AY30" s="171">
        <f>SUM(AY32:AY42)*$BJ$5</f>
        <v>1.1822115384615384E-2</v>
      </c>
      <c r="AZ30" s="171">
        <f>SUM(AZ32:AZ42)*$BJ$5</f>
        <v>2.1003739316239282E-2</v>
      </c>
      <c r="BA30" s="171">
        <f>SUM(BA32:BA42)*$BJ$6</f>
        <v>2.8778098290598273E-2</v>
      </c>
      <c r="BB30" s="172">
        <f>SUM(BB32:BB42)</f>
        <v>0</v>
      </c>
      <c r="BC30" s="172">
        <f>SUM(BC32:BC42)</f>
        <v>0</v>
      </c>
      <c r="BD30" s="172">
        <f t="shared" ref="BD30:BE30" si="65">SUM(BD32:BD42)</f>
        <v>20.694454365079363</v>
      </c>
      <c r="BE30" s="172">
        <f t="shared" si="65"/>
        <v>0.14419642857142811</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70" t="s">
        <v>227</v>
      </c>
      <c r="AT31" s="271"/>
      <c r="AU31" s="177" t="s">
        <v>214</v>
      </c>
      <c r="AV31" s="177" t="s">
        <v>215</v>
      </c>
      <c r="AW31" s="177" t="s">
        <v>216</v>
      </c>
      <c r="AX31" s="177" t="s">
        <v>217</v>
      </c>
      <c r="AY31" s="177" t="s">
        <v>218</v>
      </c>
      <c r="AZ31" s="177" t="s">
        <v>219</v>
      </c>
      <c r="BA31" s="177" t="s">
        <v>220</v>
      </c>
      <c r="BB31" s="177" t="s">
        <v>221</v>
      </c>
      <c r="BC31" s="177" t="s">
        <v>222</v>
      </c>
      <c r="BD31" s="177" t="s">
        <v>22</v>
      </c>
      <c r="BE31" s="177" t="s">
        <v>223</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str">
        <f>AT18</f>
        <v>Damián Sala</v>
      </c>
      <c r="AU32" s="186">
        <f>AU18</f>
        <v>0</v>
      </c>
      <c r="AV32" s="186">
        <f t="shared" ref="AV32:BE32" si="66">AV18</f>
        <v>0</v>
      </c>
      <c r="AW32" s="186">
        <f t="shared" si="66"/>
        <v>0</v>
      </c>
      <c r="AX32" s="186">
        <f t="shared" si="66"/>
        <v>0</v>
      </c>
      <c r="AY32" s="186">
        <f t="shared" si="66"/>
        <v>0</v>
      </c>
      <c r="AZ32" s="186">
        <v>0</v>
      </c>
      <c r="BA32" s="186">
        <f t="shared" si="66"/>
        <v>0</v>
      </c>
      <c r="BB32" s="186">
        <f t="shared" si="66"/>
        <v>0</v>
      </c>
      <c r="BC32" s="186">
        <f t="shared" si="66"/>
        <v>0</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234</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3.9124999999999996</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232</v>
      </c>
      <c r="AT34" s="26" t="str">
        <f>D9</f>
        <v>Ibiur Altxakoa</v>
      </c>
      <c r="AU34" s="186">
        <f>AU6</f>
        <v>0</v>
      </c>
      <c r="AV34" s="186">
        <f t="shared" ref="AV34:BE34" si="67">AV6</f>
        <v>0</v>
      </c>
      <c r="AW34" s="186">
        <f t="shared" si="67"/>
        <v>0</v>
      </c>
      <c r="AX34" s="186">
        <f t="shared" si="67"/>
        <v>0</v>
      </c>
      <c r="AY34" s="186">
        <f t="shared" si="67"/>
        <v>0</v>
      </c>
      <c r="AZ34" s="186">
        <f t="shared" si="67"/>
        <v>0</v>
      </c>
      <c r="BA34" s="186">
        <f t="shared" si="67"/>
        <v>0</v>
      </c>
      <c r="BB34" s="186">
        <f t="shared" si="67"/>
        <v>0</v>
      </c>
      <c r="BC34" s="186">
        <f t="shared" si="67"/>
        <v>0</v>
      </c>
      <c r="BD34" s="186">
        <f t="shared" si="67"/>
        <v>4.0671428571428567</v>
      </c>
      <c r="BE34" s="186">
        <f t="shared" si="67"/>
        <v>1.7857142857142794E-2</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232</v>
      </c>
      <c r="AT35" s="26" t="str">
        <f>D10</f>
        <v>Jorge W. Whitaker</v>
      </c>
      <c r="AU35" s="192">
        <f>AL10*0.378</f>
        <v>0</v>
      </c>
      <c r="AV35" s="192">
        <f>AU35</f>
        <v>0</v>
      </c>
      <c r="AW35" s="192">
        <f>AL10*1</f>
        <v>0</v>
      </c>
      <c r="AX35" s="192">
        <f>AM10*0.236</f>
        <v>0</v>
      </c>
      <c r="AY35" s="192">
        <v>0</v>
      </c>
      <c r="AZ35" s="192">
        <v>0</v>
      </c>
      <c r="BA35" s="192">
        <v>0</v>
      </c>
      <c r="BB35" s="200">
        <f>(0.5*AP10+0.3*AQ10)/10</f>
        <v>0</v>
      </c>
      <c r="BC35" s="200">
        <f>(0.4*AL10+0.3*AQ10)/10</f>
        <v>0</v>
      </c>
      <c r="BD35" s="191">
        <f>((AE10+1)+(AH10+1)*2)/8</f>
        <v>4.0122222222222224</v>
      </c>
      <c r="BE35" s="191">
        <f>((AL10)+(AO10)*2)/8</f>
        <v>4.9999999999999822E-2</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233</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4.4207142857142854</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224</v>
      </c>
      <c r="AT37" s="26" t="str">
        <f>AT20</f>
        <v>Csaba Mező</v>
      </c>
      <c r="AU37" s="192">
        <f>AU7</f>
        <v>0</v>
      </c>
      <c r="AV37" s="192">
        <f t="shared" ref="AV37:BE37" si="68">AV7</f>
        <v>0</v>
      </c>
      <c r="AW37" s="192">
        <f t="shared" si="68"/>
        <v>0</v>
      </c>
      <c r="AX37" s="192">
        <f t="shared" si="68"/>
        <v>0</v>
      </c>
      <c r="AY37" s="192">
        <f t="shared" si="68"/>
        <v>0</v>
      </c>
      <c r="AZ37" s="192">
        <f t="shared" si="68"/>
        <v>0</v>
      </c>
      <c r="BA37" s="192">
        <f t="shared" si="68"/>
        <v>0</v>
      </c>
      <c r="BB37" s="192">
        <f t="shared" si="68"/>
        <v>0</v>
      </c>
      <c r="BC37" s="192">
        <f t="shared" si="68"/>
        <v>0</v>
      </c>
      <c r="BD37" s="192">
        <f t="shared" si="68"/>
        <v>4.2818749999999994</v>
      </c>
      <c r="BE37" s="192">
        <f t="shared" si="68"/>
        <v>1.5625E-2</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226</v>
      </c>
      <c r="AT38" s="26" t="str">
        <f>AT22</f>
        <v>Gianfranco Rezza</v>
      </c>
      <c r="AU38" s="192">
        <f>AU22</f>
        <v>0</v>
      </c>
      <c r="AV38" s="192">
        <f t="shared" ref="AV38:BE38" si="69">AV22</f>
        <v>0</v>
      </c>
      <c r="AW38" s="192">
        <f t="shared" si="69"/>
        <v>0</v>
      </c>
      <c r="AX38" s="192">
        <f t="shared" si="69"/>
        <v>0</v>
      </c>
      <c r="AY38" s="192">
        <f t="shared" si="69"/>
        <v>1.5750000000000111E-2</v>
      </c>
      <c r="AZ38" s="192">
        <f t="shared" si="69"/>
        <v>1.5750000000000111E-2</v>
      </c>
      <c r="BA38" s="192">
        <f t="shared" si="69"/>
        <v>4.2250000000000301E-2</v>
      </c>
      <c r="BB38" s="192">
        <f t="shared" si="69"/>
        <v>0</v>
      </c>
      <c r="BC38" s="192">
        <f t="shared" si="69"/>
        <v>0</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226</v>
      </c>
      <c r="AT39" s="26" t="str">
        <f>AT26</f>
        <v>Adam Moss</v>
      </c>
      <c r="AU39" s="192">
        <f>AL17*0.038</f>
        <v>0</v>
      </c>
      <c r="AV39" s="192">
        <f>AL17*0.077</f>
        <v>0</v>
      </c>
      <c r="AW39" s="192">
        <f>AL17*0.162</f>
        <v>0</v>
      </c>
      <c r="AX39" s="192">
        <f>AM17*0.944</f>
        <v>0</v>
      </c>
      <c r="AY39" s="192">
        <f>(AO17*0.126)</f>
        <v>9.6923076923076581E-3</v>
      </c>
      <c r="AZ39" s="192">
        <f>(AO17*0.251)</f>
        <v>1.9307692307692238E-2</v>
      </c>
      <c r="BA39" s="192">
        <f>(AO17*0.507)+(AP17*0.31)</f>
        <v>3.8999999999999861E-2</v>
      </c>
      <c r="BB39" s="200">
        <f>(0.5*AP17+0.3*AQ17)/10</f>
        <v>0</v>
      </c>
      <c r="BC39" s="200">
        <f>(0.4*AL17+0.3*AQ17)/10</f>
        <v>0</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225</v>
      </c>
      <c r="AT40" s="26" t="str">
        <f>AT25</f>
        <v>Cezary Pauch</v>
      </c>
      <c r="AU40" s="192">
        <f>AU25</f>
        <v>0</v>
      </c>
      <c r="AV40" s="192">
        <f t="shared" ref="AV40:BE40" si="70">AV25</f>
        <v>0</v>
      </c>
      <c r="AW40" s="192">
        <f t="shared" si="70"/>
        <v>0</v>
      </c>
      <c r="AX40" s="192">
        <f t="shared" si="70"/>
        <v>0</v>
      </c>
      <c r="AY40" s="192">
        <f t="shared" si="70"/>
        <v>0</v>
      </c>
      <c r="AZ40" s="192">
        <f t="shared" si="70"/>
        <v>2.7111111111111013E-2</v>
      </c>
      <c r="BA40" s="192">
        <f t="shared" si="70"/>
        <v>1.3444444444444396E-2</v>
      </c>
      <c r="BB40" s="192">
        <f t="shared" si="70"/>
        <v>0</v>
      </c>
      <c r="BC40" s="192">
        <f t="shared" si="70"/>
        <v>0</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str">
        <f>AT26</f>
        <v>Adam Moss</v>
      </c>
      <c r="AU41" s="192">
        <f t="shared" ref="AU41:BE42" si="71">AU26</f>
        <v>0</v>
      </c>
      <c r="AV41" s="192">
        <f t="shared" si="71"/>
        <v>0</v>
      </c>
      <c r="AW41" s="192">
        <f t="shared" si="71"/>
        <v>0</v>
      </c>
      <c r="AX41" s="192">
        <f t="shared" si="71"/>
        <v>0</v>
      </c>
      <c r="AY41" s="192">
        <f t="shared" si="71"/>
        <v>1.0923076923076883E-2</v>
      </c>
      <c r="AZ41" s="192">
        <f t="shared" si="71"/>
        <v>1.0923076923076883E-2</v>
      </c>
      <c r="BA41" s="192">
        <f t="shared" si="71"/>
        <v>2.8384615384615283E-2</v>
      </c>
      <c r="BB41" s="192">
        <f t="shared" si="71"/>
        <v>0</v>
      </c>
      <c r="BC41" s="192">
        <f t="shared" si="71"/>
        <v>0</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Resistencia</vt:lpstr>
      <vt:lpstr>Amortización</vt:lpstr>
      <vt:lpstr>TL_v1</vt:lpstr>
      <vt:lpstr>Planning_Entrenador</vt:lpstr>
      <vt:lpstr>PLANTILLA</vt:lpstr>
      <vt:lpstr>CAPITAN</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2017-11-24T10:09:11Z</dcterms:modified>
</cp:coreProperties>
</file>