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3_ncr:1_{D8836C3B-6BB1-4314-9976-CB9AB109D092}" xr6:coauthVersionLast="33" xr6:coauthVersionMax="33" xr10:uidLastSave="{00000000-0000-0000-0000-000000000000}"/>
  <bookViews>
    <workbookView xWindow="240" yWindow="105" windowWidth="14805" windowHeight="8010" activeTab="1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Entrenador" sheetId="9" r:id="rId6"/>
    <sheet name="Capitán" sheetId="12" r:id="rId7"/>
    <sheet name="CA_Calcutator" sheetId="25" r:id="rId8"/>
    <sheet name="EstudioConversion" sheetId="26" r:id="rId9"/>
    <sheet name="Evaluacion Jugadores" sheetId="3" r:id="rId10"/>
    <sheet name="LAT" sheetId="10" r:id="rId11"/>
  </sheets>
  <externalReferences>
    <externalReference r:id="rId12"/>
  </externalReferences>
  <calcPr calcId="179017"/>
</workbook>
</file>

<file path=xl/calcChain.xml><?xml version="1.0" encoding="utf-8"?>
<calcChain xmlns="http://schemas.openxmlformats.org/spreadsheetml/2006/main">
  <c r="H13" i="28" l="1"/>
  <c r="H23" i="26" l="1"/>
  <c r="F23" i="26"/>
  <c r="G16" i="27"/>
  <c r="Y12" i="27"/>
  <c r="Z12" i="27"/>
  <c r="F12" i="27"/>
  <c r="AE19" i="1" l="1"/>
  <c r="AB19" i="1"/>
  <c r="AB16" i="1"/>
  <c r="AE21" i="1"/>
  <c r="AB21" i="1"/>
  <c r="AE16" i="1"/>
  <c r="AE20" i="1"/>
  <c r="AB20" i="1"/>
  <c r="AB18" i="1"/>
  <c r="AB17" i="1"/>
  <c r="AB15" i="1"/>
  <c r="AB14" i="1"/>
  <c r="AB9" i="1"/>
  <c r="AB7" i="1"/>
  <c r="AB8" i="1"/>
  <c r="AB11" i="1"/>
  <c r="AB13" i="1"/>
  <c r="AB12" i="1"/>
  <c r="O6" i="28" l="1"/>
  <c r="O38" i="28" l="1"/>
  <c r="N10" i="28"/>
  <c r="H22" i="26" l="1"/>
  <c r="F22" i="26"/>
  <c r="Y8" i="27" l="1"/>
  <c r="Z8" i="27"/>
  <c r="F8" i="27"/>
  <c r="H7" i="28" l="1"/>
  <c r="H5" i="28" s="1"/>
  <c r="E17" i="28"/>
  <c r="E18" i="28"/>
  <c r="E7" i="28"/>
  <c r="E5" i="28"/>
  <c r="N38" i="28"/>
  <c r="P3" i="28"/>
  <c r="N11" i="28"/>
  <c r="Q15" i="28"/>
  <c r="R15" i="28" s="1"/>
  <c r="S15" i="28" s="1"/>
  <c r="T15" i="28" s="1"/>
  <c r="U15" i="28" s="1"/>
  <c r="V15" i="28" s="1"/>
  <c r="W15" i="28" s="1"/>
  <c r="X15" i="28" s="1"/>
  <c r="Y15" i="28" s="1"/>
  <c r="Z15" i="28" s="1"/>
  <c r="AA15" i="28" s="1"/>
  <c r="AB15" i="28" s="1"/>
  <c r="AC15" i="28" s="1"/>
  <c r="AD15" i="28" s="1"/>
  <c r="Q7" i="28"/>
  <c r="R7" i="28" s="1"/>
  <c r="S7" i="28" s="1"/>
  <c r="T7" i="28" s="1"/>
  <c r="U7" i="28" s="1"/>
  <c r="V7" i="28" s="1"/>
  <c r="W7" i="28" s="1"/>
  <c r="X7" i="28" s="1"/>
  <c r="Y7" i="28" s="1"/>
  <c r="Z7" i="28" s="1"/>
  <c r="AA7" i="28" s="1"/>
  <c r="AB7" i="28" s="1"/>
  <c r="AC7" i="28" s="1"/>
  <c r="AD7" i="28" s="1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R22" i="28"/>
  <c r="S22" i="28" s="1"/>
  <c r="T22" i="28" s="1"/>
  <c r="U22" i="28" s="1"/>
  <c r="V22" i="28" s="1"/>
  <c r="W22" i="28" s="1"/>
  <c r="X22" i="28" s="1"/>
  <c r="Y22" i="28" s="1"/>
  <c r="Z22" i="28" s="1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U20" i="28" s="1"/>
  <c r="V20" i="28" s="1"/>
  <c r="W20" i="28" s="1"/>
  <c r="X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R11" i="28"/>
  <c r="A11" i="28"/>
  <c r="R10" i="28"/>
  <c r="S10" i="28" s="1"/>
  <c r="T10" i="28" s="1"/>
  <c r="U10" i="28" s="1"/>
  <c r="V10" i="28" s="1"/>
  <c r="W10" i="28" s="1"/>
  <c r="X10" i="28" s="1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S11" i="28"/>
  <c r="T11" i="28" s="1"/>
  <c r="U11" i="28" s="1"/>
  <c r="V11" i="28" s="1"/>
  <c r="W11" i="28" s="1"/>
  <c r="X11" i="28" s="1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M19" i="28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E27" i="28"/>
  <c r="E13" i="28"/>
  <c r="H19" i="28"/>
  <c r="H30" i="28"/>
  <c r="M18" i="28"/>
  <c r="E21" i="28"/>
  <c r="M16" i="28"/>
  <c r="M13" i="28"/>
  <c r="T14" i="28"/>
  <c r="M21" i="28"/>
  <c r="M11" i="28"/>
  <c r="E34" i="28"/>
  <c r="P25" i="28"/>
  <c r="R14" i="28"/>
  <c r="U14" i="28" l="1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W5" i="28" s="1"/>
  <c r="Z14" i="28"/>
  <c r="W25" i="28"/>
  <c r="W26" i="28" l="1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N115" i="27" l="1"/>
  <c r="AN114" i="27"/>
  <c r="AN113" i="27"/>
  <c r="AN112" i="27"/>
  <c r="AN111" i="27"/>
  <c r="AN110" i="27"/>
  <c r="AN109" i="27"/>
  <c r="AN108" i="27"/>
  <c r="AN107" i="27"/>
  <c r="AN106" i="27"/>
  <c r="AN105" i="27"/>
  <c r="AN104" i="27"/>
  <c r="AN103" i="27"/>
  <c r="AN102" i="27"/>
  <c r="AN101" i="27"/>
  <c r="AN100" i="27"/>
  <c r="AN99" i="27"/>
  <c r="AN98" i="27"/>
  <c r="B32" i="27"/>
  <c r="D12" i="27" s="1"/>
  <c r="Z28" i="27"/>
  <c r="Y28" i="27"/>
  <c r="G28" i="27"/>
  <c r="F28" i="27" s="1"/>
  <c r="Z27" i="27"/>
  <c r="Y27" i="27"/>
  <c r="G27" i="27"/>
  <c r="F27" i="27" s="1"/>
  <c r="Z26" i="27"/>
  <c r="Y26" i="27"/>
  <c r="G26" i="27"/>
  <c r="F26" i="27" s="1"/>
  <c r="Z25" i="27"/>
  <c r="Y25" i="27"/>
  <c r="G25" i="27"/>
  <c r="F25" i="27" s="1"/>
  <c r="Z24" i="27"/>
  <c r="Y24" i="27"/>
  <c r="F24" i="27"/>
  <c r="Z23" i="27"/>
  <c r="Y23" i="27"/>
  <c r="G23" i="27"/>
  <c r="F23" i="27" s="1"/>
  <c r="Z22" i="27"/>
  <c r="Y22" i="27"/>
  <c r="G22" i="27"/>
  <c r="F22" i="27" s="1"/>
  <c r="Z19" i="27"/>
  <c r="Y19" i="27"/>
  <c r="F19" i="27"/>
  <c r="Z18" i="27"/>
  <c r="Y18" i="27"/>
  <c r="F18" i="27"/>
  <c r="Z17" i="27"/>
  <c r="Y17" i="27"/>
  <c r="F17" i="27"/>
  <c r="D17" i="27"/>
  <c r="Z16" i="27"/>
  <c r="Y16" i="27"/>
  <c r="F16" i="27"/>
  <c r="Z10" i="27"/>
  <c r="Y10" i="27"/>
  <c r="F10" i="27"/>
  <c r="Z11" i="27"/>
  <c r="Y11" i="27"/>
  <c r="F11" i="27"/>
  <c r="Z9" i="27"/>
  <c r="Y9" i="27"/>
  <c r="F9" i="27"/>
  <c r="Z7" i="27"/>
  <c r="Y7" i="27"/>
  <c r="F7" i="27"/>
  <c r="AJ6" i="27"/>
  <c r="AJ15" i="27" s="1"/>
  <c r="AJ21" i="27" s="1"/>
  <c r="AI6" i="27"/>
  <c r="AI15" i="27" s="1"/>
  <c r="AI21" i="27" s="1"/>
  <c r="AH6" i="27"/>
  <c r="AH15" i="27" s="1"/>
  <c r="AH21" i="27" s="1"/>
  <c r="AG6" i="27"/>
  <c r="AG15" i="27" s="1"/>
  <c r="AG21" i="27" s="1"/>
  <c r="AF6" i="27"/>
  <c r="AF15" i="27" s="1"/>
  <c r="AF21" i="27" s="1"/>
  <c r="AE6" i="27"/>
  <c r="AE15" i="27" s="1"/>
  <c r="AE21" i="27" s="1"/>
  <c r="AD6" i="27"/>
  <c r="AD15" i="27" s="1"/>
  <c r="AD21" i="27" s="1"/>
  <c r="AC6" i="27"/>
  <c r="AC15" i="27" s="1"/>
  <c r="AC21" i="27" s="1"/>
  <c r="AA6" i="27"/>
  <c r="AA15" i="27" s="1"/>
  <c r="AA21" i="27" s="1"/>
  <c r="Z6" i="27"/>
  <c r="Z15" i="27" s="1"/>
  <c r="Z21" i="27" s="1"/>
  <c r="Y6" i="27"/>
  <c r="Y15" i="27" s="1"/>
  <c r="Y21" i="27" s="1"/>
  <c r="X6" i="27"/>
  <c r="X15" i="27" s="1"/>
  <c r="X21" i="27" s="1"/>
  <c r="W6" i="27"/>
  <c r="W15" i="27" s="1"/>
  <c r="W21" i="27" s="1"/>
  <c r="V6" i="27"/>
  <c r="V15" i="27" s="1"/>
  <c r="V21" i="27" s="1"/>
  <c r="U6" i="27"/>
  <c r="U15" i="27" s="1"/>
  <c r="U21" i="27" s="1"/>
  <c r="T6" i="27"/>
  <c r="T15" i="27" s="1"/>
  <c r="T21" i="27" s="1"/>
  <c r="S6" i="27"/>
  <c r="S15" i="27" s="1"/>
  <c r="S21" i="27" s="1"/>
  <c r="R6" i="27"/>
  <c r="R15" i="27" s="1"/>
  <c r="R21" i="27" s="1"/>
  <c r="Q6" i="27"/>
  <c r="Q15" i="27" s="1"/>
  <c r="Q21" i="27" s="1"/>
  <c r="P6" i="27"/>
  <c r="P15" i="27" s="1"/>
  <c r="P21" i="27" s="1"/>
  <c r="O6" i="27"/>
  <c r="O15" i="27" s="1"/>
  <c r="O21" i="27" s="1"/>
  <c r="N6" i="27"/>
  <c r="N15" i="27" s="1"/>
  <c r="N21" i="27" s="1"/>
  <c r="M6" i="27"/>
  <c r="M15" i="27" s="1"/>
  <c r="M21" i="27" s="1"/>
  <c r="L6" i="27"/>
  <c r="L15" i="27" s="1"/>
  <c r="L21" i="27" s="1"/>
  <c r="J6" i="27"/>
  <c r="J15" i="27" s="1"/>
  <c r="J21" i="27" s="1"/>
  <c r="I6" i="27"/>
  <c r="I15" i="27" s="1"/>
  <c r="I21" i="27" s="1"/>
  <c r="H6" i="27"/>
  <c r="H15" i="27" s="1"/>
  <c r="H21" i="27" s="1"/>
  <c r="G6" i="27"/>
  <c r="G15" i="27" s="1"/>
  <c r="G21" i="27" s="1"/>
  <c r="Z3" i="27"/>
  <c r="Y3" i="27"/>
  <c r="F3" i="27"/>
  <c r="D3" i="27"/>
  <c r="B36" i="27" l="1"/>
  <c r="B33" i="27" s="1"/>
  <c r="D25" i="27"/>
  <c r="D26" i="27"/>
  <c r="Y15" i="1"/>
  <c r="Y14" i="1"/>
  <c r="Y9" i="1"/>
  <c r="Y7" i="1"/>
  <c r="Y8" i="1"/>
  <c r="Y6" i="1"/>
  <c r="AE10" i="1"/>
  <c r="Y10" i="1"/>
  <c r="Y11" i="1"/>
  <c r="Y13" i="1"/>
  <c r="Y12" i="1"/>
  <c r="Y4" i="1"/>
  <c r="H21" i="26"/>
  <c r="F21" i="26"/>
  <c r="D24" i="27" l="1"/>
  <c r="D10" i="27"/>
  <c r="D8" i="27"/>
  <c r="D16" i="27"/>
  <c r="D22" i="27"/>
  <c r="D7" i="27"/>
  <c r="D28" i="27"/>
  <c r="D27" i="27"/>
  <c r="D23" i="27"/>
  <c r="D9" i="27"/>
  <c r="D18" i="27"/>
  <c r="D19" i="27"/>
  <c r="D11" i="27"/>
  <c r="H20" i="26"/>
  <c r="F20" i="26"/>
  <c r="H19" i="26" l="1"/>
  <c r="F19" i="26"/>
  <c r="H3" i="26" l="1"/>
  <c r="F3" i="26"/>
  <c r="H4" i="26"/>
  <c r="F4" i="26"/>
  <c r="H6" i="26"/>
  <c r="H5" i="26"/>
  <c r="H8" i="26"/>
  <c r="H7" i="26"/>
  <c r="H10" i="26"/>
  <c r="H9" i="26"/>
  <c r="E1" i="26"/>
  <c r="D1" i="26"/>
  <c r="H12" i="26"/>
  <c r="H11" i="26"/>
  <c r="H13" i="26"/>
  <c r="H16" i="26"/>
  <c r="H15" i="26"/>
  <c r="H14" i="26"/>
  <c r="F14" i="26"/>
  <c r="F15" i="26"/>
  <c r="F16" i="26"/>
  <c r="F13" i="26"/>
  <c r="F11" i="26"/>
  <c r="F12" i="26"/>
  <c r="F9" i="26"/>
  <c r="F10" i="26"/>
  <c r="F7" i="26"/>
  <c r="F8" i="26"/>
  <c r="F5" i="26"/>
  <c r="F6" i="26"/>
  <c r="H18" i="26"/>
  <c r="F18" i="26"/>
  <c r="H17" i="26"/>
  <c r="F17" i="26"/>
  <c r="F1" i="26" l="1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AN13" i="3" l="1"/>
  <c r="AS13" i="3"/>
  <c r="BE13" i="3"/>
  <c r="BF13" i="3"/>
  <c r="CE13" i="3"/>
  <c r="R8" i="3"/>
  <c r="T16" i="3"/>
  <c r="R19" i="3"/>
  <c r="T19" i="3"/>
  <c r="J4" i="3"/>
  <c r="K4" i="3"/>
  <c r="L4" i="3"/>
  <c r="T4" i="3" s="1"/>
  <c r="M4" i="3"/>
  <c r="N4" i="3"/>
  <c r="O4" i="3"/>
  <c r="R4" i="3" s="1"/>
  <c r="P4" i="3"/>
  <c r="S4" i="3" s="1"/>
  <c r="Q4" i="3"/>
  <c r="J5" i="3"/>
  <c r="K5" i="3"/>
  <c r="L5" i="3"/>
  <c r="M5" i="3"/>
  <c r="O5" i="3"/>
  <c r="P5" i="3"/>
  <c r="S5" i="3" s="1"/>
  <c r="Q5" i="3"/>
  <c r="J6" i="3"/>
  <c r="K6" i="3"/>
  <c r="L6" i="3"/>
  <c r="M6" i="3"/>
  <c r="N6" i="3"/>
  <c r="O6" i="3"/>
  <c r="P6" i="3"/>
  <c r="S6" i="3" s="1"/>
  <c r="Q6" i="3"/>
  <c r="J7" i="3"/>
  <c r="K7" i="3"/>
  <c r="L7" i="3"/>
  <c r="T7" i="3" s="1"/>
  <c r="M7" i="3"/>
  <c r="O7" i="3"/>
  <c r="R7" i="3" s="1"/>
  <c r="P7" i="3"/>
  <c r="S7" i="3" s="1"/>
  <c r="Q7" i="3"/>
  <c r="J8" i="3"/>
  <c r="K8" i="3"/>
  <c r="L8" i="3"/>
  <c r="T8" i="3" s="1"/>
  <c r="M8" i="3"/>
  <c r="N8" i="3"/>
  <c r="O8" i="3"/>
  <c r="P8" i="3"/>
  <c r="S8" i="3" s="1"/>
  <c r="Q8" i="3"/>
  <c r="J9" i="3"/>
  <c r="K9" i="3"/>
  <c r="L9" i="3"/>
  <c r="T9" i="3" s="1"/>
  <c r="M9" i="3"/>
  <c r="O9" i="3"/>
  <c r="R9" i="3" s="1"/>
  <c r="Q9" i="3"/>
  <c r="J10" i="3"/>
  <c r="K10" i="3"/>
  <c r="L10" i="3"/>
  <c r="T10" i="3" s="1"/>
  <c r="M10" i="3"/>
  <c r="Q10" i="3"/>
  <c r="J11" i="3"/>
  <c r="K11" i="3"/>
  <c r="L11" i="3"/>
  <c r="R11" i="3" s="1"/>
  <c r="M11" i="3"/>
  <c r="N11" i="3"/>
  <c r="O11" i="3"/>
  <c r="Q11" i="3"/>
  <c r="J12" i="3"/>
  <c r="K12" i="3"/>
  <c r="L12" i="3"/>
  <c r="T12" i="3" s="1"/>
  <c r="M12" i="3"/>
  <c r="N12" i="3"/>
  <c r="Q12" i="3"/>
  <c r="J13" i="3"/>
  <c r="K13" i="3"/>
  <c r="L13" i="3"/>
  <c r="M13" i="3"/>
  <c r="AC13" i="3" s="1"/>
  <c r="O13" i="3"/>
  <c r="BW13" i="3" s="1"/>
  <c r="Q13" i="3"/>
  <c r="J14" i="3"/>
  <c r="K14" i="3"/>
  <c r="L14" i="3"/>
  <c r="T14" i="3" s="1"/>
  <c r="M14" i="3"/>
  <c r="Q14" i="3"/>
  <c r="J15" i="3"/>
  <c r="K15" i="3"/>
  <c r="L15" i="3"/>
  <c r="T15" i="3" s="1"/>
  <c r="M15" i="3"/>
  <c r="N15" i="3"/>
  <c r="O15" i="3"/>
  <c r="R15" i="3" s="1"/>
  <c r="P15" i="3"/>
  <c r="S15" i="3" s="1"/>
  <c r="Q15" i="3"/>
  <c r="J16" i="3"/>
  <c r="K16" i="3"/>
  <c r="L16" i="3"/>
  <c r="M16" i="3"/>
  <c r="N16" i="3"/>
  <c r="O16" i="3"/>
  <c r="R16" i="3" s="1"/>
  <c r="P16" i="3"/>
  <c r="S16" i="3" s="1"/>
  <c r="Q16" i="3"/>
  <c r="J17" i="3"/>
  <c r="K17" i="3"/>
  <c r="L17" i="3"/>
  <c r="T17" i="3" s="1"/>
  <c r="M17" i="3"/>
  <c r="N17" i="3"/>
  <c r="Q17" i="3"/>
  <c r="J18" i="3"/>
  <c r="K18" i="3"/>
  <c r="L18" i="3"/>
  <c r="T18" i="3" s="1"/>
  <c r="M18" i="3"/>
  <c r="N18" i="3"/>
  <c r="O18" i="3"/>
  <c r="R18" i="3" s="1"/>
  <c r="P18" i="3"/>
  <c r="S18" i="3" s="1"/>
  <c r="Q18" i="3"/>
  <c r="J19" i="3"/>
  <c r="K19" i="3"/>
  <c r="L19" i="3"/>
  <c r="M19" i="3"/>
  <c r="N19" i="3"/>
  <c r="O19" i="3"/>
  <c r="P19" i="3"/>
  <c r="S19" i="3" s="1"/>
  <c r="Q19" i="3"/>
  <c r="J20" i="3"/>
  <c r="K20" i="3"/>
  <c r="L20" i="3"/>
  <c r="T20" i="3" s="1"/>
  <c r="M20" i="3"/>
  <c r="N20" i="3"/>
  <c r="O20" i="3"/>
  <c r="R20" i="3" s="1"/>
  <c r="P20" i="3"/>
  <c r="S20" i="3" s="1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G9" i="3"/>
  <c r="A10" i="3"/>
  <c r="B10" i="3"/>
  <c r="D10" i="3"/>
  <c r="E10" i="3"/>
  <c r="F10" i="3"/>
  <c r="G10" i="3" s="1"/>
  <c r="A11" i="3"/>
  <c r="B11" i="3"/>
  <c r="D11" i="3"/>
  <c r="E11" i="3"/>
  <c r="F11" i="3"/>
  <c r="G11" i="3" s="1"/>
  <c r="H11" i="3"/>
  <c r="A12" i="3"/>
  <c r="B12" i="3"/>
  <c r="D12" i="3"/>
  <c r="E12" i="3"/>
  <c r="F12" i="3"/>
  <c r="H12" i="3" s="1"/>
  <c r="G12" i="3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G14" i="3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Q6" i="12"/>
  <c r="R3" i="12"/>
  <c r="P3" i="12"/>
  <c r="R4" i="12"/>
  <c r="Q9" i="12"/>
  <c r="S10" i="12"/>
  <c r="Q11" i="12"/>
  <c r="O13" i="12"/>
  <c r="P9" i="12"/>
  <c r="O9" i="12"/>
  <c r="A4" i="12"/>
  <c r="B4" i="12"/>
  <c r="C4" i="12"/>
  <c r="G4" i="12" s="1"/>
  <c r="D4" i="12"/>
  <c r="E4" i="12" s="1"/>
  <c r="F4" i="12" s="1"/>
  <c r="A5" i="12"/>
  <c r="B5" i="12"/>
  <c r="C5" i="12"/>
  <c r="D5" i="12"/>
  <c r="E5" i="12" s="1"/>
  <c r="F5" i="12" s="1"/>
  <c r="Q4" i="12" s="1"/>
  <c r="G5" i="12"/>
  <c r="H5" i="12"/>
  <c r="S4" i="12" s="1"/>
  <c r="A6" i="12"/>
  <c r="O7" i="12" s="1"/>
  <c r="B6" i="12"/>
  <c r="C6" i="12"/>
  <c r="D6" i="12"/>
  <c r="E6" i="12"/>
  <c r="F6" i="12" s="1"/>
  <c r="Q7" i="12" s="1"/>
  <c r="G6" i="12"/>
  <c r="H6" i="12" s="1"/>
  <c r="S7" i="12" s="1"/>
  <c r="A7" i="12"/>
  <c r="O6" i="12" s="1"/>
  <c r="B7" i="12"/>
  <c r="C7" i="12"/>
  <c r="G7" i="12" s="1"/>
  <c r="R6" i="12" s="1"/>
  <c r="D7" i="12"/>
  <c r="E7" i="12" s="1"/>
  <c r="F7" i="12" s="1"/>
  <c r="A8" i="12"/>
  <c r="B8" i="12"/>
  <c r="C8" i="12"/>
  <c r="G8" i="12" s="1"/>
  <c r="D8" i="12"/>
  <c r="E8" i="12"/>
  <c r="F8" i="12" s="1"/>
  <c r="A9" i="12"/>
  <c r="B9" i="12"/>
  <c r="C9" i="12"/>
  <c r="D9" i="12"/>
  <c r="E9" i="12" s="1"/>
  <c r="F9" i="12" s="1"/>
  <c r="G9" i="12"/>
  <c r="H9" i="12"/>
  <c r="A10" i="12"/>
  <c r="O8" i="12" s="1"/>
  <c r="B10" i="12"/>
  <c r="C10" i="12"/>
  <c r="G10" i="12" s="1"/>
  <c r="D10" i="12"/>
  <c r="E10" i="12" s="1"/>
  <c r="A11" i="12"/>
  <c r="B11" i="12"/>
  <c r="C11" i="12"/>
  <c r="G11" i="12" s="1"/>
  <c r="D11" i="12"/>
  <c r="E11" i="12" s="1"/>
  <c r="F11" i="12" s="1"/>
  <c r="A12" i="12"/>
  <c r="O3" i="12" s="1"/>
  <c r="B12" i="12"/>
  <c r="C12" i="12"/>
  <c r="G12" i="12" s="1"/>
  <c r="D12" i="12"/>
  <c r="E12" i="12"/>
  <c r="F12" i="12"/>
  <c r="Q3" i="12" s="1"/>
  <c r="A13" i="12"/>
  <c r="O11" i="12" s="1"/>
  <c r="B13" i="12"/>
  <c r="C13" i="12"/>
  <c r="D13" i="12"/>
  <c r="E13" i="12" s="1"/>
  <c r="F13" i="12" s="1"/>
  <c r="G13" i="12"/>
  <c r="I13" i="12" s="1"/>
  <c r="A14" i="12"/>
  <c r="B14" i="12"/>
  <c r="C14" i="12"/>
  <c r="D14" i="12"/>
  <c r="E14" i="12" s="1"/>
  <c r="G14" i="12"/>
  <c r="H14" i="12" s="1"/>
  <c r="A15" i="12"/>
  <c r="B15" i="12"/>
  <c r="C15" i="12"/>
  <c r="G15" i="12" s="1"/>
  <c r="R9" i="12" s="1"/>
  <c r="D15" i="12"/>
  <c r="E15" i="12" s="1"/>
  <c r="F15" i="12" s="1"/>
  <c r="A16" i="12"/>
  <c r="B16" i="12"/>
  <c r="C16" i="12"/>
  <c r="G16" i="12" s="1"/>
  <c r="D16" i="12"/>
  <c r="E16" i="12" s="1"/>
  <c r="F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H18" i="12" s="1"/>
  <c r="D18" i="12"/>
  <c r="E18" i="12"/>
  <c r="A19" i="12"/>
  <c r="B19" i="12"/>
  <c r="C19" i="12"/>
  <c r="G19" i="12" s="1"/>
  <c r="R13" i="12" s="1"/>
  <c r="D19" i="12"/>
  <c r="E19" i="12" s="1"/>
  <c r="F19" i="12" s="1"/>
  <c r="Q13" i="12" s="1"/>
  <c r="A20" i="12"/>
  <c r="O12" i="12" s="1"/>
  <c r="B20" i="12"/>
  <c r="C20" i="12"/>
  <c r="G20" i="12" s="1"/>
  <c r="R12" i="12" s="1"/>
  <c r="D20" i="12"/>
  <c r="E20" i="12"/>
  <c r="P12" i="12" s="1"/>
  <c r="D3" i="12"/>
  <c r="C3" i="12"/>
  <c r="B3" i="12"/>
  <c r="A3" i="12"/>
  <c r="O5" i="12" s="1"/>
  <c r="R12" i="25"/>
  <c r="H18" i="3" l="1"/>
  <c r="BR13" i="3"/>
  <c r="BH13" i="3"/>
  <c r="J18" i="12"/>
  <c r="I14" i="12"/>
  <c r="F14" i="12"/>
  <c r="Q10" i="12" s="1"/>
  <c r="I10" i="12"/>
  <c r="F10" i="12"/>
  <c r="Q8" i="12" s="1"/>
  <c r="P8" i="12"/>
  <c r="H10" i="12"/>
  <c r="R8" i="12"/>
  <c r="I17" i="12"/>
  <c r="H17" i="12"/>
  <c r="J17" i="12" s="1"/>
  <c r="P13" i="12"/>
  <c r="R11" i="12"/>
  <c r="BU13" i="3"/>
  <c r="AT13" i="3"/>
  <c r="AV13" i="3" s="1"/>
  <c r="I18" i="12"/>
  <c r="F20" i="12"/>
  <c r="Q12" i="12" s="1"/>
  <c r="H13" i="12"/>
  <c r="I9" i="12"/>
  <c r="R10" i="12"/>
  <c r="W13" i="3"/>
  <c r="Y13" i="3" s="1"/>
  <c r="R6" i="3"/>
  <c r="R5" i="3"/>
  <c r="BP13" i="3"/>
  <c r="J6" i="12"/>
  <c r="I6" i="12"/>
  <c r="P11" i="12"/>
  <c r="R7" i="12"/>
  <c r="P6" i="12"/>
  <c r="BM13" i="3"/>
  <c r="AJ13" i="3"/>
  <c r="BX13" i="3"/>
  <c r="BA13" i="3"/>
  <c r="BC13" i="3" s="1"/>
  <c r="AG13" i="3"/>
  <c r="F18" i="12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I20" i="12"/>
  <c r="H12" i="12"/>
  <c r="I12" i="12"/>
  <c r="H15" i="12"/>
  <c r="I15" i="12"/>
  <c r="J5" i="12"/>
  <c r="I8" i="12"/>
  <c r="H8" i="12"/>
  <c r="J8" i="12" s="1"/>
  <c r="H7" i="12"/>
  <c r="I7" i="12"/>
  <c r="H11" i="12"/>
  <c r="J11" i="12" s="1"/>
  <c r="I11" i="12"/>
  <c r="H19" i="12"/>
  <c r="I19" i="12"/>
  <c r="J9" i="12"/>
  <c r="I5" i="12"/>
  <c r="I4" i="12"/>
  <c r="H4" i="12"/>
  <c r="J4" i="12" s="1"/>
  <c r="G30" i="24"/>
  <c r="H3" i="25"/>
  <c r="H14" i="25" s="1"/>
  <c r="O14" i="25" s="1"/>
  <c r="A3" i="25"/>
  <c r="A4" i="25"/>
  <c r="H6" i="25" s="1"/>
  <c r="H17" i="25" s="1"/>
  <c r="A5" i="25"/>
  <c r="H5" i="25" s="1"/>
  <c r="H16" i="25" s="1"/>
  <c r="O16" i="25" s="1"/>
  <c r="A6" i="25"/>
  <c r="H2" i="25" s="1"/>
  <c r="H13" i="25" s="1"/>
  <c r="O13" i="25" s="1"/>
  <c r="A7" i="25"/>
  <c r="A8" i="25"/>
  <c r="A9" i="25"/>
  <c r="A10" i="25"/>
  <c r="H4" i="25" s="1"/>
  <c r="H15" i="25" s="1"/>
  <c r="O15" i="25" s="1"/>
  <c r="A11" i="25"/>
  <c r="A12" i="25"/>
  <c r="A13" i="25"/>
  <c r="A14" i="25"/>
  <c r="A15" i="25"/>
  <c r="A16" i="25"/>
  <c r="A17" i="25"/>
  <c r="A18" i="25"/>
  <c r="A19" i="25"/>
  <c r="A2" i="25"/>
  <c r="K1" i="25"/>
  <c r="R1" i="25" s="1"/>
  <c r="J13" i="12" l="1"/>
  <c r="S11" i="12"/>
  <c r="J19" i="12"/>
  <c r="S13" i="12"/>
  <c r="J10" i="12"/>
  <c r="S8" i="12"/>
  <c r="J15" i="12"/>
  <c r="S9" i="12"/>
  <c r="J12" i="12"/>
  <c r="S3" i="12"/>
  <c r="J7" i="12"/>
  <c r="S6" i="12"/>
  <c r="J20" i="12"/>
  <c r="S12" i="12"/>
  <c r="J14" i="12"/>
  <c r="O5" i="25"/>
  <c r="O4" i="25"/>
  <c r="O2" i="25"/>
  <c r="O3" i="25"/>
  <c r="AE18" i="1"/>
  <c r="AE5" i="1"/>
  <c r="AS8" i="24" l="1"/>
  <c r="AS26" i="24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O26" i="24"/>
  <c r="R26" i="24"/>
  <c r="T26" i="24"/>
  <c r="U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8" i="24"/>
  <c r="AK8" i="24"/>
  <c r="AL8" i="24"/>
  <c r="AM8" i="24"/>
  <c r="AN8" i="24"/>
  <c r="AO8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8" i="3" s="1"/>
  <c r="AJ18" i="3" l="1"/>
  <c r="AZ18" i="3"/>
  <c r="BH18" i="3"/>
  <c r="BP18" i="3"/>
  <c r="BX18" i="3"/>
  <c r="AC18" i="3"/>
  <c r="AK18" i="3"/>
  <c r="AS18" i="3"/>
  <c r="BA18" i="3"/>
  <c r="BC18" i="3" s="1"/>
  <c r="BI18" i="3"/>
  <c r="BQ18" i="3"/>
  <c r="BY18" i="3"/>
  <c r="CA18" i="3" s="1"/>
  <c r="AD18" i="3"/>
  <c r="AF18" i="3" s="1"/>
  <c r="AL18" i="3"/>
  <c r="AT18" i="3"/>
  <c r="AV18" i="3" s="1"/>
  <c r="BB18" i="3"/>
  <c r="BJ18" i="3"/>
  <c r="BR18" i="3"/>
  <c r="BZ18" i="3"/>
  <c r="W18" i="3"/>
  <c r="Y18" i="3" s="1"/>
  <c r="AE18" i="3"/>
  <c r="AM18" i="3"/>
  <c r="AU18" i="3"/>
  <c r="BK18" i="3"/>
  <c r="BS18" i="3"/>
  <c r="Z18" i="3"/>
  <c r="AB18" i="3" s="1"/>
  <c r="AH18" i="3"/>
  <c r="AP18" i="3"/>
  <c r="AR18" i="3" s="1"/>
  <c r="AX18" i="3"/>
  <c r="BF18" i="3"/>
  <c r="BN18" i="3"/>
  <c r="BV18" i="3"/>
  <c r="BO18" i="3"/>
  <c r="BU18" i="3"/>
  <c r="AG18" i="3"/>
  <c r="BW18" i="3"/>
  <c r="X18" i="3"/>
  <c r="BM18" i="3"/>
  <c r="AA18" i="3"/>
  <c r="AW18" i="3"/>
  <c r="AY18" i="3" s="1"/>
  <c r="BT18" i="3"/>
  <c r="BD18" i="3"/>
  <c r="AI18" i="3"/>
  <c r="BE18" i="3"/>
  <c r="CB18" i="3"/>
  <c r="CD18" i="3" s="1"/>
  <c r="AN18" i="3"/>
  <c r="BG18" i="3"/>
  <c r="CC18" i="3"/>
  <c r="AO18" i="3"/>
  <c r="BL18" i="3"/>
  <c r="CE18" i="3"/>
  <c r="AQ18" i="3"/>
  <c r="U18" i="3"/>
  <c r="V18" i="3"/>
  <c r="N3" i="24"/>
  <c r="H3" i="24"/>
  <c r="I3" i="24"/>
  <c r="J3" i="24"/>
  <c r="K3" i="24"/>
  <c r="L3" i="24"/>
  <c r="M3" i="24"/>
  <c r="G3" i="24"/>
  <c r="E3" i="24"/>
  <c r="I2" i="1"/>
  <c r="O2" i="1"/>
  <c r="Q2" i="1"/>
  <c r="V2" i="1"/>
  <c r="T2" i="1"/>
  <c r="N4" i="1"/>
  <c r="I3" i="3" s="1"/>
  <c r="E21" i="24" l="1"/>
  <c r="Y21" i="24" s="1"/>
  <c r="Y3" i="24"/>
  <c r="D24" i="24"/>
  <c r="D25" i="24"/>
  <c r="N7" i="24"/>
  <c r="H7" i="24"/>
  <c r="I7" i="24"/>
  <c r="J7" i="24"/>
  <c r="K7" i="24"/>
  <c r="L7" i="24"/>
  <c r="M7" i="24"/>
  <c r="G7" i="24"/>
  <c r="E7" i="24"/>
  <c r="Y7" i="24" l="1"/>
  <c r="E25" i="24" s="1"/>
  <c r="Y25" i="24" s="1"/>
  <c r="N20" i="1"/>
  <c r="I19" i="3" s="1"/>
  <c r="U19" i="3" l="1"/>
  <c r="V19" i="3" s="1"/>
  <c r="W19" i="3"/>
  <c r="Y19" i="3" s="1"/>
  <c r="AE19" i="3"/>
  <c r="AM19" i="3"/>
  <c r="AU19" i="3"/>
  <c r="BK19" i="3"/>
  <c r="BS19" i="3"/>
  <c r="X19" i="3"/>
  <c r="AN19" i="3"/>
  <c r="BD19" i="3"/>
  <c r="BL19" i="3"/>
  <c r="BT19" i="3"/>
  <c r="CB19" i="3"/>
  <c r="CD19" i="3" s="1"/>
  <c r="AG19" i="3"/>
  <c r="AO19" i="3"/>
  <c r="AW19" i="3"/>
  <c r="AY19" i="3" s="1"/>
  <c r="BE19" i="3"/>
  <c r="BM19" i="3"/>
  <c r="BU19" i="3"/>
  <c r="CC19" i="3"/>
  <c r="Z19" i="3"/>
  <c r="AB19" i="3" s="1"/>
  <c r="AH19" i="3"/>
  <c r="AP19" i="3"/>
  <c r="AR19" i="3" s="1"/>
  <c r="AX19" i="3"/>
  <c r="BF19" i="3"/>
  <c r="BN19" i="3"/>
  <c r="BV19" i="3"/>
  <c r="AC19" i="3"/>
  <c r="AK19" i="3"/>
  <c r="AS19" i="3"/>
  <c r="BA19" i="3"/>
  <c r="BC19" i="3" s="1"/>
  <c r="BI19" i="3"/>
  <c r="BQ19" i="3"/>
  <c r="BY19" i="3"/>
  <c r="CA19" i="3" s="1"/>
  <c r="BR19" i="3"/>
  <c r="AZ19" i="3"/>
  <c r="AI19" i="3"/>
  <c r="BX19" i="3"/>
  <c r="AJ19" i="3"/>
  <c r="BZ19" i="3"/>
  <c r="AT19" i="3"/>
  <c r="AV19" i="3" s="1"/>
  <c r="AD19" i="3"/>
  <c r="AF19" i="3" s="1"/>
  <c r="BW19" i="3"/>
  <c r="BB19" i="3"/>
  <c r="BG19" i="3"/>
  <c r="AL19" i="3"/>
  <c r="BH19" i="3"/>
  <c r="CE19" i="3"/>
  <c r="AQ19" i="3"/>
  <c r="BJ19" i="3"/>
  <c r="BO19" i="3"/>
  <c r="AA19" i="3"/>
  <c r="BP19" i="3"/>
  <c r="N21" i="1"/>
  <c r="I20" i="3" s="1"/>
  <c r="Z20" i="3" l="1"/>
  <c r="AB20" i="3" s="1"/>
  <c r="AH20" i="3"/>
  <c r="AP20" i="3"/>
  <c r="AR20" i="3" s="1"/>
  <c r="AX20" i="3"/>
  <c r="BF20" i="3"/>
  <c r="BN20" i="3"/>
  <c r="BV20" i="3"/>
  <c r="BY20" i="3"/>
  <c r="CA20" i="3" s="1"/>
  <c r="AA20" i="3"/>
  <c r="AI20" i="3"/>
  <c r="AQ20" i="3"/>
  <c r="BG20" i="3"/>
  <c r="BO20" i="3"/>
  <c r="BW20" i="3"/>
  <c r="CE20" i="3"/>
  <c r="BQ20" i="3"/>
  <c r="AJ20" i="3"/>
  <c r="AZ20" i="3"/>
  <c r="BH20" i="3"/>
  <c r="BP20" i="3"/>
  <c r="BX20" i="3"/>
  <c r="AC20" i="3"/>
  <c r="AK20" i="3"/>
  <c r="AS20" i="3"/>
  <c r="BA20" i="3"/>
  <c r="BC20" i="3" s="1"/>
  <c r="BI20" i="3"/>
  <c r="X20" i="3"/>
  <c r="AN20" i="3"/>
  <c r="BD20" i="3"/>
  <c r="BL20" i="3"/>
  <c r="BT20" i="3"/>
  <c r="CB20" i="3"/>
  <c r="CD20" i="3" s="1"/>
  <c r="AE20" i="3"/>
  <c r="BB20" i="3"/>
  <c r="BU20" i="3"/>
  <c r="AL20" i="3"/>
  <c r="BE20" i="3"/>
  <c r="AD20" i="3"/>
  <c r="AF20" i="3" s="1"/>
  <c r="BS20" i="3"/>
  <c r="AG20" i="3"/>
  <c r="BZ20" i="3"/>
  <c r="AM20" i="3"/>
  <c r="BJ20" i="3"/>
  <c r="CC20" i="3"/>
  <c r="AO20" i="3"/>
  <c r="BK20" i="3"/>
  <c r="W20" i="3"/>
  <c r="Y20" i="3" s="1"/>
  <c r="AT20" i="3"/>
  <c r="AV20" i="3" s="1"/>
  <c r="BM20" i="3"/>
  <c r="AU20" i="3"/>
  <c r="BR20" i="3"/>
  <c r="AW20" i="3"/>
  <c r="AY20" i="3" s="1"/>
  <c r="U20" i="3"/>
  <c r="V20" i="3" s="1"/>
  <c r="AE17" i="1"/>
  <c r="N6" i="24" l="1"/>
  <c r="H6" i="24"/>
  <c r="I6" i="24"/>
  <c r="J6" i="24"/>
  <c r="AD6" i="24" s="1"/>
  <c r="J24" i="24" s="1"/>
  <c r="K6" i="24"/>
  <c r="L6" i="24"/>
  <c r="M6" i="24"/>
  <c r="G6" i="24"/>
  <c r="E6" i="24"/>
  <c r="N7" i="1"/>
  <c r="I6" i="3" s="1"/>
  <c r="E24" i="24" l="1"/>
  <c r="Y24" i="24" s="1"/>
  <c r="Y6" i="24"/>
  <c r="AC6" i="3"/>
  <c r="AK6" i="3"/>
  <c r="AS6" i="3"/>
  <c r="BA6" i="3"/>
  <c r="BC6" i="3" s="1"/>
  <c r="BI6" i="3"/>
  <c r="BQ6" i="3"/>
  <c r="BY6" i="3"/>
  <c r="CA6" i="3" s="1"/>
  <c r="W6" i="3"/>
  <c r="Y6" i="3" s="1"/>
  <c r="AE6" i="3"/>
  <c r="AM6" i="3"/>
  <c r="AU6" i="3"/>
  <c r="BK6" i="3"/>
  <c r="BS6" i="3"/>
  <c r="X6" i="3"/>
  <c r="AN6" i="3"/>
  <c r="BD6" i="3"/>
  <c r="BL6" i="3"/>
  <c r="BT6" i="3"/>
  <c r="CB6" i="3"/>
  <c r="CD6" i="3" s="1"/>
  <c r="AG6" i="3"/>
  <c r="AO6" i="3"/>
  <c r="AW6" i="3"/>
  <c r="AY6" i="3" s="1"/>
  <c r="BE6" i="3"/>
  <c r="BM6" i="3"/>
  <c r="BU6" i="3"/>
  <c r="CC6" i="3"/>
  <c r="AA6" i="3"/>
  <c r="AI6" i="3"/>
  <c r="AQ6" i="3"/>
  <c r="BG6" i="3"/>
  <c r="BO6" i="3"/>
  <c r="BW6" i="3"/>
  <c r="CE6" i="3"/>
  <c r="AD6" i="3"/>
  <c r="AF6" i="3" s="1"/>
  <c r="AZ6" i="3"/>
  <c r="BV6" i="3"/>
  <c r="AH6" i="3"/>
  <c r="BB6" i="3"/>
  <c r="BX6" i="3"/>
  <c r="AJ6" i="3"/>
  <c r="BF6" i="3"/>
  <c r="BZ6" i="3"/>
  <c r="AL6" i="3"/>
  <c r="BH6" i="3"/>
  <c r="AP6" i="3"/>
  <c r="AR6" i="3" s="1"/>
  <c r="BJ6" i="3"/>
  <c r="BN6" i="3"/>
  <c r="AX6" i="3"/>
  <c r="BR6" i="3"/>
  <c r="Z6" i="3"/>
  <c r="AB6" i="3" s="1"/>
  <c r="AT6" i="3"/>
  <c r="AV6" i="3" s="1"/>
  <c r="BP6" i="3"/>
  <c r="U6" i="3"/>
  <c r="V6" i="3"/>
  <c r="N9" i="1"/>
  <c r="I8" i="3" s="1"/>
  <c r="AA8" i="3" l="1"/>
  <c r="AI8" i="3"/>
  <c r="AQ8" i="3"/>
  <c r="BG8" i="3"/>
  <c r="BO8" i="3"/>
  <c r="BW8" i="3"/>
  <c r="CE8" i="3"/>
  <c r="AC8" i="3"/>
  <c r="AK8" i="3"/>
  <c r="AS8" i="3"/>
  <c r="BA8" i="3"/>
  <c r="BC8" i="3" s="1"/>
  <c r="BI8" i="3"/>
  <c r="BQ8" i="3"/>
  <c r="BY8" i="3"/>
  <c r="CA8" i="3" s="1"/>
  <c r="AD8" i="3"/>
  <c r="AF8" i="3" s="1"/>
  <c r="AL8" i="3"/>
  <c r="AT8" i="3"/>
  <c r="AV8" i="3" s="1"/>
  <c r="BB8" i="3"/>
  <c r="BJ8" i="3"/>
  <c r="BR8" i="3"/>
  <c r="BZ8" i="3"/>
  <c r="W8" i="3"/>
  <c r="Y8" i="3" s="1"/>
  <c r="AE8" i="3"/>
  <c r="AM8" i="3"/>
  <c r="AU8" i="3"/>
  <c r="BK8" i="3"/>
  <c r="BS8" i="3"/>
  <c r="AG8" i="3"/>
  <c r="AO8" i="3"/>
  <c r="AW8" i="3"/>
  <c r="AY8" i="3" s="1"/>
  <c r="BE8" i="3"/>
  <c r="BM8" i="3"/>
  <c r="BU8" i="3"/>
  <c r="CC8" i="3"/>
  <c r="AJ8" i="3"/>
  <c r="BF8" i="3"/>
  <c r="CB8" i="3"/>
  <c r="CD8" i="3" s="1"/>
  <c r="AN8" i="3"/>
  <c r="BH8" i="3"/>
  <c r="AP8" i="3"/>
  <c r="AR8" i="3" s="1"/>
  <c r="BL8" i="3"/>
  <c r="X8" i="3"/>
  <c r="BN8" i="3"/>
  <c r="Z8" i="3"/>
  <c r="AB8" i="3" s="1"/>
  <c r="BP8" i="3"/>
  <c r="AX8" i="3"/>
  <c r="BT8" i="3"/>
  <c r="AH8" i="3"/>
  <c r="BD8" i="3"/>
  <c r="BX8" i="3"/>
  <c r="AZ8" i="3"/>
  <c r="BV8" i="3"/>
  <c r="U8" i="3"/>
  <c r="V8" i="3" s="1"/>
  <c r="AA10" i="1"/>
  <c r="H10" i="10" l="1"/>
  <c r="N9" i="3"/>
  <c r="AC26" i="24"/>
  <c r="AF26" i="24"/>
  <c r="D22" i="24"/>
  <c r="D23" i="24"/>
  <c r="AD4" i="24" l="1"/>
  <c r="AD5" i="24"/>
  <c r="AD23" i="24" s="1"/>
  <c r="AD15" i="24"/>
  <c r="AD14" i="24"/>
  <c r="U21" i="1"/>
  <c r="AP21" i="1"/>
  <c r="AO21" i="1"/>
  <c r="AN21" i="1"/>
  <c r="AM21" i="1"/>
  <c r="AG21" i="1"/>
  <c r="AL21" i="1"/>
  <c r="AK21" i="1"/>
  <c r="AJ21" i="1"/>
  <c r="AI21" i="1"/>
  <c r="AH21" i="1"/>
  <c r="W21" i="1"/>
  <c r="R21" i="1"/>
  <c r="S21" i="1"/>
  <c r="P21" i="1"/>
  <c r="K21" i="1"/>
  <c r="L21" i="1"/>
  <c r="J21" i="1"/>
  <c r="C19" i="25" l="1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E28" i="24" l="1"/>
  <c r="Y28" i="24" s="1"/>
  <c r="Y10" i="24"/>
  <c r="E31" i="24"/>
  <c r="Y31" i="24" s="1"/>
  <c r="Y13" i="24"/>
  <c r="Y14" i="24"/>
  <c r="E32" i="24" s="1"/>
  <c r="Y32" i="24" s="1"/>
  <c r="Y15" i="24"/>
  <c r="E33" i="24" s="1"/>
  <c r="Y33" i="24" s="1"/>
  <c r="E27" i="24"/>
  <c r="Y27" i="24" s="1"/>
  <c r="Y9" i="24"/>
  <c r="E22" i="24"/>
  <c r="Y22" i="24" s="1"/>
  <c r="Y4" i="24"/>
  <c r="Y5" i="24"/>
  <c r="E23" i="24" s="1"/>
  <c r="Y23" i="24" s="1"/>
  <c r="D19" i="25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P6" i="1" l="1"/>
  <c r="W6" i="1"/>
  <c r="U6" i="1"/>
  <c r="S6" i="1"/>
  <c r="R6" i="1"/>
  <c r="P6" i="1"/>
  <c r="N6" i="1"/>
  <c r="I5" i="3" s="1"/>
  <c r="J6" i="1"/>
  <c r="K6" i="1"/>
  <c r="L6" i="1"/>
  <c r="Z5" i="3" l="1"/>
  <c r="AB5" i="3" s="1"/>
  <c r="AH5" i="3"/>
  <c r="AP5" i="3"/>
  <c r="AR5" i="3" s="1"/>
  <c r="AX5" i="3"/>
  <c r="BF5" i="3"/>
  <c r="BN5" i="3"/>
  <c r="BV5" i="3"/>
  <c r="AJ5" i="3"/>
  <c r="AZ5" i="3"/>
  <c r="BH5" i="3"/>
  <c r="BP5" i="3"/>
  <c r="BX5" i="3"/>
  <c r="AC5" i="3"/>
  <c r="AK5" i="3"/>
  <c r="AS5" i="3"/>
  <c r="BA5" i="3"/>
  <c r="BC5" i="3" s="1"/>
  <c r="BI5" i="3"/>
  <c r="BQ5" i="3"/>
  <c r="BY5" i="3"/>
  <c r="CA5" i="3" s="1"/>
  <c r="AD5" i="3"/>
  <c r="AF5" i="3" s="1"/>
  <c r="AL5" i="3"/>
  <c r="AT5" i="3"/>
  <c r="AV5" i="3" s="1"/>
  <c r="BB5" i="3"/>
  <c r="BJ5" i="3"/>
  <c r="BR5" i="3"/>
  <c r="BZ5" i="3"/>
  <c r="X5" i="3"/>
  <c r="AN5" i="3"/>
  <c r="BD5" i="3"/>
  <c r="BL5" i="3"/>
  <c r="BT5" i="3"/>
  <c r="CB5" i="3"/>
  <c r="CD5" i="3" s="1"/>
  <c r="AE5" i="3"/>
  <c r="BU5" i="3"/>
  <c r="AG5" i="3"/>
  <c r="BW5" i="3"/>
  <c r="AI5" i="3"/>
  <c r="BE5" i="3"/>
  <c r="AM5" i="3"/>
  <c r="BG5" i="3"/>
  <c r="CC5" i="3"/>
  <c r="AO5" i="3"/>
  <c r="BK5" i="3"/>
  <c r="CE5" i="3"/>
  <c r="AU5" i="3"/>
  <c r="BO5" i="3"/>
  <c r="AA5" i="3"/>
  <c r="AW5" i="3"/>
  <c r="AY5" i="3" s="1"/>
  <c r="BS5" i="3"/>
  <c r="W5" i="3"/>
  <c r="Y5" i="3" s="1"/>
  <c r="BM5" i="3"/>
  <c r="AQ5" i="3"/>
  <c r="U5" i="3"/>
  <c r="V5" i="3"/>
  <c r="AI6" i="1"/>
  <c r="B4" i="25"/>
  <c r="I6" i="25" s="1"/>
  <c r="I17" i="25" s="1"/>
  <c r="C4" i="25"/>
  <c r="J6" i="25" s="1"/>
  <c r="J17" i="25" s="1"/>
  <c r="AL6" i="1"/>
  <c r="AN6" i="1"/>
  <c r="AJ6" i="1"/>
  <c r="AG6" i="1"/>
  <c r="AK6" i="1"/>
  <c r="AM6" i="1"/>
  <c r="AH6" i="1"/>
  <c r="AO6" i="1"/>
  <c r="K17" i="25" l="1"/>
  <c r="K6" i="25"/>
  <c r="D4" i="25"/>
  <c r="W8" i="1"/>
  <c r="U8" i="1"/>
  <c r="AP8" i="1"/>
  <c r="R8" i="1"/>
  <c r="S8" i="1"/>
  <c r="P8" i="1"/>
  <c r="N8" i="1"/>
  <c r="I7" i="3" s="1"/>
  <c r="J8" i="1"/>
  <c r="K8" i="1"/>
  <c r="L8" i="1"/>
  <c r="X7" i="3" l="1"/>
  <c r="AN7" i="3"/>
  <c r="BD7" i="3"/>
  <c r="BL7" i="3"/>
  <c r="BT7" i="3"/>
  <c r="CB7" i="3"/>
  <c r="CD7" i="3" s="1"/>
  <c r="Z7" i="3"/>
  <c r="AB7" i="3" s="1"/>
  <c r="AH7" i="3"/>
  <c r="AP7" i="3"/>
  <c r="AR7" i="3" s="1"/>
  <c r="AX7" i="3"/>
  <c r="BF7" i="3"/>
  <c r="BN7" i="3"/>
  <c r="BV7" i="3"/>
  <c r="AA7" i="3"/>
  <c r="AI7" i="3"/>
  <c r="AQ7" i="3"/>
  <c r="BG7" i="3"/>
  <c r="BO7" i="3"/>
  <c r="BW7" i="3"/>
  <c r="CE7" i="3"/>
  <c r="AJ7" i="3"/>
  <c r="AZ7" i="3"/>
  <c r="BH7" i="3"/>
  <c r="BP7" i="3"/>
  <c r="BX7" i="3"/>
  <c r="AD7" i="3"/>
  <c r="AF7" i="3" s="1"/>
  <c r="AL7" i="3"/>
  <c r="AT7" i="3"/>
  <c r="AV7" i="3" s="1"/>
  <c r="BB7" i="3"/>
  <c r="BJ7" i="3"/>
  <c r="BR7" i="3"/>
  <c r="BZ7" i="3"/>
  <c r="AG7" i="3"/>
  <c r="BY7" i="3"/>
  <c r="CA7" i="3" s="1"/>
  <c r="AK7" i="3"/>
  <c r="BE7" i="3"/>
  <c r="AM7" i="3"/>
  <c r="BI7" i="3"/>
  <c r="CC7" i="3"/>
  <c r="AO7" i="3"/>
  <c r="BK7" i="3"/>
  <c r="W7" i="3"/>
  <c r="Y7" i="3" s="1"/>
  <c r="AS7" i="3"/>
  <c r="BM7" i="3"/>
  <c r="AU7" i="3"/>
  <c r="BQ7" i="3"/>
  <c r="AE7" i="3"/>
  <c r="BA7" i="3"/>
  <c r="BC7" i="3" s="1"/>
  <c r="BU7" i="3"/>
  <c r="BS7" i="3"/>
  <c r="AW7" i="3"/>
  <c r="AY7" i="3" s="1"/>
  <c r="AC7" i="3"/>
  <c r="U7" i="3"/>
  <c r="V7" i="3" s="1"/>
  <c r="E4" i="25"/>
  <c r="L6" i="25" s="1"/>
  <c r="F4" i="25"/>
  <c r="M6" i="25" s="1"/>
  <c r="AH8" i="1"/>
  <c r="C6" i="25"/>
  <c r="J2" i="25" s="1"/>
  <c r="J13" i="25" s="1"/>
  <c r="B6" i="25"/>
  <c r="I2" i="25" s="1"/>
  <c r="I13" i="25" s="1"/>
  <c r="AM8" i="1"/>
  <c r="AL8" i="1"/>
  <c r="AK8" i="1"/>
  <c r="AN8" i="1"/>
  <c r="AJ8" i="1"/>
  <c r="AI8" i="1"/>
  <c r="AG8" i="1"/>
  <c r="AO8" i="1"/>
  <c r="Q13" i="25" l="1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P7" i="1"/>
  <c r="AH7" i="1"/>
  <c r="AI7" i="1"/>
  <c r="AJ7" i="1"/>
  <c r="AK7" i="1"/>
  <c r="AL7" i="1"/>
  <c r="AG7" i="1"/>
  <c r="AM7" i="1"/>
  <c r="AN7" i="1"/>
  <c r="AO7" i="1"/>
  <c r="U7" i="1"/>
  <c r="W7" i="1"/>
  <c r="R7" i="1"/>
  <c r="S7" i="1"/>
  <c r="P7" i="1"/>
  <c r="J7" i="1"/>
  <c r="K7" i="1"/>
  <c r="L7" i="1"/>
  <c r="B5" i="25" l="1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P19" i="1"/>
  <c r="AH19" i="1"/>
  <c r="AI19" i="1"/>
  <c r="AJ19" i="1"/>
  <c r="AK19" i="1"/>
  <c r="AL19" i="1"/>
  <c r="AG19" i="1"/>
  <c r="AM19" i="1"/>
  <c r="AN19" i="1"/>
  <c r="AO19" i="1"/>
  <c r="U19" i="1"/>
  <c r="W19" i="1"/>
  <c r="R19" i="1"/>
  <c r="S19" i="1"/>
  <c r="P19" i="1"/>
  <c r="J19" i="1"/>
  <c r="K19" i="1"/>
  <c r="L19" i="1"/>
  <c r="AP4" i="1"/>
  <c r="AH4" i="1"/>
  <c r="AI4" i="1"/>
  <c r="AJ4" i="1"/>
  <c r="AK4" i="1"/>
  <c r="AL4" i="1"/>
  <c r="AG4" i="1"/>
  <c r="AM4" i="1"/>
  <c r="AN4" i="1"/>
  <c r="AO4" i="1"/>
  <c r="U4" i="1"/>
  <c r="W4" i="1"/>
  <c r="R4" i="1"/>
  <c r="S4" i="1"/>
  <c r="P4" i="1"/>
  <c r="J4" i="1"/>
  <c r="K4" i="1"/>
  <c r="L4" i="1"/>
  <c r="K16" i="25" l="1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P5" i="1"/>
  <c r="W5" i="1"/>
  <c r="R5" i="1"/>
  <c r="S5" i="1"/>
  <c r="P5" i="1"/>
  <c r="N5" i="1"/>
  <c r="I4" i="3" s="1"/>
  <c r="J5" i="1"/>
  <c r="K5" i="1"/>
  <c r="L5" i="1"/>
  <c r="W4" i="3" l="1"/>
  <c r="Y4" i="3" s="1"/>
  <c r="AE4" i="3"/>
  <c r="AM4" i="3"/>
  <c r="AU4" i="3"/>
  <c r="BK4" i="3"/>
  <c r="BS4" i="3"/>
  <c r="AG4" i="3"/>
  <c r="AO4" i="3"/>
  <c r="AW4" i="3"/>
  <c r="AY4" i="3" s="1"/>
  <c r="BE4" i="3"/>
  <c r="BM4" i="3"/>
  <c r="BU4" i="3"/>
  <c r="CC4" i="3"/>
  <c r="Z4" i="3"/>
  <c r="AB4" i="3" s="1"/>
  <c r="AH4" i="3"/>
  <c r="AP4" i="3"/>
  <c r="AR4" i="3" s="1"/>
  <c r="AX4" i="3"/>
  <c r="BF4" i="3"/>
  <c r="BN4" i="3"/>
  <c r="BV4" i="3"/>
  <c r="AA4" i="3"/>
  <c r="AI4" i="3"/>
  <c r="AQ4" i="3"/>
  <c r="BG4" i="3"/>
  <c r="BO4" i="3"/>
  <c r="BW4" i="3"/>
  <c r="CE4" i="3"/>
  <c r="AC4" i="3"/>
  <c r="AK4" i="3"/>
  <c r="AS4" i="3"/>
  <c r="BA4" i="3"/>
  <c r="BC4" i="3" s="1"/>
  <c r="BI4" i="3"/>
  <c r="BQ4" i="3"/>
  <c r="BY4" i="3"/>
  <c r="CA4" i="3" s="1"/>
  <c r="AT4" i="3"/>
  <c r="AV4" i="3" s="1"/>
  <c r="BR4" i="3"/>
  <c r="BH4" i="3"/>
  <c r="AD4" i="3"/>
  <c r="AF4" i="3" s="1"/>
  <c r="AZ4" i="3"/>
  <c r="BT4" i="3"/>
  <c r="CB4" i="3"/>
  <c r="CD4" i="3" s="1"/>
  <c r="BB4" i="3"/>
  <c r="BX4" i="3"/>
  <c r="AL4" i="3"/>
  <c r="AJ4" i="3"/>
  <c r="BD4" i="3"/>
  <c r="BZ4" i="3"/>
  <c r="BL4" i="3"/>
  <c r="X4" i="3"/>
  <c r="BP4" i="3"/>
  <c r="AN4" i="3"/>
  <c r="BJ4" i="3"/>
  <c r="U4" i="3"/>
  <c r="V4" i="3"/>
  <c r="R13" i="25"/>
  <c r="D17" i="25"/>
  <c r="B3" i="25"/>
  <c r="C3" i="25"/>
  <c r="AH5" i="1"/>
  <c r="AO5" i="1"/>
  <c r="AN5" i="1"/>
  <c r="AM5" i="1"/>
  <c r="AG5" i="1"/>
  <c r="AL5" i="1"/>
  <c r="AK5" i="1"/>
  <c r="AJ5" i="1"/>
  <c r="AI5" i="1"/>
  <c r="AC18" i="1"/>
  <c r="AC15" i="1"/>
  <c r="AC14" i="1"/>
  <c r="AC10" i="1"/>
  <c r="AC11" i="1"/>
  <c r="AC13" i="1"/>
  <c r="AC12" i="1"/>
  <c r="L10" i="24" l="1"/>
  <c r="AF10" i="24" s="1"/>
  <c r="L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E17" i="25"/>
  <c r="F17" i="25"/>
  <c r="D3" i="25"/>
  <c r="F3" i="25" s="1"/>
  <c r="AF31" i="24"/>
  <c r="AF28" i="24"/>
  <c r="AF27" i="24"/>
  <c r="AJ20" i="1"/>
  <c r="AJ14" i="1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1" i="1"/>
  <c r="I10" i="3" s="1"/>
  <c r="AP11" i="1"/>
  <c r="U11" i="1"/>
  <c r="W11" i="1"/>
  <c r="R11" i="1"/>
  <c r="S11" i="1"/>
  <c r="P11" i="1"/>
  <c r="J11" i="1"/>
  <c r="K11" i="1"/>
  <c r="L11" i="1"/>
  <c r="U10" i="3" l="1"/>
  <c r="V10" i="3" s="1"/>
  <c r="AG10" i="3"/>
  <c r="AO10" i="3"/>
  <c r="AW10" i="3"/>
  <c r="AY10" i="3" s="1"/>
  <c r="BE10" i="3"/>
  <c r="BM10" i="3"/>
  <c r="BU10" i="3"/>
  <c r="CC10" i="3"/>
  <c r="AA10" i="3"/>
  <c r="AI10" i="3"/>
  <c r="AQ10" i="3"/>
  <c r="BG10" i="3"/>
  <c r="BO10" i="3"/>
  <c r="BW10" i="3"/>
  <c r="CE10" i="3"/>
  <c r="AJ10" i="3"/>
  <c r="AZ10" i="3"/>
  <c r="BH10" i="3"/>
  <c r="BP10" i="3"/>
  <c r="BX10" i="3"/>
  <c r="AC10" i="3"/>
  <c r="AK10" i="3"/>
  <c r="AS10" i="3"/>
  <c r="BA10" i="3"/>
  <c r="BC10" i="3" s="1"/>
  <c r="BI10" i="3"/>
  <c r="BQ10" i="3"/>
  <c r="BY10" i="3"/>
  <c r="CA10" i="3" s="1"/>
  <c r="W10" i="3"/>
  <c r="Y10" i="3" s="1"/>
  <c r="AE10" i="3"/>
  <c r="AM10" i="3"/>
  <c r="AU10" i="3"/>
  <c r="BK10" i="3"/>
  <c r="BS10" i="3"/>
  <c r="AP10" i="3"/>
  <c r="AR10" i="3" s="1"/>
  <c r="X10" i="3"/>
  <c r="AT10" i="3"/>
  <c r="AV10" i="3" s="1"/>
  <c r="BN10" i="3"/>
  <c r="Z10" i="3"/>
  <c r="AB10" i="3" s="1"/>
  <c r="BR10" i="3"/>
  <c r="BZ10" i="3"/>
  <c r="AD10" i="3"/>
  <c r="AF10" i="3" s="1"/>
  <c r="AX10" i="3"/>
  <c r="BT10" i="3"/>
  <c r="BB10" i="3"/>
  <c r="BV10" i="3"/>
  <c r="AH10" i="3"/>
  <c r="BD10" i="3"/>
  <c r="AN10" i="3"/>
  <c r="BJ10" i="3"/>
  <c r="BL10" i="3"/>
  <c r="BF10" i="3"/>
  <c r="CB10" i="3"/>
  <c r="CD10" i="3" s="1"/>
  <c r="AL10" i="3"/>
  <c r="B9" i="25"/>
  <c r="C9" i="25"/>
  <c r="AK11" i="1"/>
  <c r="AJ11" i="1"/>
  <c r="AN11" i="1"/>
  <c r="AM11" i="1"/>
  <c r="AG11" i="1"/>
  <c r="AO11" i="1"/>
  <c r="AI11" i="1"/>
  <c r="AH11" i="1"/>
  <c r="AL11" i="1"/>
  <c r="D9" i="25" l="1"/>
  <c r="E9" i="25" s="1"/>
  <c r="U12" i="1"/>
  <c r="AP12" i="1"/>
  <c r="W12" i="1"/>
  <c r="R12" i="1"/>
  <c r="S12" i="1"/>
  <c r="P12" i="1"/>
  <c r="N12" i="1"/>
  <c r="I11" i="3" s="1"/>
  <c r="J12" i="1"/>
  <c r="K12" i="1"/>
  <c r="L12" i="1"/>
  <c r="AJ11" i="3" l="1"/>
  <c r="AZ11" i="3"/>
  <c r="BH11" i="3"/>
  <c r="BP11" i="3"/>
  <c r="BX11" i="3"/>
  <c r="AD11" i="3"/>
  <c r="AF11" i="3" s="1"/>
  <c r="AL11" i="3"/>
  <c r="AT11" i="3"/>
  <c r="AV11" i="3" s="1"/>
  <c r="BB11" i="3"/>
  <c r="BJ11" i="3"/>
  <c r="BR11" i="3"/>
  <c r="BZ11" i="3"/>
  <c r="W11" i="3"/>
  <c r="Y11" i="3" s="1"/>
  <c r="AE11" i="3"/>
  <c r="AM11" i="3"/>
  <c r="AU11" i="3"/>
  <c r="BK11" i="3"/>
  <c r="BS11" i="3"/>
  <c r="X11" i="3"/>
  <c r="AN11" i="3"/>
  <c r="BD11" i="3"/>
  <c r="BL11" i="3"/>
  <c r="BT11" i="3"/>
  <c r="CB11" i="3"/>
  <c r="CD11" i="3" s="1"/>
  <c r="Z11" i="3"/>
  <c r="AB11" i="3" s="1"/>
  <c r="AH11" i="3"/>
  <c r="AP11" i="3"/>
  <c r="AR11" i="3" s="1"/>
  <c r="AX11" i="3"/>
  <c r="BF11" i="3"/>
  <c r="BN11" i="3"/>
  <c r="BV11" i="3"/>
  <c r="AS11" i="3"/>
  <c r="BO11" i="3"/>
  <c r="AA11" i="3"/>
  <c r="AW11" i="3"/>
  <c r="AY11" i="3" s="1"/>
  <c r="BQ11" i="3"/>
  <c r="AK11" i="3"/>
  <c r="AC11" i="3"/>
  <c r="BU11" i="3"/>
  <c r="AG11" i="3"/>
  <c r="BA11" i="3"/>
  <c r="BC11" i="3" s="1"/>
  <c r="BW11" i="3"/>
  <c r="AI11" i="3"/>
  <c r="BE11" i="3"/>
  <c r="BY11" i="3"/>
  <c r="CA11" i="3" s="1"/>
  <c r="CC11" i="3"/>
  <c r="BG11" i="3"/>
  <c r="AQ11" i="3"/>
  <c r="BM11" i="3"/>
  <c r="AO11" i="3"/>
  <c r="BI11" i="3"/>
  <c r="CE11" i="3"/>
  <c r="V11" i="3"/>
  <c r="U11" i="3"/>
  <c r="F9" i="25"/>
  <c r="C10" i="25"/>
  <c r="J4" i="25" s="1"/>
  <c r="J15" i="25" s="1"/>
  <c r="B10" i="25"/>
  <c r="I4" i="25" s="1"/>
  <c r="I15" i="25" s="1"/>
  <c r="AK12" i="1"/>
  <c r="AJ12" i="1"/>
  <c r="AN12" i="1"/>
  <c r="AM12" i="1"/>
  <c r="AG12" i="1"/>
  <c r="AO12" i="1"/>
  <c r="AI12" i="1"/>
  <c r="AH12" i="1"/>
  <c r="AL12" i="1"/>
  <c r="Q15" i="25" l="1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P15" i="1" l="1"/>
  <c r="W15" i="1"/>
  <c r="U15" i="1"/>
  <c r="S15" i="1"/>
  <c r="R15" i="1"/>
  <c r="P15" i="1"/>
  <c r="N15" i="1"/>
  <c r="I14" i="3" s="1"/>
  <c r="L15" i="1"/>
  <c r="K15" i="1"/>
  <c r="J15" i="1"/>
  <c r="AP14" i="1"/>
  <c r="AO14" i="1"/>
  <c r="AN14" i="1"/>
  <c r="AM14" i="1"/>
  <c r="AL14" i="1"/>
  <c r="AK14" i="1"/>
  <c r="AI14" i="1"/>
  <c r="AH14" i="1"/>
  <c r="AG14" i="1"/>
  <c r="W14" i="1"/>
  <c r="U14" i="1"/>
  <c r="S14" i="1"/>
  <c r="R14" i="1"/>
  <c r="P14" i="1"/>
  <c r="L14" i="1"/>
  <c r="K14" i="1"/>
  <c r="J14" i="1"/>
  <c r="AP17" i="1"/>
  <c r="W17" i="1"/>
  <c r="U17" i="1"/>
  <c r="S17" i="1"/>
  <c r="R17" i="1"/>
  <c r="P17" i="1"/>
  <c r="N17" i="1"/>
  <c r="I16" i="3" s="1"/>
  <c r="L17" i="1"/>
  <c r="K17" i="1"/>
  <c r="J17" i="1"/>
  <c r="AP18" i="1"/>
  <c r="W18" i="1"/>
  <c r="U18" i="1"/>
  <c r="S18" i="1"/>
  <c r="R18" i="1"/>
  <c r="P18" i="1"/>
  <c r="N18" i="1"/>
  <c r="I17" i="3" s="1"/>
  <c r="L18" i="1"/>
  <c r="K18" i="1"/>
  <c r="J18" i="1"/>
  <c r="AP10" i="1"/>
  <c r="W10" i="1"/>
  <c r="U10" i="1"/>
  <c r="S10" i="1"/>
  <c r="R10" i="1"/>
  <c r="P10" i="1"/>
  <c r="N10" i="1"/>
  <c r="I9" i="3" s="1"/>
  <c r="L10" i="1"/>
  <c r="K10" i="1"/>
  <c r="J10" i="1"/>
  <c r="AP13" i="1"/>
  <c r="W13" i="1"/>
  <c r="U13" i="1"/>
  <c r="S13" i="1"/>
  <c r="R13" i="1"/>
  <c r="P13" i="1"/>
  <c r="N13" i="1"/>
  <c r="I12" i="3" s="1"/>
  <c r="L13" i="1"/>
  <c r="K13" i="1"/>
  <c r="J13" i="1"/>
  <c r="AP20" i="1"/>
  <c r="AO20" i="1"/>
  <c r="AN20" i="1"/>
  <c r="AM20" i="1"/>
  <c r="AG20" i="1"/>
  <c r="AL20" i="1"/>
  <c r="AK20" i="1"/>
  <c r="AI20" i="1"/>
  <c r="AH20" i="1"/>
  <c r="W20" i="1"/>
  <c r="U20" i="1"/>
  <c r="S20" i="1"/>
  <c r="R20" i="1"/>
  <c r="P20" i="1"/>
  <c r="L20" i="1"/>
  <c r="K20" i="1"/>
  <c r="J20" i="1"/>
  <c r="AP16" i="1"/>
  <c r="W16" i="1"/>
  <c r="U16" i="1"/>
  <c r="S16" i="1"/>
  <c r="R16" i="1"/>
  <c r="P16" i="1"/>
  <c r="N16" i="1"/>
  <c r="I15" i="3" s="1"/>
  <c r="L16" i="1"/>
  <c r="K16" i="1"/>
  <c r="J16" i="1"/>
  <c r="AP9" i="1"/>
  <c r="W9" i="1"/>
  <c r="U9" i="1"/>
  <c r="S9" i="1"/>
  <c r="R9" i="1"/>
  <c r="P9" i="1"/>
  <c r="L9" i="1"/>
  <c r="K9" i="1"/>
  <c r="J9" i="1"/>
  <c r="AD9" i="3" l="1"/>
  <c r="AF9" i="3" s="1"/>
  <c r="AL9" i="3"/>
  <c r="AT9" i="3"/>
  <c r="AV9" i="3" s="1"/>
  <c r="BB9" i="3"/>
  <c r="BJ9" i="3"/>
  <c r="BR9" i="3"/>
  <c r="BZ9" i="3"/>
  <c r="X9" i="3"/>
  <c r="AN9" i="3"/>
  <c r="BD9" i="3"/>
  <c r="BL9" i="3"/>
  <c r="BT9" i="3"/>
  <c r="CB9" i="3"/>
  <c r="CD9" i="3" s="1"/>
  <c r="AG9" i="3"/>
  <c r="AO9" i="3"/>
  <c r="AW9" i="3"/>
  <c r="AY9" i="3" s="1"/>
  <c r="BE9" i="3"/>
  <c r="BM9" i="3"/>
  <c r="BU9" i="3"/>
  <c r="CC9" i="3"/>
  <c r="Z9" i="3"/>
  <c r="AB9" i="3" s="1"/>
  <c r="AH9" i="3"/>
  <c r="AP9" i="3"/>
  <c r="AR9" i="3" s="1"/>
  <c r="AX9" i="3"/>
  <c r="BF9" i="3"/>
  <c r="BN9" i="3"/>
  <c r="BV9" i="3"/>
  <c r="AJ9" i="3"/>
  <c r="AZ9" i="3"/>
  <c r="BH9" i="3"/>
  <c r="BP9" i="3"/>
  <c r="BX9" i="3"/>
  <c r="AM9" i="3"/>
  <c r="BI9" i="3"/>
  <c r="CE9" i="3"/>
  <c r="AQ9" i="3"/>
  <c r="BK9" i="3"/>
  <c r="W9" i="3"/>
  <c r="Y9" i="3" s="1"/>
  <c r="AS9" i="3"/>
  <c r="BO9" i="3"/>
  <c r="AA9" i="3"/>
  <c r="AU9" i="3"/>
  <c r="BQ9" i="3"/>
  <c r="AC9" i="3"/>
  <c r="BS9" i="3"/>
  <c r="AE9" i="3"/>
  <c r="BA9" i="3"/>
  <c r="BC9" i="3" s="1"/>
  <c r="BW9" i="3"/>
  <c r="AK9" i="3"/>
  <c r="BG9" i="3"/>
  <c r="AI9" i="3"/>
  <c r="BY9" i="3"/>
  <c r="CA9" i="3" s="1"/>
  <c r="AG17" i="3"/>
  <c r="AO17" i="3"/>
  <c r="AW17" i="3"/>
  <c r="AY17" i="3" s="1"/>
  <c r="BE17" i="3"/>
  <c r="BM17" i="3"/>
  <c r="BU17" i="3"/>
  <c r="CC17" i="3"/>
  <c r="AC17" i="3"/>
  <c r="Z17" i="3"/>
  <c r="AB17" i="3" s="1"/>
  <c r="AH17" i="3"/>
  <c r="AP17" i="3"/>
  <c r="AR17" i="3" s="1"/>
  <c r="AX17" i="3"/>
  <c r="BF17" i="3"/>
  <c r="BN17" i="3"/>
  <c r="BV17" i="3"/>
  <c r="AA17" i="3"/>
  <c r="AI17" i="3"/>
  <c r="AQ17" i="3"/>
  <c r="BG17" i="3"/>
  <c r="BO17" i="3"/>
  <c r="BW17" i="3"/>
  <c r="CE17" i="3"/>
  <c r="BA17" i="3"/>
  <c r="BC17" i="3" s="1"/>
  <c r="AJ17" i="3"/>
  <c r="AZ17" i="3"/>
  <c r="BH17" i="3"/>
  <c r="BP17" i="3"/>
  <c r="BX17" i="3"/>
  <c r="AK17" i="3"/>
  <c r="W17" i="3"/>
  <c r="Y17" i="3" s="1"/>
  <c r="AE17" i="3"/>
  <c r="AM17" i="3"/>
  <c r="AU17" i="3"/>
  <c r="BK17" i="3"/>
  <c r="BS17" i="3"/>
  <c r="AN17" i="3"/>
  <c r="BL17" i="3"/>
  <c r="AT17" i="3"/>
  <c r="AV17" i="3" s="1"/>
  <c r="BR17" i="3"/>
  <c r="BT17" i="3"/>
  <c r="AL17" i="3"/>
  <c r="AS17" i="3"/>
  <c r="BQ17" i="3"/>
  <c r="X17" i="3"/>
  <c r="BB17" i="3"/>
  <c r="BY17" i="3"/>
  <c r="CA17" i="3" s="1"/>
  <c r="AD17" i="3"/>
  <c r="AF17" i="3" s="1"/>
  <c r="BD17" i="3"/>
  <c r="BZ17" i="3"/>
  <c r="BI17" i="3"/>
  <c r="CB17" i="3"/>
  <c r="CD17" i="3" s="1"/>
  <c r="BJ17" i="3"/>
  <c r="AC14" i="3"/>
  <c r="AK14" i="3"/>
  <c r="AS14" i="3"/>
  <c r="BA14" i="3"/>
  <c r="BC14" i="3" s="1"/>
  <c r="BI14" i="3"/>
  <c r="BQ14" i="3"/>
  <c r="BY14" i="3"/>
  <c r="CA14" i="3" s="1"/>
  <c r="W14" i="3"/>
  <c r="Y14" i="3" s="1"/>
  <c r="AE14" i="3"/>
  <c r="AM14" i="3"/>
  <c r="AU14" i="3"/>
  <c r="BK14" i="3"/>
  <c r="BS14" i="3"/>
  <c r="AG14" i="3"/>
  <c r="AO14" i="3"/>
  <c r="AA14" i="3"/>
  <c r="AI14" i="3"/>
  <c r="AQ14" i="3"/>
  <c r="BG14" i="3"/>
  <c r="BO14" i="3"/>
  <c r="AD14" i="3"/>
  <c r="AF14" i="3" s="1"/>
  <c r="AT14" i="3"/>
  <c r="AV14" i="3" s="1"/>
  <c r="BF14" i="3"/>
  <c r="BT14" i="3"/>
  <c r="AL14" i="3"/>
  <c r="BH14" i="3"/>
  <c r="BU14" i="3"/>
  <c r="CE14" i="3"/>
  <c r="AH14" i="3"/>
  <c r="AW14" i="3"/>
  <c r="AY14" i="3" s="1"/>
  <c r="BJ14" i="3"/>
  <c r="BV14" i="3"/>
  <c r="BM14" i="3"/>
  <c r="AJ14" i="3"/>
  <c r="AX14" i="3"/>
  <c r="BL14" i="3"/>
  <c r="BW14" i="3"/>
  <c r="AZ14" i="3"/>
  <c r="BX14" i="3"/>
  <c r="Z14" i="3"/>
  <c r="AB14" i="3" s="1"/>
  <c r="AP14" i="3"/>
  <c r="AR14" i="3" s="1"/>
  <c r="BD14" i="3"/>
  <c r="BP14" i="3"/>
  <c r="CB14" i="3"/>
  <c r="CD14" i="3" s="1"/>
  <c r="AN14" i="3"/>
  <c r="BE14" i="3"/>
  <c r="BN14" i="3"/>
  <c r="BB14" i="3"/>
  <c r="BR14" i="3"/>
  <c r="BZ14" i="3"/>
  <c r="CC14" i="3"/>
  <c r="X14" i="3"/>
  <c r="AD16" i="3"/>
  <c r="AF16" i="3" s="1"/>
  <c r="AL16" i="3"/>
  <c r="AT16" i="3"/>
  <c r="AV16" i="3" s="1"/>
  <c r="BB16" i="3"/>
  <c r="BJ16" i="3"/>
  <c r="BR16" i="3"/>
  <c r="BZ16" i="3"/>
  <c r="AX16" i="3"/>
  <c r="W16" i="3"/>
  <c r="Y16" i="3" s="1"/>
  <c r="AE16" i="3"/>
  <c r="AM16" i="3"/>
  <c r="AU16" i="3"/>
  <c r="BK16" i="3"/>
  <c r="BS16" i="3"/>
  <c r="BV16" i="3"/>
  <c r="X16" i="3"/>
  <c r="AN16" i="3"/>
  <c r="BD16" i="3"/>
  <c r="BL16" i="3"/>
  <c r="BT16" i="3"/>
  <c r="CB16" i="3"/>
  <c r="CD16" i="3" s="1"/>
  <c r="AP16" i="3"/>
  <c r="AR16" i="3" s="1"/>
  <c r="AG16" i="3"/>
  <c r="AO16" i="3"/>
  <c r="AW16" i="3"/>
  <c r="AY16" i="3" s="1"/>
  <c r="BE16" i="3"/>
  <c r="BM16" i="3"/>
  <c r="BU16" i="3"/>
  <c r="CC16" i="3"/>
  <c r="Z16" i="3"/>
  <c r="AB16" i="3" s="1"/>
  <c r="BF16" i="3"/>
  <c r="AH16" i="3"/>
  <c r="BN16" i="3"/>
  <c r="AJ16" i="3"/>
  <c r="AZ16" i="3"/>
  <c r="BH16" i="3"/>
  <c r="BP16" i="3"/>
  <c r="BX16" i="3"/>
  <c r="AK16" i="3"/>
  <c r="BQ16" i="3"/>
  <c r="AS16" i="3"/>
  <c r="BY16" i="3"/>
  <c r="CA16" i="3" s="1"/>
  <c r="AI16" i="3"/>
  <c r="AQ16" i="3"/>
  <c r="BW16" i="3"/>
  <c r="CE16" i="3"/>
  <c r="BA16" i="3"/>
  <c r="BC16" i="3" s="1"/>
  <c r="AA16" i="3"/>
  <c r="BG16" i="3"/>
  <c r="AC16" i="3"/>
  <c r="BI16" i="3"/>
  <c r="BO16" i="3"/>
  <c r="Z15" i="3"/>
  <c r="AB15" i="3" s="1"/>
  <c r="AH15" i="3"/>
  <c r="AP15" i="3"/>
  <c r="AR15" i="3" s="1"/>
  <c r="AX15" i="3"/>
  <c r="BF15" i="3"/>
  <c r="BN15" i="3"/>
  <c r="AD15" i="3"/>
  <c r="AF15" i="3" s="1"/>
  <c r="AM15" i="3"/>
  <c r="BE15" i="3"/>
  <c r="BO15" i="3"/>
  <c r="BW15" i="3"/>
  <c r="CE15" i="3"/>
  <c r="AI15" i="3"/>
  <c r="BS15" i="3"/>
  <c r="AE15" i="3"/>
  <c r="AN15" i="3"/>
  <c r="AW15" i="3"/>
  <c r="AY15" i="3" s="1"/>
  <c r="BG15" i="3"/>
  <c r="BP15" i="3"/>
  <c r="BX15" i="3"/>
  <c r="W15" i="3"/>
  <c r="Y15" i="3" s="1"/>
  <c r="AO15" i="3"/>
  <c r="BH15" i="3"/>
  <c r="BQ15" i="3"/>
  <c r="BY15" i="3"/>
  <c r="CA15" i="3" s="1"/>
  <c r="BA15" i="3"/>
  <c r="BC15" i="3" s="1"/>
  <c r="X15" i="3"/>
  <c r="AG15" i="3"/>
  <c r="AQ15" i="3"/>
  <c r="AZ15" i="3"/>
  <c r="BI15" i="3"/>
  <c r="BR15" i="3"/>
  <c r="BZ15" i="3"/>
  <c r="BJ15" i="3"/>
  <c r="AK15" i="3"/>
  <c r="AT15" i="3"/>
  <c r="AV15" i="3" s="1"/>
  <c r="BL15" i="3"/>
  <c r="BU15" i="3"/>
  <c r="CC15" i="3"/>
  <c r="AC15" i="3"/>
  <c r="BM15" i="3"/>
  <c r="AL15" i="3"/>
  <c r="BV15" i="3"/>
  <c r="AS15" i="3"/>
  <c r="CB15" i="3"/>
  <c r="CD15" i="3" s="1"/>
  <c r="AA15" i="3"/>
  <c r="AJ15" i="3"/>
  <c r="BT15" i="3"/>
  <c r="AU15" i="3"/>
  <c r="BB15" i="3"/>
  <c r="BD15" i="3"/>
  <c r="BK15" i="3"/>
  <c r="W12" i="3"/>
  <c r="Y12" i="3" s="1"/>
  <c r="AE12" i="3"/>
  <c r="AM12" i="3"/>
  <c r="AU12" i="3"/>
  <c r="BK12" i="3"/>
  <c r="BS12" i="3"/>
  <c r="AG12" i="3"/>
  <c r="AO12" i="3"/>
  <c r="AW12" i="3"/>
  <c r="AY12" i="3" s="1"/>
  <c r="BE12" i="3"/>
  <c r="BM12" i="3"/>
  <c r="BU12" i="3"/>
  <c r="CC12" i="3"/>
  <c r="Z12" i="3"/>
  <c r="AB12" i="3" s="1"/>
  <c r="AH12" i="3"/>
  <c r="AP12" i="3"/>
  <c r="AR12" i="3" s="1"/>
  <c r="AX12" i="3"/>
  <c r="BF12" i="3"/>
  <c r="BN12" i="3"/>
  <c r="BV12" i="3"/>
  <c r="AA12" i="3"/>
  <c r="AI12" i="3"/>
  <c r="AQ12" i="3"/>
  <c r="BG12" i="3"/>
  <c r="BO12" i="3"/>
  <c r="BW12" i="3"/>
  <c r="CE12" i="3"/>
  <c r="AC12" i="3"/>
  <c r="AK12" i="3"/>
  <c r="AS12" i="3"/>
  <c r="BA12" i="3"/>
  <c r="BC12" i="3" s="1"/>
  <c r="BI12" i="3"/>
  <c r="BQ12" i="3"/>
  <c r="BY12" i="3"/>
  <c r="CA12" i="3" s="1"/>
  <c r="BR12" i="3"/>
  <c r="AD12" i="3"/>
  <c r="AF12" i="3" s="1"/>
  <c r="AZ12" i="3"/>
  <c r="BT12" i="3"/>
  <c r="BB12" i="3"/>
  <c r="BX12" i="3"/>
  <c r="AJ12" i="3"/>
  <c r="BD12" i="3"/>
  <c r="BZ12" i="3"/>
  <c r="AN12" i="3"/>
  <c r="AL12" i="3"/>
  <c r="BH12" i="3"/>
  <c r="CB12" i="3"/>
  <c r="CD12" i="3" s="1"/>
  <c r="BJ12" i="3"/>
  <c r="X12" i="3"/>
  <c r="AT12" i="3"/>
  <c r="AV12" i="3" s="1"/>
  <c r="BP12" i="3"/>
  <c r="BL12" i="3"/>
  <c r="U14" i="3"/>
  <c r="V14" i="3"/>
  <c r="U17" i="3"/>
  <c r="V17" i="3"/>
  <c r="V16" i="3"/>
  <c r="U16" i="3"/>
  <c r="U15" i="3"/>
  <c r="V15" i="3"/>
  <c r="U9" i="3"/>
  <c r="V9" i="3"/>
  <c r="U12" i="3"/>
  <c r="V12" i="3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AJ13" i="1"/>
  <c r="C11" i="25"/>
  <c r="B11" i="25"/>
  <c r="S2" i="1"/>
  <c r="R2" i="1"/>
  <c r="U2" i="1"/>
  <c r="N2" i="1"/>
  <c r="AH9" i="1"/>
  <c r="AL9" i="1"/>
  <c r="AO9" i="1"/>
  <c r="AJ9" i="1"/>
  <c r="AM9" i="1"/>
  <c r="AK9" i="1"/>
  <c r="AN9" i="1"/>
  <c r="AI9" i="1"/>
  <c r="AG9" i="1"/>
  <c r="AG17" i="1"/>
  <c r="AJ17" i="1"/>
  <c r="AK16" i="1"/>
  <c r="AJ16" i="1"/>
  <c r="AM10" i="1"/>
  <c r="AJ10" i="1"/>
  <c r="AK18" i="1"/>
  <c r="AJ18" i="1"/>
  <c r="AG15" i="1"/>
  <c r="AJ15" i="1"/>
  <c r="AN10" i="1"/>
  <c r="AN18" i="1"/>
  <c r="AN15" i="1"/>
  <c r="AN13" i="1"/>
  <c r="AN16" i="1"/>
  <c r="AL10" i="1"/>
  <c r="AM15" i="1"/>
  <c r="AO16" i="1"/>
  <c r="AO17" i="1"/>
  <c r="AI18" i="1"/>
  <c r="AM13" i="1"/>
  <c r="AG10" i="1"/>
  <c r="AI10" i="1"/>
  <c r="AO10" i="1"/>
  <c r="AL18" i="1"/>
  <c r="AL17" i="1"/>
  <c r="AK15" i="1"/>
  <c r="AI17" i="1"/>
  <c r="AK17" i="1"/>
  <c r="AI15" i="1"/>
  <c r="AO15" i="1"/>
  <c r="AI16" i="1"/>
  <c r="AK13" i="1"/>
  <c r="AL16" i="1"/>
  <c r="AK10" i="1"/>
  <c r="AO18" i="1"/>
  <c r="AN17" i="1"/>
  <c r="AM17" i="1"/>
  <c r="AL15" i="1"/>
  <c r="AH16" i="1"/>
  <c r="AG16" i="1"/>
  <c r="AL13" i="1"/>
  <c r="AO13" i="1"/>
  <c r="AH18" i="1"/>
  <c r="AG18" i="1"/>
  <c r="AM16" i="1"/>
  <c r="AH13" i="1"/>
  <c r="AG13" i="1"/>
  <c r="AM18" i="1"/>
  <c r="AI13" i="1"/>
  <c r="AH10" i="1"/>
  <c r="AH17" i="1"/>
  <c r="AH15" i="1"/>
  <c r="R16" i="25" l="1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P5" i="12" s="1"/>
  <c r="G3" i="12"/>
  <c r="R5" i="12" s="1"/>
  <c r="P4" i="12" l="1"/>
  <c r="P18" i="12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2" i="1" s="1"/>
  <c r="D12" i="10" l="1"/>
  <c r="C12" i="1"/>
  <c r="C11" i="3"/>
  <c r="F21" i="1"/>
  <c r="D21" i="10" s="1"/>
  <c r="F19" i="1"/>
  <c r="D19" i="10" s="1"/>
  <c r="F18" i="1"/>
  <c r="D18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D7" i="10" s="1"/>
  <c r="F9" i="1"/>
  <c r="D9" i="10" s="1"/>
  <c r="F6" i="1"/>
  <c r="D6" i="10" s="1"/>
  <c r="F8" i="1"/>
  <c r="D8" i="10" s="1"/>
  <c r="F11" i="1"/>
  <c r="D11" i="10" s="1"/>
  <c r="F10" i="1"/>
  <c r="D10" i="10" s="1"/>
  <c r="F5" i="1"/>
  <c r="D5" i="10" s="1"/>
  <c r="F13" i="1"/>
  <c r="D13" i="10" s="1"/>
  <c r="F4" i="1"/>
  <c r="D4" i="10" s="1"/>
  <c r="C8" i="3" l="1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V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X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sharedStrings.xml><?xml version="1.0" encoding="utf-8"?>
<sst xmlns="http://schemas.openxmlformats.org/spreadsheetml/2006/main" count="1287" uniqueCount="680">
  <si>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</si>
  <si>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</si>
  <si>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</si>
  <si>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</si>
  <si>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</si>
  <si>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</si>
  <si>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</si>
  <si>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</si>
  <si>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</si>
  <si>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</si>
  <si>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</si>
  <si>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</si>
  <si>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</si>
  <si>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</si>
  <si>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</si>
  <si>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</si>
  <si>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</si>
  <si>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</si>
  <si>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</si>
  <si>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</si>
  <si>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</si>
  <si>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</si>
  <si>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</si>
  <si>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</si>
  <si>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</si>
  <si>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</si>
  <si>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</si>
  <si>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</si>
  <si>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</si>
  <si>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</si>
  <si>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</si>
  <si>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</si>
  <si>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</si>
  <si>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</si>
  <si>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</si>
  <si>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</si>
  <si>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</si>
  <si>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</si>
  <si>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</si>
  <si>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</si>
  <si>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</si>
  <si>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</si>
  <si>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</si>
  <si>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</si>
  <si>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</si>
  <si>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</si>
  <si>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</si>
  <si>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</si>
  <si>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</si>
  <si>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</si>
  <si>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</si>
  <si>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</si>
  <si>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</si>
  <si>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</si>
  <si>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</si>
  <si>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</si>
  <si>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</si>
  <si>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</si>
  <si>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</si>
  <si>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</si>
  <si>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</si>
  <si>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</si>
  <si>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</si>
  <si>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</si>
  <si>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</si>
  <si>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</si>
  <si>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</si>
  <si>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</si>
  <si>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</si>
  <si>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</si>
  <si>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</si>
  <si>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</si>
  <si>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</si>
  <si>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</si>
  <si>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</si>
  <si>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</si>
  <si>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</si>
  <si>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</si>
  <si>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</si>
  <si>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</si>
  <si>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</si>
  <si>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</si>
  <si>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</si>
  <si>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</si>
  <si>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</si>
  <si>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</si>
  <si>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</si>
  <si>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</si>
  <si>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</si>
  <si>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</si>
  <si>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</si>
  <si>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</si>
  <si>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</si>
  <si>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</si>
  <si>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</si>
  <si>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</si>
  <si>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</si>
  <si>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</si>
  <si>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</si>
  <si>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JUGMin</t>
  </si>
  <si>
    <t>JUGMax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</si>
  <si>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</si>
  <si>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</si>
  <si>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</si>
  <si>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</si>
  <si>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</si>
  <si>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</si>
  <si>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</si>
  <si>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</si>
  <si>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</si>
  <si>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</si>
  <si>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</si>
  <si>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</si>
  <si>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</si>
  <si>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</si>
  <si>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</si>
  <si>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</si>
  <si>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</si>
  <si>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</si>
  <si>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</si>
  <si>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</si>
  <si>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</si>
  <si>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</si>
  <si>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</si>
  <si>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</si>
  <si>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</si>
  <si>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</si>
  <si>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</si>
  <si>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</si>
  <si>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</si>
  <si>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</si>
  <si>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</si>
  <si>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</si>
  <si>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</si>
  <si>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</si>
  <si>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</si>
  <si>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</si>
  <si>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</si>
  <si>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</si>
  <si>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</si>
  <si>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</si>
  <si>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</si>
  <si>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</si>
  <si>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</si>
  <si>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</si>
  <si>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</si>
  <si>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</si>
  <si>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</si>
  <si>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</si>
  <si>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</si>
  <si>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</si>
  <si>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</si>
  <si>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</si>
  <si>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</si>
  <si>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</si>
  <si>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</si>
  <si>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</si>
  <si>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</si>
  <si>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</si>
  <si>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</si>
  <si>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</si>
  <si>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</si>
  <si>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</si>
  <si>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</si>
  <si>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</si>
  <si>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</si>
  <si>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</si>
  <si>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</si>
  <si>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</si>
  <si>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</si>
  <si>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</si>
  <si>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</si>
  <si>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</si>
  <si>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</si>
  <si>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</si>
  <si>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</si>
  <si>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</si>
  <si>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</si>
  <si>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</si>
  <si>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</si>
  <si>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</si>
  <si>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</si>
  <si>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</si>
  <si>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</si>
  <si>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</si>
  <si>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</si>
  <si>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</si>
  <si>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</si>
  <si>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</si>
  <si>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</si>
  <si>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</si>
  <si>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</si>
  <si>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</si>
  <si>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</si>
  <si>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Eckardt Hägerling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</si>
  <si>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</si>
  <si>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</si>
  <si>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</si>
  <si>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</si>
  <si>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</si>
  <si>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</si>
  <si>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</si>
  <si>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</si>
  <si>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</si>
  <si>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</si>
  <si>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</si>
  <si>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</si>
  <si>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</si>
  <si>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</si>
  <si>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</si>
  <si>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</si>
  <si>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</si>
  <si>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</si>
  <si>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</si>
  <si>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</si>
  <si>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</si>
  <si>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</si>
  <si>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</si>
  <si>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</si>
  <si>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</si>
  <si>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</si>
  <si>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</si>
  <si>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</si>
  <si>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</si>
  <si>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</si>
  <si>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</si>
  <si>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</si>
  <si>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</si>
  <si>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</si>
  <si>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</si>
  <si>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</si>
  <si>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</si>
  <si>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</si>
  <si>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</si>
  <si>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</si>
  <si>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</si>
  <si>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</si>
  <si>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</si>
  <si>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</si>
  <si>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</si>
  <si>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</si>
  <si>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</si>
  <si>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</si>
  <si>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</si>
  <si>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</si>
  <si>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</si>
  <si>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</si>
  <si>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</si>
  <si>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</si>
  <si>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</si>
  <si>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</si>
  <si>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</si>
  <si>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</si>
  <si>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</si>
  <si>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</si>
  <si>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</si>
  <si>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</si>
  <si>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</si>
  <si>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</si>
  <si>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</si>
  <si>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</si>
  <si>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</si>
  <si>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</si>
  <si>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</si>
  <si>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</si>
  <si>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</si>
  <si>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</si>
  <si>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</si>
  <si>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</si>
  <si>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</si>
  <si>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</si>
  <si>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</si>
  <si>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</si>
  <si>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</si>
  <si>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</si>
  <si>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</si>
  <si>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</si>
  <si>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</si>
  <si>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</si>
  <si>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</si>
  <si>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</si>
  <si>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</si>
  <si>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</si>
  <si>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</si>
  <si>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</si>
  <si>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</si>
  <si>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</si>
  <si>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</si>
  <si>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</si>
  <si>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</si>
  <si>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</si>
  <si>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</si>
  <si>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</si>
  <si>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</si>
  <si>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</si>
  <si>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</si>
  <si>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</si>
  <si>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</si>
  <si>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</si>
  <si>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</si>
  <si>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</si>
  <si>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</si>
  <si>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</si>
  <si>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</si>
  <si>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</si>
  <si>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</si>
  <si>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</si>
  <si>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</si>
  <si>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</si>
  <si>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</si>
  <si>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</si>
  <si>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</si>
  <si>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</si>
  <si>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</si>
  <si>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</si>
  <si>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</si>
  <si>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</si>
  <si>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</si>
  <si>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</si>
  <si>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</si>
  <si>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</si>
  <si>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</si>
  <si>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</si>
  <si>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</si>
  <si>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</si>
  <si>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</si>
  <si>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</si>
  <si>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</si>
  <si>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</si>
  <si>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</si>
  <si>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</si>
  <si>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</si>
  <si>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</si>
  <si>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</si>
  <si>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</si>
  <si>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</si>
  <si>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</si>
  <si>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</si>
  <si>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</si>
  <si>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</si>
  <si>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</si>
  <si>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</si>
  <si>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</si>
  <si>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</si>
  <si>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</si>
  <si>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</si>
  <si>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</si>
  <si>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</si>
  <si>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</si>
  <si>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</si>
  <si>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</si>
  <si>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</si>
  <si>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</si>
  <si>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</si>
  <si>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</si>
  <si>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</si>
  <si>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</si>
  <si>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</si>
  <si>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</si>
  <si>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</si>
  <si>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</si>
  <si>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</si>
  <si>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Miklós Gábriel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</si>
  <si>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</si>
  <si>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</si>
  <si>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</si>
  <si>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</si>
  <si>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</si>
  <si>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</si>
  <si>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</si>
  <si>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</si>
  <si>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</si>
  <si>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</si>
  <si>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</si>
  <si>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</si>
  <si>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</si>
  <si>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</si>
  <si>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</si>
  <si>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</si>
  <si>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</si>
  <si>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</si>
  <si>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</si>
  <si>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</si>
  <si>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</si>
  <si>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</si>
  <si>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</si>
  <si>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</si>
  <si>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</si>
  <si>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</si>
  <si>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</si>
  <si>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</si>
  <si>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</si>
  <si>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</si>
  <si>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</si>
  <si>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</si>
  <si>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</si>
  <si>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</si>
  <si>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</si>
  <si>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</si>
  <si>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</si>
  <si>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</si>
  <si>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</si>
  <si>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</si>
  <si>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</si>
  <si>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</si>
  <si>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</si>
  <si>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</si>
  <si>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</si>
  <si>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</si>
  <si>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</si>
  <si>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</si>
  <si>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</si>
  <si>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</si>
  <si>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</si>
  <si>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</si>
  <si>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</si>
  <si>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</si>
  <si>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</si>
  <si>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</si>
  <si>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</si>
  <si>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</si>
  <si>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</si>
  <si>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</si>
  <si>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</si>
  <si>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</si>
  <si>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</si>
  <si>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</si>
  <si>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</si>
  <si>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</si>
  <si>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</si>
  <si>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</si>
  <si>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</si>
  <si>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</si>
  <si>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</si>
  <si>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</si>
  <si>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</si>
  <si>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</si>
  <si>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</si>
  <si>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</si>
  <si>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</si>
  <si>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</si>
  <si>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</si>
  <si>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</si>
  <si>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</si>
  <si>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</si>
  <si>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</si>
  <si>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</si>
  <si>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</si>
  <si>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</si>
  <si>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</si>
  <si>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</si>
  <si>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</si>
  <si>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</si>
  <si>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</si>
  <si>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#20</t>
  </si>
  <si>
    <t>Heren Jaukikoa</t>
  </si>
  <si>
    <t>Anir Zaylachi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</si>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</sst>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indexed="8"/>
      <name val="Calibri"/>
      <family val="2"/>
      <charset val="1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68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43" fontId="10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27" fillId="20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1" borderId="1" xfId="0" applyFill="1" applyBorder="1"/>
    <xf numFmtId="0" fontId="0" fillId="22" borderId="1" xfId="0" applyFill="1" applyBorder="1"/>
    <xf numFmtId="0" fontId="0" fillId="15" borderId="1" xfId="0" applyFill="1" applyBorder="1"/>
    <xf numFmtId="0" fontId="21" fillId="21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20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11" fillId="17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2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3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3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4" borderId="0" xfId="0" applyFont="1" applyFill="1"/>
    <xf numFmtId="0" fontId="28" fillId="24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3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0" borderId="0" xfId="3" applyFont="1" applyAlignment="1">
      <alignment horizontal="left"/>
    </xf>
    <xf numFmtId="0" fontId="33" fillId="25" borderId="0" xfId="3" applyFont="1" applyFill="1" applyBorder="1" applyAlignment="1"/>
    <xf numFmtId="0" fontId="33" fillId="25" borderId="0" xfId="3" applyFont="1" applyFill="1" applyBorder="1" applyAlignment="1">
      <alignment horizontal="center"/>
    </xf>
    <xf numFmtId="0" fontId="34" fillId="25" borderId="0" xfId="3" applyFont="1" applyFill="1" applyBorder="1" applyAlignment="1">
      <alignment horizontal="center"/>
    </xf>
    <xf numFmtId="0" fontId="34" fillId="25" borderId="0" xfId="3" applyFont="1" applyFill="1" applyBorder="1" applyAlignment="1"/>
    <xf numFmtId="0" fontId="35" fillId="0" borderId="0" xfId="3" applyFont="1"/>
    <xf numFmtId="0" fontId="36" fillId="25" borderId="0" xfId="3" applyFont="1" applyFill="1" applyBorder="1" applyAlignment="1">
      <alignment horizontal="left"/>
    </xf>
    <xf numFmtId="0" fontId="36" fillId="25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center"/>
    </xf>
    <xf numFmtId="0" fontId="36" fillId="26" borderId="0" xfId="3" applyFont="1" applyFill="1" applyBorder="1" applyAlignment="1">
      <alignment horizontal="left"/>
    </xf>
    <xf numFmtId="0" fontId="36" fillId="26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left"/>
    </xf>
    <xf numFmtId="0" fontId="2" fillId="0" borderId="0" xfId="3"/>
    <xf numFmtId="0" fontId="38" fillId="4" borderId="0" xfId="3" applyFont="1" applyFill="1" applyBorder="1" applyAlignment="1">
      <alignment horizontal="right"/>
    </xf>
    <xf numFmtId="0" fontId="39" fillId="0" borderId="0" xfId="3" applyFont="1" applyBorder="1"/>
    <xf numFmtId="1" fontId="39" fillId="0" borderId="0" xfId="3" applyNumberFormat="1" applyFont="1" applyFill="1" applyBorder="1" applyAlignment="1">
      <alignment horizontal="right"/>
    </xf>
    <xf numFmtId="0" fontId="40" fillId="0" borderId="0" xfId="3" applyFont="1" applyFill="1" applyBorder="1" applyAlignment="1">
      <alignment horizontal="center"/>
    </xf>
    <xf numFmtId="1" fontId="41" fillId="0" borderId="0" xfId="3" applyNumberFormat="1" applyFont="1" applyBorder="1" applyAlignment="1">
      <alignment horizontal="right"/>
    </xf>
    <xf numFmtId="14" fontId="42" fillId="0" borderId="0" xfId="3" applyNumberFormat="1" applyFont="1" applyFill="1" applyBorder="1" applyAlignment="1">
      <alignment horizontal="center"/>
    </xf>
    <xf numFmtId="0" fontId="42" fillId="0" borderId="0" xfId="3" applyFont="1" applyBorder="1" applyAlignment="1">
      <alignment horizontal="center"/>
    </xf>
    <xf numFmtId="0" fontId="39" fillId="15" borderId="0" xfId="3" applyFont="1" applyFill="1" applyAlignment="1">
      <alignment horizontal="center"/>
    </xf>
    <xf numFmtId="164" fontId="42" fillId="27" borderId="0" xfId="3" applyNumberFormat="1" applyFont="1" applyFill="1" applyBorder="1" applyAlignment="1">
      <alignment horizontal="center"/>
    </xf>
    <xf numFmtId="2" fontId="43" fillId="27" borderId="0" xfId="3" applyNumberFormat="1" applyFont="1" applyFill="1" applyBorder="1" applyAlignment="1">
      <alignment horizontal="right"/>
    </xf>
    <xf numFmtId="2" fontId="42" fillId="27" borderId="0" xfId="3" applyNumberFormat="1" applyFont="1" applyFill="1" applyBorder="1" applyAlignment="1">
      <alignment horizontal="right"/>
    </xf>
    <xf numFmtId="164" fontId="44" fillId="27" borderId="0" xfId="3" applyNumberFormat="1" applyFont="1" applyFill="1" applyBorder="1" applyAlignment="1">
      <alignment horizontal="center"/>
    </xf>
    <xf numFmtId="2" fontId="44" fillId="27" borderId="0" xfId="3" applyNumberFormat="1" applyFont="1" applyFill="1" applyBorder="1" applyAlignment="1">
      <alignment horizontal="right"/>
    </xf>
    <xf numFmtId="2" fontId="42" fillId="28" borderId="0" xfId="3" applyNumberFormat="1" applyFont="1" applyFill="1" applyBorder="1" applyAlignment="1">
      <alignment horizontal="right"/>
    </xf>
    <xf numFmtId="1" fontId="42" fillId="0" borderId="0" xfId="3" applyNumberFormat="1" applyFont="1" applyBorder="1" applyAlignment="1">
      <alignment horizontal="center"/>
    </xf>
    <xf numFmtId="0" fontId="45" fillId="24" borderId="0" xfId="3" applyFont="1" applyFill="1" applyBorder="1" applyAlignment="1">
      <alignment horizontal="center"/>
    </xf>
    <xf numFmtId="0" fontId="38" fillId="4" borderId="0" xfId="3" applyFont="1" applyFill="1" applyAlignment="1">
      <alignment horizontal="right"/>
    </xf>
    <xf numFmtId="0" fontId="39" fillId="0" borderId="0" xfId="3" applyFont="1"/>
    <xf numFmtId="0" fontId="39" fillId="0" borderId="0" xfId="3" applyFont="1" applyAlignment="1">
      <alignment horizontal="center"/>
    </xf>
    <xf numFmtId="0" fontId="33" fillId="12" borderId="0" xfId="3" applyFont="1" applyFill="1" applyBorder="1" applyAlignment="1"/>
    <xf numFmtId="0" fontId="33" fillId="12" borderId="0" xfId="3" applyFont="1" applyFill="1" applyBorder="1" applyAlignment="1">
      <alignment horizontal="center"/>
    </xf>
    <xf numFmtId="0" fontId="34" fillId="12" borderId="0" xfId="3" applyFont="1" applyFill="1" applyBorder="1" applyAlignment="1">
      <alignment horizontal="center"/>
    </xf>
    <xf numFmtId="0" fontId="34" fillId="12" borderId="0" xfId="3" applyFont="1" applyFill="1" applyBorder="1" applyAlignment="1"/>
    <xf numFmtId="0" fontId="2" fillId="0" borderId="0" xfId="3" applyAlignment="1">
      <alignment horizontal="left"/>
    </xf>
    <xf numFmtId="0" fontId="36" fillId="29" borderId="0" xfId="3" applyFont="1" applyFill="1" applyBorder="1" applyAlignment="1"/>
    <xf numFmtId="0" fontId="36" fillId="29" borderId="0" xfId="3" applyFont="1" applyFill="1" applyBorder="1" applyAlignment="1">
      <alignment horizontal="center"/>
    </xf>
    <xf numFmtId="0" fontId="36" fillId="30" borderId="0" xfId="3" applyFont="1" applyFill="1" applyBorder="1" applyAlignment="1">
      <alignment horizontal="center"/>
    </xf>
    <xf numFmtId="0" fontId="37" fillId="30" borderId="0" xfId="3" applyFont="1" applyFill="1" applyBorder="1" applyAlignment="1">
      <alignment horizontal="center"/>
    </xf>
    <xf numFmtId="0" fontId="36" fillId="30" borderId="0" xfId="3" applyFont="1" applyFill="1" applyBorder="1" applyAlignment="1"/>
    <xf numFmtId="0" fontId="37" fillId="31" borderId="0" xfId="3" applyFont="1" applyFill="1" applyBorder="1" applyAlignment="1"/>
    <xf numFmtId="0" fontId="37" fillId="31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0" fontId="36" fillId="12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center"/>
    </xf>
    <xf numFmtId="0" fontId="36" fillId="21" borderId="0" xfId="3" applyFont="1" applyFill="1" applyBorder="1" applyAlignment="1">
      <alignment horizontal="left"/>
    </xf>
    <xf numFmtId="0" fontId="36" fillId="21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left"/>
    </xf>
    <xf numFmtId="1" fontId="39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2" fillId="28" borderId="0" xfId="3" applyNumberFormat="1" applyFont="1" applyFill="1" applyBorder="1" applyAlignment="1">
      <alignment horizontal="center"/>
    </xf>
    <xf numFmtId="2" fontId="43" fillId="28" borderId="0" xfId="3" applyNumberFormat="1" applyFont="1" applyFill="1" applyBorder="1" applyAlignment="1">
      <alignment horizontal="right"/>
    </xf>
    <xf numFmtId="2" fontId="46" fillId="32" borderId="0" xfId="3" applyNumberFormat="1" applyFont="1" applyFill="1" applyBorder="1" applyAlignment="1">
      <alignment horizontal="right"/>
    </xf>
    <xf numFmtId="0" fontId="45" fillId="4" borderId="0" xfId="3" applyFont="1" applyFill="1" applyAlignment="1">
      <alignment horizontal="right"/>
    </xf>
    <xf numFmtId="0" fontId="45" fillId="0" borderId="0" xfId="3" applyFont="1" applyAlignment="1">
      <alignment horizontal="center"/>
    </xf>
    <xf numFmtId="0" fontId="42" fillId="15" borderId="0" xfId="3" applyFont="1" applyFill="1" applyBorder="1" applyAlignment="1">
      <alignment horizontal="center"/>
    </xf>
    <xf numFmtId="0" fontId="33" fillId="18" borderId="0" xfId="3" applyFont="1" applyFill="1" applyBorder="1" applyAlignment="1"/>
    <xf numFmtId="0" fontId="33" fillId="18" borderId="0" xfId="3" applyFont="1" applyFill="1" applyBorder="1" applyAlignment="1">
      <alignment horizontal="center"/>
    </xf>
    <xf numFmtId="0" fontId="34" fillId="18" borderId="0" xfId="3" applyFont="1" applyFill="1" applyBorder="1" applyAlignment="1">
      <alignment horizontal="center"/>
    </xf>
    <xf numFmtId="0" fontId="34" fillId="18" borderId="0" xfId="3" applyFont="1" applyFill="1" applyBorder="1" applyAlignment="1"/>
    <xf numFmtId="0" fontId="36" fillId="33" borderId="0" xfId="3" applyFont="1" applyFill="1" applyBorder="1" applyAlignment="1"/>
    <xf numFmtId="0" fontId="36" fillId="33" borderId="0" xfId="3" applyFont="1" applyFill="1" applyBorder="1" applyAlignment="1">
      <alignment horizontal="center"/>
    </xf>
    <xf numFmtId="0" fontId="36" fillId="34" borderId="0" xfId="3" applyFont="1" applyFill="1" applyBorder="1" applyAlignment="1">
      <alignment horizontal="center"/>
    </xf>
    <xf numFmtId="0" fontId="37" fillId="34" borderId="0" xfId="3" applyFont="1" applyFill="1" applyBorder="1" applyAlignment="1">
      <alignment horizontal="center"/>
    </xf>
    <xf numFmtId="0" fontId="36" fillId="34" borderId="0" xfId="3" applyFont="1" applyFill="1" applyBorder="1" applyAlignment="1"/>
    <xf numFmtId="0" fontId="37" fillId="35" borderId="0" xfId="3" applyFont="1" applyFill="1" applyBorder="1" applyAlignment="1"/>
    <xf numFmtId="0" fontId="37" fillId="35" borderId="0" xfId="3" applyFont="1" applyFill="1" applyBorder="1" applyAlignment="1">
      <alignment horizontal="center"/>
    </xf>
    <xf numFmtId="0" fontId="36" fillId="18" borderId="0" xfId="3" applyFont="1" applyFill="1" applyBorder="1" applyAlignment="1">
      <alignment horizontal="left"/>
    </xf>
    <xf numFmtId="0" fontId="36" fillId="18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center"/>
    </xf>
    <xf numFmtId="0" fontId="36" fillId="36" borderId="0" xfId="3" applyFont="1" applyFill="1" applyBorder="1" applyAlignment="1">
      <alignment horizontal="left"/>
    </xf>
    <xf numFmtId="0" fontId="36" fillId="36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left"/>
    </xf>
    <xf numFmtId="14" fontId="47" fillId="0" borderId="0" xfId="3" applyNumberFormat="1" applyFont="1" applyFill="1" applyBorder="1" applyAlignment="1">
      <alignment horizontal="center"/>
    </xf>
    <xf numFmtId="0" fontId="36" fillId="37" borderId="0" xfId="3" applyFont="1" applyFill="1" applyBorder="1" applyAlignment="1"/>
    <xf numFmtId="0" fontId="36" fillId="37" borderId="0" xfId="3" applyFont="1" applyFill="1" applyBorder="1" applyAlignment="1">
      <alignment horizontal="center"/>
    </xf>
    <xf numFmtId="0" fontId="36" fillId="38" borderId="0" xfId="3" applyFont="1" applyFill="1" applyBorder="1" applyAlignment="1">
      <alignment horizontal="center"/>
    </xf>
    <xf numFmtId="0" fontId="37" fillId="38" borderId="0" xfId="3" applyFont="1" applyFill="1" applyBorder="1" applyAlignment="1">
      <alignment horizontal="center"/>
    </xf>
    <xf numFmtId="0" fontId="36" fillId="38" borderId="0" xfId="3" applyFont="1" applyFill="1" applyBorder="1" applyAlignment="1"/>
    <xf numFmtId="0" fontId="37" fillId="39" borderId="0" xfId="3" applyFont="1" applyFill="1" applyBorder="1" applyAlignment="1"/>
    <xf numFmtId="0" fontId="37" fillId="39" borderId="0" xfId="3" applyFont="1" applyFill="1" applyBorder="1" applyAlignment="1">
      <alignment horizontal="center"/>
    </xf>
    <xf numFmtId="0" fontId="36" fillId="40" borderId="0" xfId="3" applyFont="1" applyFill="1" applyBorder="1" applyAlignment="1">
      <alignment horizontal="left"/>
    </xf>
    <xf numFmtId="0" fontId="36" fillId="40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center"/>
    </xf>
    <xf numFmtId="0" fontId="36" fillId="41" borderId="0" xfId="3" applyFont="1" applyFill="1" applyBorder="1" applyAlignment="1">
      <alignment horizontal="left"/>
    </xf>
    <xf numFmtId="0" fontId="36" fillId="42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left"/>
    </xf>
    <xf numFmtId="0" fontId="45" fillId="0" borderId="0" xfId="3" applyFont="1"/>
    <xf numFmtId="0" fontId="45" fillId="4" borderId="0" xfId="3" applyFont="1" applyFill="1" applyBorder="1" applyAlignment="1">
      <alignment horizontal="right"/>
    </xf>
    <xf numFmtId="1" fontId="39" fillId="0" borderId="0" xfId="3" applyNumberFormat="1" applyFont="1" applyBorder="1"/>
    <xf numFmtId="0" fontId="39" fillId="0" borderId="0" xfId="3" applyFont="1" applyBorder="1" applyAlignment="1">
      <alignment horizontal="center"/>
    </xf>
    <xf numFmtId="0" fontId="45" fillId="0" borderId="0" xfId="3" applyFont="1" applyBorder="1" applyAlignment="1">
      <alignment horizontal="center"/>
    </xf>
    <xf numFmtId="0" fontId="45" fillId="0" borderId="0" xfId="3" applyFont="1" applyBorder="1"/>
    <xf numFmtId="0" fontId="48" fillId="0" borderId="0" xfId="3" applyFont="1"/>
    <xf numFmtId="0" fontId="48" fillId="0" borderId="0" xfId="3" applyFont="1" applyAlignment="1">
      <alignment horizontal="center"/>
    </xf>
    <xf numFmtId="0" fontId="40" fillId="0" borderId="4" xfId="3" applyFont="1" applyBorder="1"/>
    <xf numFmtId="0" fontId="45" fillId="0" borderId="0" xfId="3" applyFont="1" applyFill="1" applyBorder="1"/>
    <xf numFmtId="0" fontId="2" fillId="0" borderId="0" xfId="3" applyFont="1"/>
    <xf numFmtId="14" fontId="40" fillId="0" borderId="4" xfId="3" applyNumberFormat="1" applyFont="1" applyBorder="1"/>
    <xf numFmtId="1" fontId="39" fillId="0" borderId="0" xfId="3" applyNumberFormat="1" applyFont="1" applyAlignment="1">
      <alignment horizontal="center"/>
    </xf>
    <xf numFmtId="0" fontId="49" fillId="0" borderId="0" xfId="3" applyFont="1" applyFill="1" applyAlignment="1">
      <alignment horizontal="center" wrapText="1"/>
    </xf>
    <xf numFmtId="0" fontId="45" fillId="0" borderId="0" xfId="3" applyFont="1" applyFill="1" applyAlignment="1">
      <alignment horizontal="center" wrapText="1"/>
    </xf>
    <xf numFmtId="171" fontId="45" fillId="0" borderId="0" xfId="3" applyNumberFormat="1" applyFont="1"/>
    <xf numFmtId="0" fontId="50" fillId="0" borderId="0" xfId="3" applyFont="1"/>
    <xf numFmtId="0" fontId="50" fillId="0" borderId="0" xfId="3" applyNumberFormat="1" applyFont="1"/>
    <xf numFmtId="14" fontId="39" fillId="0" borderId="0" xfId="3" applyNumberFormat="1" applyFont="1" applyAlignment="1">
      <alignment horizontal="center"/>
    </xf>
    <xf numFmtId="0" fontId="52" fillId="25" borderId="7" xfId="3" applyFont="1" applyFill="1" applyBorder="1" applyAlignment="1">
      <alignment horizontal="left"/>
    </xf>
    <xf numFmtId="2" fontId="53" fillId="0" borderId="1" xfId="3" applyNumberFormat="1" applyFont="1" applyBorder="1" applyAlignment="1">
      <alignment horizontal="right"/>
    </xf>
    <xf numFmtId="2" fontId="54" fillId="27" borderId="1" xfId="3" applyNumberFormat="1" applyFont="1" applyFill="1" applyBorder="1" applyAlignment="1">
      <alignment horizontal="right"/>
    </xf>
    <xf numFmtId="2" fontId="55" fillId="27" borderId="1" xfId="3" applyNumberFormat="1" applyFont="1" applyFill="1" applyBorder="1" applyAlignment="1">
      <alignment horizontal="right"/>
    </xf>
    <xf numFmtId="2" fontId="56" fillId="27" borderId="1" xfId="3" applyNumberFormat="1" applyFont="1" applyFill="1" applyBorder="1" applyAlignment="1">
      <alignment horizontal="right"/>
    </xf>
    <xf numFmtId="2" fontId="2" fillId="28" borderId="1" xfId="3" applyNumberForma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8" borderId="1" xfId="3" applyNumberFormat="1" applyFont="1" applyFill="1" applyBorder="1" applyAlignment="1">
      <alignment horizontal="right"/>
    </xf>
    <xf numFmtId="2" fontId="58" fillId="28" borderId="1" xfId="3" applyNumberFormat="1" applyFont="1" applyFill="1" applyBorder="1" applyAlignment="1">
      <alignment horizontal="right"/>
    </xf>
    <xf numFmtId="2" fontId="53" fillId="27" borderId="1" xfId="3" applyNumberFormat="1" applyFont="1" applyFill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0" fontId="53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8" fillId="27" borderId="1" xfId="3" applyNumberFormat="1" applyFont="1" applyFill="1" applyBorder="1" applyAlignment="1">
      <alignment horizontal="right"/>
    </xf>
    <xf numFmtId="2" fontId="39" fillId="0" borderId="1" xfId="3" applyNumberFormat="1" applyFont="1" applyBorder="1" applyAlignment="1">
      <alignment horizontal="right"/>
    </xf>
    <xf numFmtId="2" fontId="42" fillId="28" borderId="1" xfId="3" applyNumberFormat="1" applyFont="1" applyFill="1" applyBorder="1" applyAlignment="1">
      <alignment horizontal="right"/>
    </xf>
    <xf numFmtId="2" fontId="44" fillId="27" borderId="1" xfId="3" applyNumberFormat="1" applyFont="1" applyFill="1" applyBorder="1" applyAlignment="1">
      <alignment horizontal="right"/>
    </xf>
    <xf numFmtId="2" fontId="60" fillId="27" borderId="1" xfId="3" applyNumberFormat="1" applyFont="1" applyFill="1" applyBorder="1" applyAlignment="1">
      <alignment horizontal="right"/>
    </xf>
    <xf numFmtId="2" fontId="39" fillId="27" borderId="1" xfId="3" applyNumberFormat="1" applyFont="1" applyFill="1" applyBorder="1" applyAlignment="1">
      <alignment horizontal="right"/>
    </xf>
    <xf numFmtId="2" fontId="42" fillId="27" borderId="1" xfId="3" applyNumberFormat="1" applyFont="1" applyFill="1" applyBorder="1" applyAlignment="1">
      <alignment horizontal="right"/>
    </xf>
    <xf numFmtId="2" fontId="46" fillId="27" borderId="1" xfId="3" applyNumberFormat="1" applyFont="1" applyFill="1" applyBorder="1" applyAlignment="1">
      <alignment horizontal="right"/>
    </xf>
    <xf numFmtId="0" fontId="61" fillId="0" borderId="1" xfId="3" applyFont="1" applyBorder="1" applyAlignment="1">
      <alignment horizontal="right"/>
    </xf>
    <xf numFmtId="2" fontId="43" fillId="27" borderId="1" xfId="3" applyNumberFormat="1" applyFont="1" applyFill="1" applyBorder="1" applyAlignment="1">
      <alignment horizontal="right"/>
    </xf>
    <xf numFmtId="0" fontId="53" fillId="0" borderId="0" xfId="3" applyFont="1"/>
    <xf numFmtId="2" fontId="43" fillId="28" borderId="1" xfId="3" applyNumberFormat="1" applyFont="1" applyFill="1" applyBorder="1" applyAlignment="1">
      <alignment horizontal="right"/>
    </xf>
    <xf numFmtId="2" fontId="44" fillId="15" borderId="1" xfId="3" applyNumberFormat="1" applyFont="1" applyFill="1" applyBorder="1" applyAlignment="1">
      <alignment horizontal="right"/>
    </xf>
    <xf numFmtId="0" fontId="39" fillId="0" borderId="1" xfId="3" applyFont="1" applyBorder="1"/>
    <xf numFmtId="2" fontId="46" fillId="32" borderId="1" xfId="3" applyNumberFormat="1" applyFont="1" applyFill="1" applyBorder="1" applyAlignment="1">
      <alignment horizontal="right"/>
    </xf>
    <xf numFmtId="2" fontId="42" fillId="0" borderId="1" xfId="3" applyNumberFormat="1" applyFont="1" applyBorder="1" applyAlignment="1">
      <alignment horizontal="right"/>
    </xf>
    <xf numFmtId="0" fontId="11" fillId="0" borderId="0" xfId="3" applyFont="1"/>
    <xf numFmtId="14" fontId="42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9" fillId="15" borderId="1" xfId="3" applyFont="1" applyFill="1" applyBorder="1"/>
    <xf numFmtId="0" fontId="51" fillId="25" borderId="5" xfId="3" applyFont="1" applyFill="1" applyBorder="1" applyAlignment="1"/>
    <xf numFmtId="0" fontId="51" fillId="25" borderId="6" xfId="3" applyFont="1" applyFill="1" applyBorder="1" applyAlignment="1"/>
    <xf numFmtId="0" fontId="63" fillId="25" borderId="6" xfId="3" applyFont="1" applyFill="1" applyBorder="1" applyAlignment="1"/>
    <xf numFmtId="0" fontId="64" fillId="25" borderId="8" xfId="3" applyFont="1" applyFill="1" applyBorder="1" applyAlignment="1">
      <alignment horizontal="left"/>
    </xf>
    <xf numFmtId="0" fontId="35" fillId="0" borderId="12" xfId="3" applyFont="1" applyFill="1" applyBorder="1" applyAlignment="1">
      <alignment horizontal="right"/>
    </xf>
    <xf numFmtId="0" fontId="52" fillId="25" borderId="1" xfId="3" applyFont="1" applyFill="1" applyBorder="1" applyAlignment="1">
      <alignment horizontal="left"/>
    </xf>
    <xf numFmtId="2" fontId="59" fillId="27" borderId="1" xfId="3" applyNumberFormat="1" applyFont="1" applyFill="1" applyBorder="1" applyAlignment="1">
      <alignment horizontal="right"/>
    </xf>
    <xf numFmtId="0" fontId="61" fillId="0" borderId="1" xfId="3" applyFont="1" applyFill="1" applyBorder="1"/>
    <xf numFmtId="0" fontId="61" fillId="0" borderId="1" xfId="3" applyFont="1" applyBorder="1"/>
    <xf numFmtId="0" fontId="42" fillId="0" borderId="1" xfId="3" applyFont="1" applyBorder="1"/>
    <xf numFmtId="164" fontId="44" fillId="15" borderId="1" xfId="3" applyNumberFormat="1" applyFont="1" applyFill="1" applyBorder="1" applyAlignment="1">
      <alignment horizontal="center"/>
    </xf>
    <xf numFmtId="164" fontId="44" fillId="27" borderId="1" xfId="3" applyNumberFormat="1" applyFont="1" applyFill="1" applyBorder="1" applyAlignment="1">
      <alignment horizontal="center"/>
    </xf>
    <xf numFmtId="2" fontId="62" fillId="27" borderId="1" xfId="3" applyNumberFormat="1" applyFont="1" applyFill="1" applyBorder="1" applyAlignment="1">
      <alignment horizontal="right"/>
    </xf>
    <xf numFmtId="164" fontId="42" fillId="28" borderId="1" xfId="3" applyNumberFormat="1" applyFont="1" applyFill="1" applyBorder="1" applyAlignment="1">
      <alignment horizontal="center"/>
    </xf>
    <xf numFmtId="164" fontId="42" fillId="27" borderId="1" xfId="3" applyNumberFormat="1" applyFont="1" applyFill="1" applyBorder="1" applyAlignment="1">
      <alignment horizontal="center"/>
    </xf>
    <xf numFmtId="164" fontId="42" fillId="15" borderId="1" xfId="3" applyNumberFormat="1" applyFont="1" applyFill="1" applyBorder="1" applyAlignment="1">
      <alignment horizontal="center"/>
    </xf>
    <xf numFmtId="0" fontId="65" fillId="0" borderId="0" xfId="0" applyFont="1"/>
    <xf numFmtId="0" fontId="65" fillId="0" borderId="0" xfId="0" applyFont="1" applyBorder="1"/>
    <xf numFmtId="14" fontId="65" fillId="23" borderId="0" xfId="0" applyNumberFormat="1" applyFont="1" applyFill="1" applyAlignment="1">
      <alignment horizontal="center"/>
    </xf>
    <xf numFmtId="14" fontId="65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 applyBorder="1" applyAlignment="1">
      <alignment horizontal="center"/>
    </xf>
    <xf numFmtId="0" fontId="67" fillId="44" borderId="1" xfId="0" applyFont="1" applyFill="1" applyBorder="1" applyAlignment="1">
      <alignment horizontal="center" wrapText="1"/>
    </xf>
    <xf numFmtId="0" fontId="67" fillId="45" borderId="13" xfId="0" applyFont="1" applyFill="1" applyBorder="1" applyAlignment="1">
      <alignment horizontal="center" wrapText="1"/>
    </xf>
    <xf numFmtId="0" fontId="67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7" fillId="0" borderId="0" xfId="0" applyFont="1" applyBorder="1"/>
    <xf numFmtId="0" fontId="67" fillId="0" borderId="0" xfId="0" applyFont="1" applyBorder="1" applyAlignment="1">
      <alignment horizontal="right"/>
    </xf>
    <xf numFmtId="1" fontId="67" fillId="44" borderId="1" xfId="0" applyNumberFormat="1" applyFont="1" applyFill="1" applyBorder="1" applyAlignment="1">
      <alignment horizontal="center" wrapText="1"/>
    </xf>
    <xf numFmtId="1" fontId="67" fillId="45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8" fillId="48" borderId="10" xfId="0" applyFont="1" applyFill="1" applyBorder="1"/>
    <xf numFmtId="173" fontId="68" fillId="48" borderId="10" xfId="0" applyNumberFormat="1" applyFont="1" applyFill="1" applyBorder="1"/>
    <xf numFmtId="173" fontId="68" fillId="48" borderId="1" xfId="0" applyNumberFormat="1" applyFont="1" applyFill="1" applyBorder="1"/>
    <xf numFmtId="0" fontId="69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8" fillId="49" borderId="10" xfId="0" applyFont="1" applyFill="1" applyBorder="1"/>
    <xf numFmtId="173" fontId="68" fillId="49" borderId="10" xfId="0" applyNumberFormat="1" applyFont="1" applyFill="1" applyBorder="1"/>
    <xf numFmtId="173" fontId="68" fillId="49" borderId="1" xfId="0" applyNumberFormat="1" applyFont="1" applyFill="1" applyBorder="1"/>
    <xf numFmtId="0" fontId="67" fillId="50" borderId="1" xfId="0" applyFont="1" applyFill="1" applyBorder="1" applyAlignment="1">
      <alignment wrapText="1"/>
    </xf>
    <xf numFmtId="169" fontId="67" fillId="51" borderId="1" xfId="2" applyNumberFormat="1" applyFont="1" applyFill="1" applyBorder="1" applyAlignment="1" applyProtection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7" fillId="52" borderId="1" xfId="0" applyFont="1" applyFill="1" applyBorder="1" applyAlignment="1">
      <alignment wrapText="1"/>
    </xf>
    <xf numFmtId="173" fontId="67" fillId="53" borderId="1" xfId="0" applyNumberFormat="1" applyFont="1" applyFill="1" applyBorder="1"/>
    <xf numFmtId="173" fontId="0" fillId="52" borderId="1" xfId="0" applyNumberFormat="1" applyFill="1" applyBorder="1"/>
    <xf numFmtId="173" fontId="0" fillId="52" borderId="1" xfId="0" applyNumberFormat="1" applyFill="1" applyBorder="1" applyAlignment="1">
      <alignment horizontal="center"/>
    </xf>
    <xf numFmtId="0" fontId="0" fillId="43" borderId="17" xfId="0" applyFill="1" applyBorder="1" applyAlignment="1">
      <alignment horizontal="right"/>
    </xf>
    <xf numFmtId="172" fontId="0" fillId="43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3" borderId="17" xfId="0" applyFill="1" applyBorder="1" applyAlignment="1">
      <alignment horizontal="right"/>
    </xf>
    <xf numFmtId="172" fontId="0" fillId="23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70" fillId="0" borderId="0" xfId="0" applyFont="1"/>
    <xf numFmtId="0" fontId="71" fillId="0" borderId="0" xfId="0" applyFont="1"/>
    <xf numFmtId="169" fontId="70" fillId="0" borderId="1" xfId="0" applyNumberFormat="1" applyFont="1" applyBorder="1"/>
    <xf numFmtId="0" fontId="0" fillId="0" borderId="18" xfId="0" applyBorder="1"/>
    <xf numFmtId="0" fontId="70" fillId="52" borderId="1" xfId="0" applyFont="1" applyFill="1" applyBorder="1"/>
    <xf numFmtId="0" fontId="70" fillId="52" borderId="1" xfId="0" applyFont="1" applyFill="1" applyBorder="1" applyAlignment="1">
      <alignment wrapText="1"/>
    </xf>
    <xf numFmtId="173" fontId="70" fillId="53" borderId="1" xfId="0" applyNumberFormat="1" applyFont="1" applyFill="1" applyBorder="1"/>
    <xf numFmtId="173" fontId="70" fillId="52" borderId="1" xfId="0" applyNumberFormat="1" applyFont="1" applyFill="1" applyBorder="1"/>
    <xf numFmtId="0" fontId="67" fillId="54" borderId="1" xfId="0" applyFont="1" applyFill="1" applyBorder="1" applyAlignment="1">
      <alignment wrapText="1"/>
    </xf>
    <xf numFmtId="0" fontId="67" fillId="54" borderId="1" xfId="0" applyFont="1" applyFill="1" applyBorder="1"/>
    <xf numFmtId="173" fontId="67" fillId="55" borderId="1" xfId="0" applyNumberFormat="1" applyFont="1" applyFill="1" applyBorder="1"/>
    <xf numFmtId="173" fontId="0" fillId="54" borderId="1" xfId="0" applyNumberFormat="1" applyFill="1" applyBorder="1"/>
    <xf numFmtId="0" fontId="0" fillId="21" borderId="17" xfId="0" applyFill="1" applyBorder="1" applyAlignment="1">
      <alignment horizontal="right"/>
    </xf>
    <xf numFmtId="172" fontId="0" fillId="21" borderId="0" xfId="0" applyNumberFormat="1" applyFill="1" applyBorder="1"/>
    <xf numFmtId="0" fontId="8" fillId="23" borderId="17" xfId="0" applyFont="1" applyFill="1" applyBorder="1" applyAlignment="1">
      <alignment horizontal="right"/>
    </xf>
    <xf numFmtId="172" fontId="8" fillId="23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6" borderId="17" xfId="0" applyFill="1" applyBorder="1" applyAlignment="1">
      <alignment horizontal="right"/>
    </xf>
    <xf numFmtId="172" fontId="0" fillId="56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3" fillId="0" borderId="0" xfId="0" applyFont="1"/>
    <xf numFmtId="172" fontId="0" fillId="56" borderId="0" xfId="0" applyNumberFormat="1" applyFill="1" applyBorder="1"/>
    <xf numFmtId="0" fontId="67" fillId="57" borderId="1" xfId="0" applyFont="1" applyFill="1" applyBorder="1"/>
    <xf numFmtId="169" fontId="67" fillId="55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3" fillId="54" borderId="1" xfId="0" applyFont="1" applyFill="1" applyBorder="1" applyAlignment="1">
      <alignment wrapText="1"/>
    </xf>
    <xf numFmtId="0" fontId="73" fillId="54" borderId="1" xfId="0" applyFont="1" applyFill="1" applyBorder="1"/>
    <xf numFmtId="173" fontId="73" fillId="55" borderId="1" xfId="0" applyNumberFormat="1" applyFont="1" applyFill="1" applyBorder="1"/>
    <xf numFmtId="173" fontId="73" fillId="54" borderId="1" xfId="0" applyNumberFormat="1" applyFont="1" applyFill="1" applyBorder="1"/>
    <xf numFmtId="0" fontId="68" fillId="49" borderId="1" xfId="0" applyFont="1" applyFill="1" applyBorder="1"/>
    <xf numFmtId="0" fontId="65" fillId="0" borderId="0" xfId="0" applyFont="1" applyAlignment="1">
      <alignment wrapText="1"/>
    </xf>
    <xf numFmtId="14" fontId="65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7" fillId="0" borderId="0" xfId="0" applyNumberFormat="1" applyFont="1"/>
    <xf numFmtId="174" fontId="67" fillId="0" borderId="0" xfId="0" applyNumberFormat="1" applyFont="1" applyAlignment="1">
      <alignment horizontal="center"/>
    </xf>
    <xf numFmtId="0" fontId="67" fillId="58" borderId="1" xfId="0" applyFont="1" applyFill="1" applyBorder="1" applyAlignment="1">
      <alignment horizontal="center"/>
    </xf>
    <xf numFmtId="175" fontId="67" fillId="58" borderId="1" xfId="1" applyNumberFormat="1" applyFont="1" applyFill="1" applyBorder="1" applyAlignment="1" applyProtection="1">
      <alignment horizontal="center" wrapText="1"/>
    </xf>
    <xf numFmtId="0" fontId="67" fillId="58" borderId="1" xfId="0" applyFont="1" applyFill="1" applyBorder="1" applyAlignment="1">
      <alignment horizontal="right"/>
    </xf>
    <xf numFmtId="169" fontId="73" fillId="0" borderId="1" xfId="2" applyNumberFormat="1" applyFont="1" applyBorder="1" applyAlignment="1" applyProtection="1"/>
    <xf numFmtId="169" fontId="73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7" fillId="58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7" fillId="58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4" fillId="0" borderId="0" xfId="0" applyFont="1" applyAlignment="1">
      <alignment horizontal="right"/>
    </xf>
    <xf numFmtId="172" fontId="74" fillId="0" borderId="0" xfId="0" applyNumberFormat="1" applyFont="1"/>
    <xf numFmtId="172" fontId="13" fillId="0" borderId="0" xfId="0" applyNumberFormat="1" applyFont="1"/>
    <xf numFmtId="0" fontId="67" fillId="0" borderId="0" xfId="0" applyFont="1" applyAlignment="1">
      <alignment horizontal="right"/>
    </xf>
    <xf numFmtId="2" fontId="75" fillId="0" borderId="0" xfId="0" applyNumberFormat="1" applyFont="1"/>
    <xf numFmtId="0" fontId="76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7" fillId="0" borderId="0" xfId="0" applyFont="1" applyAlignment="1">
      <alignment wrapText="1"/>
    </xf>
    <xf numFmtId="0" fontId="13" fillId="16" borderId="0" xfId="0" applyFont="1" applyFill="1" applyAlignment="1">
      <alignment horizontal="center"/>
    </xf>
    <xf numFmtId="0" fontId="45" fillId="0" borderId="0" xfId="3" applyFont="1" applyAlignment="1">
      <alignment horizontal="left"/>
    </xf>
    <xf numFmtId="0" fontId="66" fillId="15" borderId="12" xfId="0" applyFont="1" applyFill="1" applyBorder="1" applyAlignment="1">
      <alignment horizontal="center"/>
    </xf>
    <xf numFmtId="0" fontId="66" fillId="15" borderId="15" xfId="0" applyFont="1" applyFill="1" applyBorder="1" applyAlignment="1">
      <alignment horizontal="center"/>
    </xf>
    <xf numFmtId="0" fontId="66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6" borderId="9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16" fillId="47" borderId="16" xfId="0" applyFont="1" applyFill="1" applyBorder="1" applyAlignment="1">
      <alignment horizontal="center"/>
    </xf>
    <xf numFmtId="0" fontId="16" fillId="47" borderId="14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67" fillId="52" borderId="3" xfId="0" applyFont="1" applyFill="1" applyBorder="1" applyAlignment="1">
      <alignment horizontal="left" vertical="top" wrapText="1"/>
    </xf>
    <xf numFmtId="0" fontId="67" fillId="52" borderId="2" xfId="0" applyFont="1" applyFill="1" applyBorder="1" applyAlignment="1">
      <alignment horizontal="left" vertical="top" wrapText="1"/>
    </xf>
    <xf numFmtId="0" fontId="67" fillId="52" borderId="10" xfId="0" applyFont="1" applyFill="1" applyBorder="1" applyAlignment="1">
      <alignment horizontal="left" vertical="top" wrapText="1"/>
    </xf>
    <xf numFmtId="0" fontId="67" fillId="54" borderId="3" xfId="0" applyFont="1" applyFill="1" applyBorder="1" applyAlignment="1">
      <alignment horizontal="left" vertical="top" wrapText="1"/>
    </xf>
    <xf numFmtId="0" fontId="67" fillId="54" borderId="2" xfId="0" applyFont="1" applyFill="1" applyBorder="1" applyAlignment="1">
      <alignment horizontal="left" vertical="top" wrapText="1"/>
    </xf>
    <xf numFmtId="0" fontId="67" fillId="54" borderId="10" xfId="0" applyFont="1" applyFill="1" applyBorder="1" applyAlignment="1">
      <alignment horizontal="left" vertical="top" wrapText="1"/>
    </xf>
    <xf numFmtId="0" fontId="67" fillId="58" borderId="18" xfId="0" applyFont="1" applyFill="1" applyBorder="1" applyAlignment="1">
      <alignment horizontal="center" vertical="top" wrapText="1"/>
    </xf>
    <xf numFmtId="173" fontId="72" fillId="51" borderId="1" xfId="0" applyNumberFormat="1" applyFont="1" applyFill="1" applyBorder="1" applyAlignment="1">
      <alignment horizontal="center"/>
    </xf>
    <xf numFmtId="173" fontId="73" fillId="55" borderId="1" xfId="0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center" vertical="center" wrapText="1"/>
    </xf>
    <xf numFmtId="0" fontId="24" fillId="19" borderId="1" xfId="0" applyFont="1" applyFill="1" applyBorder="1" applyAlignment="1">
      <alignment horizontal="center" vertical="top" wrapText="1"/>
    </xf>
    <xf numFmtId="0" fontId="25" fillId="20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D24" sqref="D24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20" bestFit="1" customWidth="1"/>
    <col min="7" max="7" width="20.85546875" bestFit="1" customWidth="1"/>
    <col min="8" max="8" width="5.85546875" style="108" customWidth="1"/>
    <col min="9" max="9" width="6.85546875" customWidth="1"/>
    <col min="10" max="10" width="5.28515625" style="120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20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20" bestFit="1" customWidth="1"/>
    <col min="19" max="19" width="21.28515625" bestFit="1" customWidth="1"/>
    <col min="20" max="20" width="5.85546875" customWidth="1"/>
  </cols>
  <sheetData>
    <row r="1" spans="1:20" x14ac:dyDescent="0.25">
      <c r="A1" s="109" t="s">
        <v>250</v>
      </c>
      <c r="F1" s="119" t="s">
        <v>297</v>
      </c>
      <c r="G1" s="441" t="s">
        <v>257</v>
      </c>
      <c r="H1" s="441"/>
      <c r="J1" s="119" t="s">
        <v>297</v>
      </c>
      <c r="K1" s="441" t="s">
        <v>298</v>
      </c>
      <c r="L1" s="441"/>
      <c r="N1" s="119" t="s">
        <v>297</v>
      </c>
      <c r="O1" s="441" t="s">
        <v>309</v>
      </c>
      <c r="P1" s="441"/>
      <c r="R1" s="119" t="s">
        <v>297</v>
      </c>
      <c r="S1" s="441" t="s">
        <v>328</v>
      </c>
      <c r="T1" s="441"/>
    </row>
    <row r="2" spans="1:20" x14ac:dyDescent="0.25">
      <c r="A2" s="28">
        <v>43634</v>
      </c>
      <c r="F2" s="48">
        <v>1</v>
      </c>
      <c r="G2" s="110" t="s">
        <v>258</v>
      </c>
      <c r="H2" s="108" t="s">
        <v>259</v>
      </c>
      <c r="J2" s="48">
        <v>1</v>
      </c>
      <c r="K2" s="110" t="s">
        <v>281</v>
      </c>
      <c r="L2" s="108">
        <v>175</v>
      </c>
      <c r="N2" s="48">
        <v>1</v>
      </c>
      <c r="O2" s="110" t="s">
        <v>281</v>
      </c>
      <c r="P2" s="108">
        <v>71</v>
      </c>
      <c r="R2" s="48">
        <v>1</v>
      </c>
      <c r="S2" s="110" t="s">
        <v>266</v>
      </c>
      <c r="T2" s="108">
        <v>58</v>
      </c>
    </row>
    <row r="3" spans="1:20" x14ac:dyDescent="0.25">
      <c r="F3" s="48">
        <v>2</v>
      </c>
      <c r="G3" s="110" t="s">
        <v>260</v>
      </c>
      <c r="H3" s="108" t="s">
        <v>261</v>
      </c>
      <c r="J3" s="48">
        <v>2</v>
      </c>
      <c r="K3" s="110" t="s">
        <v>299</v>
      </c>
      <c r="L3" s="108">
        <v>155</v>
      </c>
      <c r="N3" s="48">
        <v>2</v>
      </c>
      <c r="O3" s="110" t="s">
        <v>302</v>
      </c>
      <c r="P3" s="108">
        <v>29</v>
      </c>
      <c r="R3" s="48">
        <v>2</v>
      </c>
      <c r="S3" s="110" t="s">
        <v>300</v>
      </c>
      <c r="T3" s="108">
        <v>57</v>
      </c>
    </row>
    <row r="4" spans="1:20" x14ac:dyDescent="0.25">
      <c r="A4" s="109" t="s">
        <v>251</v>
      </c>
      <c r="F4" s="48">
        <v>3</v>
      </c>
      <c r="G4" s="110" t="s">
        <v>262</v>
      </c>
      <c r="H4" s="108" t="s">
        <v>263</v>
      </c>
      <c r="J4" s="48">
        <v>3</v>
      </c>
      <c r="K4" s="110" t="s">
        <v>267</v>
      </c>
      <c r="L4" s="108">
        <v>145</v>
      </c>
      <c r="N4" s="48">
        <v>3</v>
      </c>
      <c r="O4" s="110" t="s">
        <v>310</v>
      </c>
      <c r="P4" s="108">
        <v>16</v>
      </c>
      <c r="R4" s="48">
        <v>3</v>
      </c>
      <c r="S4" s="110" t="s">
        <v>260</v>
      </c>
      <c r="T4" s="108">
        <v>44</v>
      </c>
    </row>
    <row r="5" spans="1:20" x14ac:dyDescent="0.25">
      <c r="A5" s="129" t="s">
        <v>252</v>
      </c>
      <c r="B5" t="s">
        <v>367</v>
      </c>
      <c r="C5" s="28">
        <v>42847</v>
      </c>
      <c r="D5" t="s">
        <v>253</v>
      </c>
      <c r="F5" s="48">
        <v>4</v>
      </c>
      <c r="G5" s="110" t="s">
        <v>264</v>
      </c>
      <c r="H5" s="108" t="s">
        <v>265</v>
      </c>
      <c r="J5" s="48">
        <v>4</v>
      </c>
      <c r="K5" s="110" t="s">
        <v>264</v>
      </c>
      <c r="L5" s="108">
        <v>144</v>
      </c>
      <c r="N5" s="48">
        <v>4</v>
      </c>
      <c r="O5" s="110" t="s">
        <v>311</v>
      </c>
      <c r="P5" s="108">
        <v>12</v>
      </c>
      <c r="R5" s="48">
        <v>4</v>
      </c>
      <c r="S5" s="110" t="s">
        <v>258</v>
      </c>
      <c r="T5" s="108">
        <v>42</v>
      </c>
    </row>
    <row r="6" spans="1:20" x14ac:dyDescent="0.25">
      <c r="A6" s="129" t="s">
        <v>254</v>
      </c>
      <c r="B6" t="s">
        <v>255</v>
      </c>
      <c r="C6" s="28">
        <v>42991</v>
      </c>
      <c r="D6" t="s">
        <v>256</v>
      </c>
      <c r="F6" s="48">
        <v>5</v>
      </c>
      <c r="G6" s="110" t="s">
        <v>266</v>
      </c>
      <c r="H6" s="108" t="s">
        <v>265</v>
      </c>
      <c r="J6" s="48">
        <v>5</v>
      </c>
      <c r="K6" s="110" t="s">
        <v>258</v>
      </c>
      <c r="L6" s="108">
        <v>141</v>
      </c>
      <c r="N6" s="48">
        <v>5</v>
      </c>
      <c r="O6" s="110" t="s">
        <v>312</v>
      </c>
      <c r="P6" s="108">
        <v>11</v>
      </c>
      <c r="R6" s="48">
        <v>5</v>
      </c>
      <c r="S6" s="117" t="s">
        <v>195</v>
      </c>
      <c r="T6" s="112">
        <v>40</v>
      </c>
    </row>
    <row r="7" spans="1:20" x14ac:dyDescent="0.25">
      <c r="F7" s="48">
        <v>6</v>
      </c>
      <c r="G7" s="110" t="s">
        <v>267</v>
      </c>
      <c r="H7" s="108" t="s">
        <v>268</v>
      </c>
      <c r="J7" s="48">
        <v>6</v>
      </c>
      <c r="K7" s="110" t="s">
        <v>300</v>
      </c>
      <c r="L7" s="108">
        <v>140</v>
      </c>
      <c r="N7" s="48">
        <v>5</v>
      </c>
      <c r="O7" s="110" t="s">
        <v>313</v>
      </c>
      <c r="P7" s="108">
        <v>11</v>
      </c>
      <c r="R7" s="48">
        <v>6</v>
      </c>
      <c r="S7" s="110" t="s">
        <v>262</v>
      </c>
      <c r="T7" s="108">
        <v>27</v>
      </c>
    </row>
    <row r="8" spans="1:20" x14ac:dyDescent="0.25">
      <c r="F8" s="48">
        <v>7</v>
      </c>
      <c r="G8" s="110" t="s">
        <v>269</v>
      </c>
      <c r="H8" s="108" t="s">
        <v>270</v>
      </c>
      <c r="J8" s="48">
        <v>7</v>
      </c>
      <c r="K8" s="110" t="s">
        <v>303</v>
      </c>
      <c r="L8" s="108">
        <v>135</v>
      </c>
      <c r="N8" s="48">
        <v>7</v>
      </c>
      <c r="O8" s="110" t="s">
        <v>314</v>
      </c>
      <c r="P8" s="108">
        <v>6</v>
      </c>
      <c r="R8" s="48">
        <v>7</v>
      </c>
      <c r="S8" s="117" t="s">
        <v>356</v>
      </c>
      <c r="T8" s="129">
        <v>24</v>
      </c>
    </row>
    <row r="9" spans="1:20" x14ac:dyDescent="0.25">
      <c r="F9" s="48">
        <v>8</v>
      </c>
      <c r="G9" s="110" t="s">
        <v>272</v>
      </c>
      <c r="H9" s="108" t="s">
        <v>271</v>
      </c>
      <c r="J9" s="48">
        <v>8</v>
      </c>
      <c r="K9" s="110" t="s">
        <v>272</v>
      </c>
      <c r="L9" s="108">
        <v>111</v>
      </c>
      <c r="N9" s="48">
        <v>8</v>
      </c>
      <c r="O9" s="113" t="s">
        <v>360</v>
      </c>
      <c r="P9" s="108">
        <v>6</v>
      </c>
      <c r="R9" s="48">
        <v>8</v>
      </c>
      <c r="S9" s="110" t="s">
        <v>305</v>
      </c>
      <c r="T9" s="108">
        <v>22</v>
      </c>
    </row>
    <row r="10" spans="1:20" x14ac:dyDescent="0.25">
      <c r="F10" s="48">
        <v>9</v>
      </c>
      <c r="G10" s="110" t="s">
        <v>273</v>
      </c>
      <c r="H10" s="108" t="s">
        <v>271</v>
      </c>
      <c r="J10" s="48">
        <v>9</v>
      </c>
      <c r="K10" s="110" t="s">
        <v>301</v>
      </c>
      <c r="L10" s="108">
        <v>105</v>
      </c>
      <c r="N10" s="48">
        <v>9</v>
      </c>
      <c r="O10" s="110" t="s">
        <v>315</v>
      </c>
      <c r="P10" s="108">
        <v>4</v>
      </c>
      <c r="R10" s="48">
        <v>9</v>
      </c>
      <c r="S10" s="110" t="s">
        <v>329</v>
      </c>
      <c r="T10" s="108">
        <v>20</v>
      </c>
    </row>
    <row r="11" spans="1:20" x14ac:dyDescent="0.25">
      <c r="F11" s="48">
        <v>10</v>
      </c>
      <c r="G11" s="110" t="s">
        <v>274</v>
      </c>
      <c r="H11" s="108" t="s">
        <v>271</v>
      </c>
      <c r="J11" s="48">
        <v>10</v>
      </c>
      <c r="K11" s="110" t="s">
        <v>302</v>
      </c>
      <c r="L11" s="108">
        <v>93</v>
      </c>
      <c r="N11" s="48">
        <v>10</v>
      </c>
      <c r="O11" s="110" t="s">
        <v>316</v>
      </c>
      <c r="P11" s="108">
        <v>3</v>
      </c>
      <c r="R11" s="48">
        <v>10</v>
      </c>
      <c r="S11" s="110" t="s">
        <v>308</v>
      </c>
      <c r="T11" s="108">
        <v>13</v>
      </c>
    </row>
    <row r="12" spans="1:20" x14ac:dyDescent="0.25">
      <c r="F12" s="48">
        <v>11</v>
      </c>
      <c r="G12" s="110" t="s">
        <v>275</v>
      </c>
      <c r="H12" s="108" t="s">
        <v>271</v>
      </c>
      <c r="J12" s="48">
        <v>11</v>
      </c>
      <c r="K12" s="117" t="s">
        <v>190</v>
      </c>
      <c r="L12" s="108">
        <v>87</v>
      </c>
      <c r="N12" s="48">
        <v>10</v>
      </c>
      <c r="O12" s="113" t="s">
        <v>338</v>
      </c>
      <c r="P12" s="108">
        <v>3</v>
      </c>
      <c r="R12" s="48">
        <v>10</v>
      </c>
      <c r="S12" s="110" t="s">
        <v>330</v>
      </c>
      <c r="T12" s="108">
        <v>12</v>
      </c>
    </row>
    <row r="13" spans="1:20" x14ac:dyDescent="0.25">
      <c r="F13" s="48">
        <v>12</v>
      </c>
      <c r="G13" s="110" t="s">
        <v>277</v>
      </c>
      <c r="H13" s="108" t="s">
        <v>276</v>
      </c>
      <c r="J13" s="48">
        <v>12</v>
      </c>
      <c r="K13" s="110" t="s">
        <v>288</v>
      </c>
      <c r="L13" s="108">
        <v>83</v>
      </c>
      <c r="N13" s="48">
        <v>12</v>
      </c>
      <c r="O13" s="110" t="s">
        <v>317</v>
      </c>
      <c r="P13" s="108">
        <v>2</v>
      </c>
      <c r="R13" s="48">
        <v>10</v>
      </c>
      <c r="S13" s="116" t="s">
        <v>247</v>
      </c>
      <c r="T13" s="108">
        <v>12</v>
      </c>
    </row>
    <row r="14" spans="1:20" x14ac:dyDescent="0.25">
      <c r="F14" s="48">
        <v>13</v>
      </c>
      <c r="G14" s="110" t="s">
        <v>278</v>
      </c>
      <c r="H14" s="108" t="s">
        <v>276</v>
      </c>
      <c r="J14" s="48">
        <v>13</v>
      </c>
      <c r="K14" s="117" t="s">
        <v>364</v>
      </c>
      <c r="L14" s="108">
        <v>81</v>
      </c>
      <c r="N14" s="48">
        <v>12</v>
      </c>
      <c r="O14" s="116" t="s">
        <v>339</v>
      </c>
      <c r="P14" s="115">
        <v>2</v>
      </c>
      <c r="R14" s="48">
        <v>13</v>
      </c>
      <c r="S14" s="110" t="s">
        <v>331</v>
      </c>
      <c r="T14" s="108">
        <v>11</v>
      </c>
    </row>
    <row r="15" spans="1:20" x14ac:dyDescent="0.25">
      <c r="F15" s="48">
        <v>14</v>
      </c>
      <c r="G15" s="110" t="s">
        <v>279</v>
      </c>
      <c r="H15" s="108" t="s">
        <v>276</v>
      </c>
      <c r="J15" s="48">
        <v>14</v>
      </c>
      <c r="K15" s="110" t="s">
        <v>289</v>
      </c>
      <c r="L15" s="108">
        <v>78</v>
      </c>
      <c r="N15" s="48">
        <v>14</v>
      </c>
      <c r="O15" s="110" t="s">
        <v>318</v>
      </c>
      <c r="P15" s="108">
        <v>1</v>
      </c>
      <c r="R15" s="48">
        <v>13</v>
      </c>
      <c r="S15" s="110" t="s">
        <v>312</v>
      </c>
      <c r="T15" s="108">
        <v>11</v>
      </c>
    </row>
    <row r="16" spans="1:20" x14ac:dyDescent="0.25">
      <c r="F16" s="48">
        <v>15</v>
      </c>
      <c r="G16" s="110" t="s">
        <v>280</v>
      </c>
      <c r="H16" s="108" t="s">
        <v>276</v>
      </c>
      <c r="J16" s="48">
        <v>15</v>
      </c>
      <c r="K16" s="117" t="s">
        <v>195</v>
      </c>
      <c r="L16" s="108">
        <v>77</v>
      </c>
      <c r="N16" s="48">
        <v>14</v>
      </c>
      <c r="O16" s="110" t="s">
        <v>319</v>
      </c>
      <c r="P16" s="108">
        <v>1</v>
      </c>
      <c r="R16" s="48">
        <v>14</v>
      </c>
      <c r="S16" s="110" t="s">
        <v>332</v>
      </c>
      <c r="T16" s="108">
        <v>8</v>
      </c>
    </row>
    <row r="17" spans="6:20" x14ac:dyDescent="0.25">
      <c r="F17" s="48">
        <v>16</v>
      </c>
      <c r="G17" s="110" t="s">
        <v>281</v>
      </c>
      <c r="H17" s="108" t="s">
        <v>276</v>
      </c>
      <c r="J17" s="48">
        <v>16</v>
      </c>
      <c r="K17" s="117" t="s">
        <v>365</v>
      </c>
      <c r="L17" s="108">
        <v>75</v>
      </c>
      <c r="N17" s="48">
        <v>14</v>
      </c>
      <c r="O17" s="110" t="s">
        <v>320</v>
      </c>
      <c r="P17" s="108">
        <v>1</v>
      </c>
      <c r="R17" s="48">
        <v>14</v>
      </c>
      <c r="S17" s="110" t="s">
        <v>333</v>
      </c>
      <c r="T17" s="108">
        <v>8</v>
      </c>
    </row>
    <row r="18" spans="6:20" x14ac:dyDescent="0.25">
      <c r="F18" s="48">
        <v>17</v>
      </c>
      <c r="G18" s="110" t="s">
        <v>283</v>
      </c>
      <c r="H18" s="108" t="s">
        <v>282</v>
      </c>
      <c r="J18" s="48">
        <v>17</v>
      </c>
      <c r="K18" s="131" t="s">
        <v>249</v>
      </c>
      <c r="L18" s="108">
        <v>75</v>
      </c>
      <c r="N18" s="48">
        <v>14</v>
      </c>
      <c r="O18" s="110" t="s">
        <v>321</v>
      </c>
      <c r="P18" s="108">
        <v>1</v>
      </c>
      <c r="R18" s="48">
        <v>14</v>
      </c>
      <c r="S18" s="110" t="s">
        <v>307</v>
      </c>
      <c r="T18" s="108">
        <v>8</v>
      </c>
    </row>
    <row r="19" spans="6:20" x14ac:dyDescent="0.25">
      <c r="F19" s="48">
        <v>18</v>
      </c>
      <c r="G19" s="110" t="s">
        <v>284</v>
      </c>
      <c r="H19" s="108" t="s">
        <v>282</v>
      </c>
      <c r="J19" s="48">
        <v>18</v>
      </c>
      <c r="K19" s="110" t="s">
        <v>279</v>
      </c>
      <c r="L19" s="108">
        <v>67</v>
      </c>
      <c r="N19" s="48">
        <v>14</v>
      </c>
      <c r="O19" s="110" t="s">
        <v>322</v>
      </c>
      <c r="P19" s="108">
        <v>1</v>
      </c>
      <c r="R19" s="48">
        <v>17</v>
      </c>
      <c r="S19" s="110" t="s">
        <v>334</v>
      </c>
      <c r="T19" s="108">
        <v>7</v>
      </c>
    </row>
    <row r="20" spans="6:20" x14ac:dyDescent="0.25">
      <c r="F20" s="48">
        <v>19</v>
      </c>
      <c r="G20" s="110" t="s">
        <v>285</v>
      </c>
      <c r="H20" s="108" t="s">
        <v>282</v>
      </c>
      <c r="J20" s="48">
        <v>19</v>
      </c>
      <c r="K20" s="110" t="s">
        <v>266</v>
      </c>
      <c r="L20" s="108">
        <v>64</v>
      </c>
      <c r="N20" s="48">
        <v>14</v>
      </c>
      <c r="O20" s="110" t="s">
        <v>323</v>
      </c>
      <c r="P20" s="108">
        <v>1</v>
      </c>
      <c r="R20" s="48">
        <v>17</v>
      </c>
      <c r="S20" s="110" t="s">
        <v>335</v>
      </c>
      <c r="T20" s="108">
        <v>7</v>
      </c>
    </row>
    <row r="21" spans="6:20" x14ac:dyDescent="0.25">
      <c r="F21" s="48">
        <v>20</v>
      </c>
      <c r="G21" s="110" t="s">
        <v>286</v>
      </c>
      <c r="H21" s="108" t="s">
        <v>282</v>
      </c>
      <c r="J21" s="48">
        <v>20</v>
      </c>
      <c r="K21" s="110" t="s">
        <v>290</v>
      </c>
      <c r="L21" s="108">
        <v>60</v>
      </c>
      <c r="N21" s="48">
        <v>14</v>
      </c>
      <c r="O21" s="110" t="s">
        <v>324</v>
      </c>
      <c r="P21" s="108">
        <v>1</v>
      </c>
      <c r="R21" s="48">
        <v>19</v>
      </c>
      <c r="S21" s="110" t="s">
        <v>336</v>
      </c>
      <c r="T21" s="108">
        <v>6</v>
      </c>
    </row>
    <row r="22" spans="6:20" x14ac:dyDescent="0.25">
      <c r="F22" s="48">
        <v>21</v>
      </c>
      <c r="G22" s="110" t="s">
        <v>287</v>
      </c>
      <c r="H22" s="108" t="s">
        <v>282</v>
      </c>
      <c r="J22" s="48">
        <v>20</v>
      </c>
      <c r="K22" s="110" t="s">
        <v>280</v>
      </c>
      <c r="L22" s="108">
        <v>60</v>
      </c>
      <c r="N22" s="48">
        <v>14</v>
      </c>
      <c r="O22" s="110" t="s">
        <v>325</v>
      </c>
      <c r="P22" s="108">
        <v>1</v>
      </c>
      <c r="R22" s="48">
        <v>19</v>
      </c>
      <c r="S22" s="110" t="s">
        <v>337</v>
      </c>
      <c r="T22" s="108">
        <v>6</v>
      </c>
    </row>
    <row r="23" spans="6:20" x14ac:dyDescent="0.25">
      <c r="F23" s="48">
        <v>22</v>
      </c>
      <c r="G23" s="110" t="s">
        <v>288</v>
      </c>
      <c r="H23" s="108" t="s">
        <v>282</v>
      </c>
      <c r="J23" s="48">
        <v>22</v>
      </c>
      <c r="K23" s="110" t="s">
        <v>304</v>
      </c>
      <c r="L23" s="108">
        <v>58</v>
      </c>
      <c r="N23" s="48">
        <v>14</v>
      </c>
      <c r="O23" s="110" t="s">
        <v>326</v>
      </c>
      <c r="P23" s="108">
        <v>1</v>
      </c>
      <c r="R23" s="48">
        <v>19</v>
      </c>
      <c r="S23" s="110" t="s">
        <v>303</v>
      </c>
      <c r="T23" s="108">
        <v>6</v>
      </c>
    </row>
    <row r="24" spans="6:20" x14ac:dyDescent="0.25">
      <c r="F24" s="48">
        <v>23</v>
      </c>
      <c r="G24" s="110" t="s">
        <v>289</v>
      </c>
      <c r="H24" s="108" t="s">
        <v>282</v>
      </c>
      <c r="J24" s="48">
        <v>23</v>
      </c>
      <c r="K24" s="110" t="s">
        <v>305</v>
      </c>
      <c r="L24" s="108">
        <v>57</v>
      </c>
      <c r="N24" s="48">
        <v>14</v>
      </c>
      <c r="O24" s="110" t="s">
        <v>327</v>
      </c>
      <c r="P24" s="108">
        <v>1</v>
      </c>
      <c r="R24" s="48">
        <v>19</v>
      </c>
      <c r="S24" s="117" t="s">
        <v>368</v>
      </c>
      <c r="T24" s="132">
        <v>6</v>
      </c>
    </row>
    <row r="25" spans="6:20" x14ac:dyDescent="0.25">
      <c r="F25" s="48">
        <v>24</v>
      </c>
      <c r="G25" s="110" t="s">
        <v>290</v>
      </c>
      <c r="H25" s="108" t="s">
        <v>282</v>
      </c>
      <c r="J25" s="48">
        <v>23</v>
      </c>
      <c r="K25" s="110" t="s">
        <v>260</v>
      </c>
      <c r="L25" s="108">
        <v>57</v>
      </c>
      <c r="N25" s="48">
        <v>14</v>
      </c>
      <c r="O25" s="113" t="s">
        <v>366</v>
      </c>
      <c r="P25" s="108">
        <v>1</v>
      </c>
    </row>
    <row r="26" spans="6:20" x14ac:dyDescent="0.25">
      <c r="F26" s="48">
        <v>25</v>
      </c>
      <c r="G26" s="110" t="s">
        <v>291</v>
      </c>
      <c r="H26" s="108" t="s">
        <v>282</v>
      </c>
      <c r="J26" s="48">
        <v>25</v>
      </c>
      <c r="K26" s="110" t="s">
        <v>306</v>
      </c>
      <c r="L26" s="108">
        <v>56</v>
      </c>
      <c r="O26" s="60"/>
      <c r="P26" s="108"/>
    </row>
    <row r="27" spans="6:20" x14ac:dyDescent="0.25">
      <c r="F27" s="48">
        <v>26</v>
      </c>
      <c r="G27" s="110" t="s">
        <v>292</v>
      </c>
      <c r="H27" s="108" t="s">
        <v>282</v>
      </c>
      <c r="J27" s="48">
        <v>26</v>
      </c>
      <c r="K27" s="110" t="s">
        <v>284</v>
      </c>
      <c r="L27" s="108">
        <v>56</v>
      </c>
      <c r="O27" s="60"/>
      <c r="P27" s="108"/>
    </row>
    <row r="28" spans="6:20" x14ac:dyDescent="0.25">
      <c r="F28" s="48">
        <v>27</v>
      </c>
      <c r="G28" s="110" t="s">
        <v>293</v>
      </c>
      <c r="H28" s="108" t="s">
        <v>282</v>
      </c>
      <c r="J28" s="48">
        <v>27</v>
      </c>
      <c r="K28" s="110" t="s">
        <v>269</v>
      </c>
      <c r="L28" s="108">
        <v>54</v>
      </c>
      <c r="O28" s="60"/>
      <c r="P28" s="108"/>
    </row>
    <row r="29" spans="6:20" x14ac:dyDescent="0.25">
      <c r="F29" s="48">
        <v>28</v>
      </c>
      <c r="G29" s="110" t="s">
        <v>294</v>
      </c>
      <c r="H29" s="108" t="s">
        <v>282</v>
      </c>
      <c r="J29" s="48">
        <v>28</v>
      </c>
      <c r="K29" s="130" t="s">
        <v>346</v>
      </c>
      <c r="L29" s="118">
        <v>52</v>
      </c>
      <c r="O29" s="60"/>
      <c r="P29" s="108"/>
    </row>
    <row r="30" spans="6:20" x14ac:dyDescent="0.25">
      <c r="F30" s="48">
        <v>29</v>
      </c>
      <c r="G30" s="110" t="s">
        <v>295</v>
      </c>
      <c r="H30" s="108" t="s">
        <v>282</v>
      </c>
      <c r="J30" s="48">
        <v>29</v>
      </c>
      <c r="K30" s="110" t="s">
        <v>293</v>
      </c>
      <c r="L30" s="108">
        <v>51</v>
      </c>
      <c r="O30" s="60"/>
      <c r="P30" s="108"/>
    </row>
    <row r="31" spans="6:20" x14ac:dyDescent="0.25">
      <c r="F31" s="48">
        <v>30</v>
      </c>
      <c r="G31" s="110" t="s">
        <v>296</v>
      </c>
      <c r="H31" s="108" t="s">
        <v>282</v>
      </c>
      <c r="J31" s="48">
        <v>29</v>
      </c>
      <c r="K31" s="110" t="s">
        <v>307</v>
      </c>
      <c r="L31" s="108">
        <v>51</v>
      </c>
      <c r="O31" s="60"/>
      <c r="P31" s="108"/>
    </row>
    <row r="32" spans="6:20" x14ac:dyDescent="0.25">
      <c r="J32"/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BE3" activePane="bottomRight" state="frozen"/>
      <selection pane="topRight" activeCell="J1" sqref="J1"/>
      <selection pane="bottomLeft" activeCell="A3" sqref="A3"/>
      <selection pane="bottomRight" activeCell="CC18" sqref="CC18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22</v>
      </c>
      <c r="C3" s="30">
        <f ca="1">Plantilla!F4</f>
        <v>65</v>
      </c>
      <c r="D3" s="114">
        <f>Plantilla!G4</f>
        <v>0</v>
      </c>
      <c r="E3" s="28">
        <f>Plantilla!M4</f>
        <v>43415</v>
      </c>
      <c r="F3" s="42">
        <f>Plantilla!Q4</f>
        <v>4</v>
      </c>
      <c r="G3" s="43">
        <f t="shared" ref="G3" si="0">(F3/7)^0.5</f>
        <v>0.7559289460184544</v>
      </c>
      <c r="H3" s="43">
        <f t="shared" ref="H3" si="1">IF(F3=7,1,((F3+0.99)/7)^0.5)</f>
        <v>0.84430867747355465</v>
      </c>
      <c r="I3" s="140">
        <f ca="1">Plantilla!N4</f>
        <v>0.80411380674691235</v>
      </c>
      <c r="J3" s="34">
        <f>Plantilla!I4</f>
        <v>4.5999999999999996</v>
      </c>
      <c r="K3" s="41">
        <f>Plantilla!X4</f>
        <v>15</v>
      </c>
      <c r="L3" s="41">
        <f>Plantilla!Y4</f>
        <v>10.571428571428571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1.6964285714285714</v>
      </c>
      <c r="S3" s="41">
        <f t="shared" ref="S3" si="3">(0.5*P3+ 0.3*Q3)/10</f>
        <v>0.08</v>
      </c>
      <c r="T3" s="41">
        <f t="shared" ref="T3" si="4">(0.4*L3+0.3*Q3)/10</f>
        <v>0.45285714285714285</v>
      </c>
      <c r="U3" s="41">
        <f t="shared" ref="U3" ca="1" si="5">(Q3+I3+(LOG(J3)*4/3))*(F3/7)^0.5</f>
        <v>2.0317789539895732</v>
      </c>
      <c r="V3" s="41">
        <f t="shared" ref="V3" ca="1" si="6">IF(F3=7,U3,(Q3+I3+(LOG(J3)*4/3))*((F3+0.99)/7)^0.5)</f>
        <v>2.2693251933226799</v>
      </c>
      <c r="W3" s="32">
        <f t="shared" ref="W3" ca="1" si="7">((K3+I3+(LOG(J3)*4/3))*0.597)+((L3+I3+(LOG(J3)*4/3))*0.276)</f>
        <v>13.346155755081693</v>
      </c>
      <c r="X3" s="32">
        <f t="shared" ref="X3" ca="1" si="8">((K3+I3+(LOG(J3)*4/3))*0.866)+((L3+I3+(LOG(J3)*4/3))*0.425)</f>
        <v>19.661795214968624</v>
      </c>
      <c r="Y3" s="32">
        <f t="shared" ref="Y3" ca="1" si="9">W3</f>
        <v>13.346155755081693</v>
      </c>
      <c r="Z3" s="32">
        <f t="shared" ref="Z3" ca="1" si="10">((L3+I3+(LOG(J3)*4/3))*0.516)</f>
        <v>6.3257572553354722</v>
      </c>
      <c r="AA3" s="32">
        <f t="shared" ref="AA3" ca="1" si="11">((L3+I3+(LOG(J3)*4/3))*1)</f>
        <v>12.259219487084248</v>
      </c>
      <c r="AB3" s="32">
        <f t="shared" ref="AB3" ca="1" si="12">Z3/2</f>
        <v>3.1628786276677361</v>
      </c>
      <c r="AC3" s="32">
        <f t="shared" ref="AC3" ca="1" si="13">((M3+I3+(LOG(J3)*4/3))*0.238)</f>
        <v>0.4016942379260513</v>
      </c>
      <c r="AD3" s="32">
        <f t="shared" ref="AD3" ca="1" si="14">((L3+I3+(LOG(J3)*4/3))*0.378)</f>
        <v>4.633984966117846</v>
      </c>
      <c r="AE3" s="32">
        <f t="shared" ref="AE3" ca="1" si="15">((L3+I3+(LOG(J3)*4/3))*0.723)</f>
        <v>8.8634156891619114</v>
      </c>
      <c r="AF3" s="32">
        <f t="shared" ref="AF3" ca="1" si="16">AD3/2</f>
        <v>2.316992483058923</v>
      </c>
      <c r="AG3" s="32">
        <f t="shared" ref="AG3" ca="1" si="17">((M3+I3+(LOG(J3)*4/3))*0.385)</f>
        <v>0.64979950252743601</v>
      </c>
      <c r="AH3" s="32">
        <f t="shared" ref="AH3" ca="1" si="18">((L3+I3+(LOG(J3)*4/3))*0.92)</f>
        <v>11.278481928117509</v>
      </c>
      <c r="AI3" s="32">
        <f t="shared" ref="AI3" ca="1" si="19">((L3+I3+(LOG(J3)*4/3))*0.414)</f>
        <v>5.0753168676528784</v>
      </c>
      <c r="AJ3" s="32">
        <f t="shared" ref="AJ3" ca="1" si="20">((M3+I3+(LOG(J3)*4/3))*0.167)</f>
        <v>0.28186108291449824</v>
      </c>
      <c r="AK3" s="32">
        <f t="shared" ref="AK3" ca="1" si="21">((N3+I3+(LOG(J3)*4/3))*0.588)</f>
        <v>0.99242105840553851</v>
      </c>
      <c r="AL3" s="32">
        <f t="shared" ref="AL3" ca="1" si="22">((L3+I3+(LOG(J3)*4/3))*0.754)</f>
        <v>9.2434514932615226</v>
      </c>
      <c r="AM3" s="32">
        <f t="shared" ref="AM3" ca="1" si="23">((L3+I3+(LOG(J3)*4/3))*0.708)</f>
        <v>8.6795273968556472</v>
      </c>
      <c r="AN3" s="32">
        <f t="shared" ref="AN3" ca="1" si="24">((Q3+I3+(LOG(J3)*4/3))*0.167)</f>
        <v>0.44886108291449828</v>
      </c>
      <c r="AO3" s="32">
        <f t="shared" ref="AO3" ca="1" si="25">((R3+I3+(LOG(J3)*4/3))*0.288)</f>
        <v>0.97465521228026375</v>
      </c>
      <c r="AP3" s="32">
        <f t="shared" ref="AP3" ca="1" si="26">((L3+I3+(LOG(J3)*4/3))*0.27)</f>
        <v>3.3099892615127473</v>
      </c>
      <c r="AQ3" s="32">
        <f t="shared" ref="AQ3" ca="1" si="27">((L3+I3+(LOG(J3)*4/3))*0.594)</f>
        <v>7.2819763753280435</v>
      </c>
      <c r="AR3" s="32">
        <f t="shared" ref="AR3" ca="1" si="28">AP3/2</f>
        <v>1.6549946307563737</v>
      </c>
      <c r="AS3" s="32">
        <f t="shared" ref="AS3" ca="1" si="29">((M3+I3+(LOG(J3)*4/3))*0.944)</f>
        <v>1.5932746243789597</v>
      </c>
      <c r="AT3" s="32">
        <f t="shared" ref="AT3" ca="1" si="30">((O3+I3+(LOG(J3)*4/3))*0.13)</f>
        <v>0.21941281903523813</v>
      </c>
      <c r="AU3" s="32">
        <f t="shared" ref="AU3" ca="1" si="31">((P3+I3+(LOG(J3)*4/3))*0.173)+((O3+I3+(LOG(J3)*4/3))*0.12)</f>
        <v>0.66752273828711362</v>
      </c>
      <c r="AV3" s="32">
        <f t="shared" ref="AV3" ca="1" si="32">AT3/2</f>
        <v>0.10970640951761906</v>
      </c>
      <c r="AW3" s="32">
        <f t="shared" ref="AW3" ca="1" si="33">((L3+I3+(LOG(J3)*4/3))*0.189)</f>
        <v>2.316992483058923</v>
      </c>
      <c r="AX3" s="32">
        <f t="shared" ref="AX3" ca="1" si="34">((L3+I3+(LOG(J3)*4/3))*0.4)</f>
        <v>4.9036877948336999</v>
      </c>
      <c r="AY3" s="32">
        <f t="shared" ref="AY3" ca="1" si="35">AW3/2</f>
        <v>1.1584962415294615</v>
      </c>
      <c r="AZ3" s="32">
        <f t="shared" ref="AZ3" ca="1" si="36">((M3+I3+(LOG(J3)*4/3))*1)</f>
        <v>1.6877909156556778</v>
      </c>
      <c r="BA3" s="32">
        <f t="shared" ref="BA3" ca="1" si="37">((O3+I3+(LOG(J3)*4/3))*0.253)</f>
        <v>0.42701110166088652</v>
      </c>
      <c r="BB3" s="32">
        <f t="shared" ref="BB3" ca="1" si="38">((P3+I3+(LOG(J3)*4/3))*0.21)+((O3+I3+(LOG(J3)*4/3))*0.341)</f>
        <v>1.1399727945262788</v>
      </c>
      <c r="BC3" s="32">
        <f t="shared" ref="BC3" ca="1" si="39">BA3/2</f>
        <v>0.21350555083044326</v>
      </c>
      <c r="BD3" s="32">
        <f t="shared" ref="BD3" ca="1" si="40">((L3+I3+(LOG(J3)*4/3))*0.291)</f>
        <v>3.5674328707415159</v>
      </c>
      <c r="BE3" s="32">
        <f t="shared" ref="BE3" ca="1" si="41">((L3+I3+(LOG(J3)*4/3))*0.348)</f>
        <v>4.2662083815053178</v>
      </c>
      <c r="BF3" s="32">
        <f t="shared" ref="BF3" ca="1" si="42">((M3+I3+(LOG(J3)*4/3))*0.881)</f>
        <v>1.4869437966926522</v>
      </c>
      <c r="BG3" s="32">
        <f t="shared" ref="BG3" ca="1" si="43">((N3+I3+(LOG(J3)*4/3))*0.574)+((O3+I3+(LOG(J3)*4/3))*0.315)</f>
        <v>1.5004461240178975</v>
      </c>
      <c r="BH3" s="32">
        <f t="shared" ref="BH3" ca="1" si="44">((O3+I3+(LOG(J3)*4/3))*0.241)</f>
        <v>0.40675761067301835</v>
      </c>
      <c r="BI3" s="32">
        <f t="shared" ref="BI3" ca="1" si="45">((L3+I3+(LOG(J3)*4/3))*0.485)</f>
        <v>5.94572145123586</v>
      </c>
      <c r="BJ3" s="32">
        <f t="shared" ref="BJ3" ca="1" si="46">((L3+I3+(LOG(J3)*4/3))*0.264)</f>
        <v>3.2364339445902419</v>
      </c>
      <c r="BK3" s="32">
        <f t="shared" ref="BK3" ca="1" si="47">((M3+I3+(LOG(J3)*4/3))*0.381)</f>
        <v>0.64304833886481327</v>
      </c>
      <c r="BL3" s="32">
        <f t="shared" ref="BL3" ca="1" si="48">((N3+I3+(LOG(J3)*4/3))*0.673)+((O3+I3+(LOG(J3)*4/3))*0.201)</f>
        <v>1.4751292602830626</v>
      </c>
      <c r="BM3" s="32">
        <f t="shared" ref="BM3" ca="1" si="49">((O3+I3+(LOG(J3)*4/3))*0.052)</f>
        <v>8.7765127614095245E-2</v>
      </c>
      <c r="BN3" s="32">
        <f t="shared" ref="BN3" ca="1" si="50">((L3+I3+(LOG(J3)*4/3))*0.18)</f>
        <v>2.2066595076751647</v>
      </c>
      <c r="BO3" s="32">
        <f t="shared" ref="BO3" ca="1" si="51">((L3+I3+(LOG(J3)*4/3))*0.068)</f>
        <v>0.83362692512172898</v>
      </c>
      <c r="BP3" s="32">
        <f t="shared" ref="BP3" ca="1" si="52">((M3+I3+(LOG(J3)*4/3))*0.305)</f>
        <v>0.51477622927498168</v>
      </c>
      <c r="BQ3" s="32">
        <f t="shared" ref="BQ3" ca="1" si="53">((N3+I3+(LOG(J3)*4/3))*1)+((O3+I3+(LOG(J3)*4/3))*0.286)</f>
        <v>2.1704991175332018</v>
      </c>
      <c r="BR3" s="32">
        <f t="shared" ref="BR3" ca="1" si="54">((O3+I3+(LOG(J3)*4/3))*0.135)</f>
        <v>0.22785177361351652</v>
      </c>
      <c r="BS3" s="32">
        <f t="shared" ref="BS3" ca="1" si="55">((L3+I3+(LOG(J3)*4/3))*0.284)</f>
        <v>3.4816183343319262</v>
      </c>
      <c r="BT3" s="32">
        <f t="shared" ref="BT3" ca="1" si="56">((L3+I3+(LOG(J3)*4/3))*0.244)</f>
        <v>2.9912495548485567</v>
      </c>
      <c r="BU3" s="32">
        <f t="shared" ref="BU3" ca="1" si="57">((M3+I3+(LOG(J3)*4/3))*0.631)</f>
        <v>1.0649960677787327</v>
      </c>
      <c r="BV3" s="32">
        <f t="shared" ref="BV3" ca="1" si="58">((N3+I3+(LOG(J3)*4/3))*0.702)+((O3+I3+(LOG(J3)*4/3))*0.193)</f>
        <v>1.5105728695118315</v>
      </c>
      <c r="BW3" s="32">
        <f t="shared" ref="BW3" ca="1" si="59">((O3+I3+(LOG(J3)*4/3))*0.148)</f>
        <v>0.24979305551704031</v>
      </c>
      <c r="BX3" s="32">
        <f t="shared" ref="BX3" ca="1" si="60">((M3+I3+(LOG(J3)*4/3))*0.406)</f>
        <v>0.68524311175620523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1.0063390670566081</v>
      </c>
      <c r="BZ3" s="32">
        <f t="shared" ref="BZ3" ca="1" si="62">IF(D3="TEC",((O3+I3+(LOG(J3)*4/3))*0.543)+((P3+I3+(LOG(J3)*4/3))*0.583),((O3+I3+(LOG(J3)*4/3))*0.543)+((P3+I3+(LOG(J3)*4/3))*0.583))</f>
        <v>2.4834525710282933</v>
      </c>
      <c r="CA3" s="32">
        <f t="shared" ref="CA3" ca="1" si="63">BY3</f>
        <v>1.0063390670566081</v>
      </c>
      <c r="CB3" s="32">
        <f t="shared" ref="CB3" ca="1" si="64">((P3+I3+(LOG(J3)*4/3))*0.26)+((N3+I3+(LOG(J3)*4/3))*0.221)+((O3+I3+(LOG(J3)*4/3))*0.142)</f>
        <v>1.3114937404534874</v>
      </c>
      <c r="CC3" s="32">
        <f t="shared" ref="CC3" ca="1" si="65">((P3+I3+(LOG(J3)*4/3))*1)+((O3+I3+(LOG(J3)*4/3))*0.369)</f>
        <v>3.3105857635326235</v>
      </c>
      <c r="CD3" s="32">
        <f t="shared" ref="CD3" ca="1" si="66">CB3</f>
        <v>1.3114937404534874</v>
      </c>
      <c r="CE3" s="32">
        <f t="shared" ref="CE3" ca="1" si="67">((M3+I3+(LOG(J3)*4/3))*0.25)</f>
        <v>0.42194772891391946</v>
      </c>
    </row>
    <row r="4" spans="1:83" x14ac:dyDescent="0.25">
      <c r="A4" t="str">
        <f>Plantilla!D5</f>
        <v>Nicolae Hornet</v>
      </c>
      <c r="B4">
        <f>Plantilla!E5</f>
        <v>22</v>
      </c>
      <c r="C4" s="30">
        <f ca="1">Plantilla!F5</f>
        <v>90</v>
      </c>
      <c r="D4" s="134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40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0.875</v>
      </c>
      <c r="S4" s="41">
        <f t="shared" ref="S4:S20" si="71">(0.5*P4+ 0.3*Q4)/10</f>
        <v>0.08</v>
      </c>
      <c r="T4" s="41">
        <f t="shared" ref="T4:T20" si="72">(0.4*L4+0.3*Q4)/10</f>
        <v>0.19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5.7290930335294696</v>
      </c>
      <c r="X4" s="32">
        <f t="shared" ref="X4:X20" ca="1" si="76">((K4+I4+(LOG(J4)*4/3))*0.866)+((L4+I4+(LOG(J4)*4/3))*0.425)</f>
        <v>8.4385350587474743</v>
      </c>
      <c r="Y4" s="32">
        <f t="shared" ref="Y4:Y20" ca="1" si="77">W4</f>
        <v>5.7290930335294696</v>
      </c>
      <c r="Z4" s="32">
        <f t="shared" ref="Z4:Z20" ca="1" si="78">((L4+I4+(LOG(J4)*4/3))*0.516)</f>
        <v>2.6805360885466278</v>
      </c>
      <c r="AA4" s="32">
        <f t="shared" ref="AA4:AA20" ca="1" si="79">((L4+I4+(LOG(J4)*4/3))*1)</f>
        <v>5.1948373809043176</v>
      </c>
      <c r="AB4" s="32">
        <f t="shared" ref="AB4:AB20" ca="1" si="80">Z4/2</f>
        <v>1.3402680442733139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1.963648529981832</v>
      </c>
      <c r="AE4" s="32">
        <f t="shared" ref="AE4:AE20" ca="1" si="83">((L4+I4+(LOG(J4)*4/3))*0.723)</f>
        <v>3.7558674263938214</v>
      </c>
      <c r="AF4" s="32">
        <f t="shared" ref="AF4:AF20" ca="1" si="84">AD4/2</f>
        <v>0.98182426499091602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4.7792503904319723</v>
      </c>
      <c r="AI4" s="32">
        <f t="shared" ref="AI4:AI20" ca="1" si="87">((L4+I4+(LOG(J4)*4/3))*0.414)</f>
        <v>2.1506626756943872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3.9169073852018554</v>
      </c>
      <c r="AM4" s="32">
        <f t="shared" ref="AM4:AM20" ca="1" si="91">((L4+I4+(LOG(J4)*4/3))*0.708)</f>
        <v>3.6779448656802565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0.59611316570044337</v>
      </c>
      <c r="AP4" s="32">
        <f t="shared" ref="AP4:AP20" ca="1" si="94">((L4+I4+(LOG(J4)*4/3))*0.27)</f>
        <v>1.4026060928441659</v>
      </c>
      <c r="AQ4" s="32">
        <f t="shared" ref="AQ4:AQ20" ca="1" si="95">((L4+I4+(LOG(J4)*4/3))*0.594)</f>
        <v>3.0857334042571645</v>
      </c>
      <c r="AR4" s="32">
        <f t="shared" ref="AR4:AR20" ca="1" si="96">AP4/2</f>
        <v>0.70130304642208297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0.98182426499091602</v>
      </c>
      <c r="AX4" s="32">
        <f t="shared" ref="AX4:AX20" ca="1" si="102">((L4+I4+(LOG(J4)*4/3))*0.4)</f>
        <v>2.0779349523617272</v>
      </c>
      <c r="AY4" s="32">
        <f t="shared" ref="AY4:AY20" ca="1" si="103">AW4/2</f>
        <v>0.49091213249545801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1.5116976778431563</v>
      </c>
      <c r="BE4" s="32">
        <f t="shared" ref="BE4:BE20" ca="1" si="109">((L4+I4+(LOG(J4)*4/3))*0.348)</f>
        <v>1.8078034085547023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2.5194961297385938</v>
      </c>
      <c r="BJ4" s="32">
        <f t="shared" ref="BJ4:BJ20" ca="1" si="114">((L4+I4+(LOG(J4)*4/3))*0.264)</f>
        <v>1.3714370685587398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0.93507072856277718</v>
      </c>
      <c r="BO4" s="32">
        <f t="shared" ref="BO4:BO20" ca="1" si="119">((L4+I4+(LOG(J4)*4/3))*0.068)</f>
        <v>0.35324894190149364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1.4753338161768261</v>
      </c>
      <c r="BT4" s="32">
        <f t="shared" ref="BT4:BT20" ca="1" si="124">((L4+I4+(LOG(J4)*4/3))*0.244)</f>
        <v>1.2675403209406535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22</v>
      </c>
      <c r="C5" s="30">
        <f ca="1">Plantilla!F6</f>
        <v>62</v>
      </c>
      <c r="D5" s="134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40">
        <f ca="1">Plantilla!N6</f>
        <v>0.84655408843930868</v>
      </c>
      <c r="J5" s="34">
        <f>Plantilla!I6</f>
        <v>2.6</v>
      </c>
      <c r="K5" s="41">
        <f>Plantilla!X6</f>
        <v>0</v>
      </c>
      <c r="L5" s="41">
        <f>Plantilla!Y6</f>
        <v>14.625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3.703125</v>
      </c>
      <c r="S5" s="41">
        <f t="shared" si="71"/>
        <v>0.13</v>
      </c>
      <c r="T5" s="41">
        <f t="shared" si="72"/>
        <v>0.61499999999999999</v>
      </c>
      <c r="U5" s="41">
        <f t="shared" ca="1" si="73"/>
        <v>1.8141175065831008</v>
      </c>
      <c r="V5" s="41">
        <f t="shared" ca="1" si="74"/>
        <v>2.0262157717762639</v>
      </c>
      <c r="W5" s="32">
        <f t="shared" ca="1" si="75"/>
        <v>5.2585706962455481</v>
      </c>
      <c r="X5" s="32">
        <f t="shared" ca="1" si="76"/>
        <v>8.0228337844822484</v>
      </c>
      <c r="Y5" s="32">
        <f t="shared" ca="1" si="77"/>
        <v>5.2585706962455481</v>
      </c>
      <c r="Z5" s="32">
        <f t="shared" ca="1" si="78"/>
        <v>8.2688235730386062</v>
      </c>
      <c r="AA5" s="32">
        <f t="shared" ca="1" si="79"/>
        <v>16.024851885733732</v>
      </c>
      <c r="AB5" s="32">
        <f t="shared" ca="1" si="80"/>
        <v>4.1344117865193031</v>
      </c>
      <c r="AC5" s="32">
        <f t="shared" ca="1" si="81"/>
        <v>1.5231647488046283</v>
      </c>
      <c r="AD5" s="32">
        <f t="shared" ca="1" si="82"/>
        <v>6.0573940128073502</v>
      </c>
      <c r="AE5" s="32">
        <f t="shared" ca="1" si="83"/>
        <v>11.585967913385488</v>
      </c>
      <c r="AF5" s="32">
        <f t="shared" ca="1" si="84"/>
        <v>3.0286970064036751</v>
      </c>
      <c r="AG5" s="32">
        <f t="shared" ca="1" si="85"/>
        <v>2.4639429760074871</v>
      </c>
      <c r="AH5" s="32">
        <f t="shared" ca="1" si="86"/>
        <v>14.742863734875034</v>
      </c>
      <c r="AI5" s="32">
        <f t="shared" ca="1" si="87"/>
        <v>6.6342886806937642</v>
      </c>
      <c r="AJ5" s="32">
        <f t="shared" ca="1" si="88"/>
        <v>1.0687752649175335</v>
      </c>
      <c r="AK5" s="32">
        <f t="shared" ca="1" si="89"/>
        <v>3.9983129088114349</v>
      </c>
      <c r="AL5" s="32">
        <f t="shared" ca="1" si="90"/>
        <v>12.082738321843234</v>
      </c>
      <c r="AM5" s="32">
        <f t="shared" ca="1" si="91"/>
        <v>11.345595135099481</v>
      </c>
      <c r="AN5" s="32">
        <f t="shared" ca="1" si="92"/>
        <v>0.40077526491753335</v>
      </c>
      <c r="AO5" s="32">
        <f t="shared" ca="1" si="93"/>
        <v>1.4696573430913149</v>
      </c>
      <c r="AP5" s="32">
        <f t="shared" ca="1" si="94"/>
        <v>4.3267100091481074</v>
      </c>
      <c r="AQ5" s="32">
        <f t="shared" ca="1" si="95"/>
        <v>9.5187620201258358</v>
      </c>
      <c r="AR5" s="32">
        <f t="shared" ca="1" si="96"/>
        <v>2.1633550045740537</v>
      </c>
      <c r="AS5" s="32">
        <f t="shared" ca="1" si="97"/>
        <v>6.0414601801326429</v>
      </c>
      <c r="AT5" s="32">
        <f t="shared" ca="1" si="98"/>
        <v>0.96198074514538523</v>
      </c>
      <c r="AU5" s="32">
        <f t="shared" ca="1" si="99"/>
        <v>1.4761566025199837</v>
      </c>
      <c r="AV5" s="32">
        <f t="shared" ca="1" si="100"/>
        <v>0.48099037257269261</v>
      </c>
      <c r="AW5" s="32">
        <f t="shared" ca="1" si="101"/>
        <v>3.0286970064036751</v>
      </c>
      <c r="AX5" s="32">
        <f t="shared" ca="1" si="102"/>
        <v>6.4099407542934932</v>
      </c>
      <c r="AY5" s="32">
        <f t="shared" ca="1" si="103"/>
        <v>1.5143485032018376</v>
      </c>
      <c r="AZ5" s="32">
        <f t="shared" ca="1" si="104"/>
        <v>6.3998518857337325</v>
      </c>
      <c r="BA5" s="32">
        <f t="shared" ca="1" si="105"/>
        <v>1.8721625270906344</v>
      </c>
      <c r="BB5" s="32">
        <f t="shared" ca="1" si="106"/>
        <v>3.2373183890392867</v>
      </c>
      <c r="BC5" s="32">
        <f t="shared" ca="1" si="107"/>
        <v>0.93608126354531718</v>
      </c>
      <c r="BD5" s="32">
        <f t="shared" ca="1" si="108"/>
        <v>4.6632318987485153</v>
      </c>
      <c r="BE5" s="32">
        <f t="shared" ca="1" si="109"/>
        <v>5.576648456235338</v>
      </c>
      <c r="BF5" s="32">
        <f t="shared" ca="1" si="110"/>
        <v>5.6382695113314183</v>
      </c>
      <c r="BG5" s="32">
        <f t="shared" ca="1" si="111"/>
        <v>6.2340683264172885</v>
      </c>
      <c r="BH5" s="32">
        <f t="shared" ca="1" si="112"/>
        <v>1.7833643044618295</v>
      </c>
      <c r="BI5" s="32">
        <f t="shared" ca="1" si="113"/>
        <v>7.7720531645808597</v>
      </c>
      <c r="BJ5" s="32">
        <f t="shared" ca="1" si="114"/>
        <v>4.2305608978337057</v>
      </c>
      <c r="BK5" s="32">
        <f t="shared" ca="1" si="115"/>
        <v>2.438343568464552</v>
      </c>
      <c r="BL5" s="32">
        <f t="shared" ca="1" si="116"/>
        <v>6.0636705481312827</v>
      </c>
      <c r="BM5" s="32">
        <f t="shared" ca="1" si="117"/>
        <v>0.38479229805815407</v>
      </c>
      <c r="BN5" s="32">
        <f t="shared" ca="1" si="118"/>
        <v>2.8844733394320716</v>
      </c>
      <c r="BO5" s="32">
        <f t="shared" ca="1" si="119"/>
        <v>1.0896899282298937</v>
      </c>
      <c r="BP5" s="32">
        <f t="shared" ca="1" si="120"/>
        <v>1.9519548251487884</v>
      </c>
      <c r="BQ5" s="32">
        <f t="shared" ca="1" si="121"/>
        <v>8.9162095250535813</v>
      </c>
      <c r="BR5" s="32">
        <f t="shared" ca="1" si="122"/>
        <v>0.998980004574054</v>
      </c>
      <c r="BS5" s="32">
        <f t="shared" ca="1" si="123"/>
        <v>4.5510579355483793</v>
      </c>
      <c r="BT5" s="32">
        <f t="shared" ca="1" si="124"/>
        <v>3.9100638601190303</v>
      </c>
      <c r="BU5" s="32">
        <f t="shared" ca="1" si="125"/>
        <v>4.0383065398979854</v>
      </c>
      <c r="BV5" s="32">
        <f t="shared" ca="1" si="126"/>
        <v>6.2016674377316905</v>
      </c>
      <c r="BW5" s="32">
        <f t="shared" ca="1" si="127"/>
        <v>1.0951780790885923</v>
      </c>
      <c r="BX5" s="32">
        <f t="shared" ca="1" si="128"/>
        <v>2.5983398656078958</v>
      </c>
      <c r="BY5" s="32">
        <f t="shared" ca="1" si="129"/>
        <v>3.2609228324672745</v>
      </c>
      <c r="BZ5" s="32">
        <f t="shared" ca="1" si="130"/>
        <v>6.000233223336183</v>
      </c>
      <c r="CA5" s="32">
        <f t="shared" ca="1" si="131"/>
        <v>3.2609228324672745</v>
      </c>
      <c r="CB5" s="32">
        <f t="shared" ca="1" si="132"/>
        <v>3.4375077248121153</v>
      </c>
      <c r="CC5" s="32">
        <f t="shared" ca="1" si="133"/>
        <v>6.1303972315694804</v>
      </c>
      <c r="CD5" s="32">
        <f t="shared" ca="1" si="134"/>
        <v>3.4375077248121153</v>
      </c>
      <c r="CE5" s="32">
        <f t="shared" ca="1" si="135"/>
        <v>1.5999629714334331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43</v>
      </c>
      <c r="D6" s="134">
        <f>Plantilla!G7</f>
        <v>0</v>
      </c>
      <c r="E6" s="28">
        <f>Plantilla!M7</f>
        <v>43410</v>
      </c>
      <c r="F6" s="42">
        <f>Plantilla!Q7</f>
        <v>6</v>
      </c>
      <c r="G6" s="43">
        <f t="shared" si="68"/>
        <v>0.92582009977255142</v>
      </c>
      <c r="H6" s="43">
        <f t="shared" si="69"/>
        <v>0.99928545900129484</v>
      </c>
      <c r="I6" s="140">
        <f ca="1">Plantilla!N7</f>
        <v>0.81484002105870801</v>
      </c>
      <c r="J6" s="34">
        <f>Plantilla!I7</f>
        <v>3.6</v>
      </c>
      <c r="K6" s="41">
        <f>Plantilla!X7</f>
        <v>0</v>
      </c>
      <c r="L6" s="41">
        <f>Plantilla!Y7</f>
        <v>14.5625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3.5078125</v>
      </c>
      <c r="S6" s="41">
        <f t="shared" si="71"/>
        <v>0.05</v>
      </c>
      <c r="T6" s="41">
        <f t="shared" si="72"/>
        <v>0.58250000000000002</v>
      </c>
      <c r="U6" s="41">
        <f t="shared" ca="1" si="73"/>
        <v>1.4411099852806939</v>
      </c>
      <c r="V6" s="41">
        <f t="shared" ca="1" si="74"/>
        <v>1.5554644508866848</v>
      </c>
      <c r="W6" s="32">
        <f t="shared" ca="1" si="75"/>
        <v>5.3781414492773747</v>
      </c>
      <c r="X6" s="32">
        <f t="shared" ca="1" si="76"/>
        <v>8.1986030051742151</v>
      </c>
      <c r="Y6" s="32">
        <f t="shared" ca="1" si="77"/>
        <v>5.3781414492773747</v>
      </c>
      <c r="Z6" s="32">
        <f t="shared" ca="1" si="78"/>
        <v>8.3174435713941879</v>
      </c>
      <c r="AA6" s="32">
        <f t="shared" ca="1" si="79"/>
        <v>16.119076688748425</v>
      </c>
      <c r="AB6" s="32">
        <f t="shared" ca="1" si="80"/>
        <v>4.1587217856970939</v>
      </c>
      <c r="AC6" s="32">
        <f t="shared" ca="1" si="81"/>
        <v>1.5604652519221249</v>
      </c>
      <c r="AD6" s="32">
        <f t="shared" ca="1" si="82"/>
        <v>6.0930109883469044</v>
      </c>
      <c r="AE6" s="32">
        <f t="shared" ca="1" si="83"/>
        <v>11.654092445965111</v>
      </c>
      <c r="AF6" s="32">
        <f t="shared" ca="1" si="84"/>
        <v>3.0465054941734522</v>
      </c>
      <c r="AG6" s="32">
        <f t="shared" ca="1" si="85"/>
        <v>2.5242820251681435</v>
      </c>
      <c r="AH6" s="32">
        <f t="shared" ca="1" si="86"/>
        <v>14.829550553648552</v>
      </c>
      <c r="AI6" s="32">
        <f t="shared" ca="1" si="87"/>
        <v>6.6732977491418479</v>
      </c>
      <c r="AJ6" s="32">
        <f t="shared" ca="1" si="88"/>
        <v>1.0949483070209869</v>
      </c>
      <c r="AK6" s="32">
        <f t="shared" ca="1" si="89"/>
        <v>5.0312670929840735</v>
      </c>
      <c r="AL6" s="32">
        <f t="shared" ca="1" si="90"/>
        <v>12.153783823316312</v>
      </c>
      <c r="AM6" s="32">
        <f t="shared" ca="1" si="91"/>
        <v>11.412306295633885</v>
      </c>
      <c r="AN6" s="32">
        <f t="shared" ca="1" si="92"/>
        <v>0.25994830702098687</v>
      </c>
      <c r="AO6" s="32">
        <f t="shared" ca="1" si="93"/>
        <v>1.458544086359546</v>
      </c>
      <c r="AP6" s="32">
        <f t="shared" ca="1" si="94"/>
        <v>4.3521507059620754</v>
      </c>
      <c r="AQ6" s="32">
        <f t="shared" ca="1" si="95"/>
        <v>9.574731553116564</v>
      </c>
      <c r="AR6" s="32">
        <f t="shared" ca="1" si="96"/>
        <v>2.1760753529810377</v>
      </c>
      <c r="AS6" s="32">
        <f t="shared" ca="1" si="97"/>
        <v>6.1894083941785123</v>
      </c>
      <c r="AT6" s="32">
        <f t="shared" ca="1" si="98"/>
        <v>0.88485496953729514</v>
      </c>
      <c r="AU6" s="32">
        <f t="shared" ca="1" si="99"/>
        <v>1.2590769698032882</v>
      </c>
      <c r="AV6" s="32">
        <f t="shared" ca="1" si="100"/>
        <v>0.44242748476864757</v>
      </c>
      <c r="AW6" s="32">
        <f t="shared" ca="1" si="101"/>
        <v>3.0465054941734522</v>
      </c>
      <c r="AX6" s="32">
        <f t="shared" ca="1" si="102"/>
        <v>6.4476306754993704</v>
      </c>
      <c r="AY6" s="32">
        <f t="shared" ca="1" si="103"/>
        <v>1.5232527470867261</v>
      </c>
      <c r="AZ6" s="32">
        <f t="shared" ca="1" si="104"/>
        <v>6.5565766887484243</v>
      </c>
      <c r="BA6" s="32">
        <f t="shared" ca="1" si="105"/>
        <v>1.7220639022533513</v>
      </c>
      <c r="BB6" s="32">
        <f t="shared" ca="1" si="106"/>
        <v>2.8579237555003818</v>
      </c>
      <c r="BC6" s="32">
        <f t="shared" ca="1" si="107"/>
        <v>0.86103195112667563</v>
      </c>
      <c r="BD6" s="32">
        <f t="shared" ca="1" si="108"/>
        <v>4.6906513164257913</v>
      </c>
      <c r="BE6" s="32">
        <f t="shared" ca="1" si="109"/>
        <v>5.6094386876844515</v>
      </c>
      <c r="BF6" s="32">
        <f t="shared" ca="1" si="110"/>
        <v>5.7763440627873619</v>
      </c>
      <c r="BG6" s="32">
        <f t="shared" ca="1" si="111"/>
        <v>7.0555466762973484</v>
      </c>
      <c r="BH6" s="32">
        <f t="shared" ca="1" si="112"/>
        <v>1.6403849819883702</v>
      </c>
      <c r="BI6" s="32">
        <f t="shared" ca="1" si="113"/>
        <v>7.8177521940429857</v>
      </c>
      <c r="BJ6" s="32">
        <f t="shared" ca="1" si="114"/>
        <v>4.2554362458295847</v>
      </c>
      <c r="BK6" s="32">
        <f t="shared" ca="1" si="115"/>
        <v>2.4980557184131498</v>
      </c>
      <c r="BL6" s="32">
        <f t="shared" ca="1" si="116"/>
        <v>7.1266980259661246</v>
      </c>
      <c r="BM6" s="32">
        <f t="shared" ca="1" si="117"/>
        <v>0.35394198781491804</v>
      </c>
      <c r="BN6" s="32">
        <f t="shared" ca="1" si="118"/>
        <v>2.9014338039747165</v>
      </c>
      <c r="BO6" s="32">
        <f t="shared" ca="1" si="119"/>
        <v>1.0960972148348931</v>
      </c>
      <c r="BP6" s="32">
        <f t="shared" ca="1" si="120"/>
        <v>1.9997558900682693</v>
      </c>
      <c r="BQ6" s="32">
        <f t="shared" ca="1" si="121"/>
        <v>10.503257621730475</v>
      </c>
      <c r="BR6" s="32">
        <f t="shared" ca="1" si="122"/>
        <v>0.91888785298103737</v>
      </c>
      <c r="BS6" s="32">
        <f t="shared" ca="1" si="123"/>
        <v>4.5778177796045521</v>
      </c>
      <c r="BT6" s="32">
        <f t="shared" ca="1" si="124"/>
        <v>3.9330547120546155</v>
      </c>
      <c r="BU6" s="32">
        <f t="shared" ca="1" si="125"/>
        <v>4.1371998906002556</v>
      </c>
      <c r="BV6" s="32">
        <f t="shared" ca="1" si="126"/>
        <v>7.3203861364298399</v>
      </c>
      <c r="BW6" s="32">
        <f t="shared" ca="1" si="127"/>
        <v>1.0073733499347668</v>
      </c>
      <c r="BX6" s="32">
        <f t="shared" ca="1" si="128"/>
        <v>2.6619701356318606</v>
      </c>
      <c r="BY6" s="32">
        <f t="shared" ca="1" si="129"/>
        <v>3.258476454837929</v>
      </c>
      <c r="BZ6" s="32">
        <f t="shared" ca="1" si="130"/>
        <v>5.1864553515307259</v>
      </c>
      <c r="CA6" s="32">
        <f t="shared" ca="1" si="131"/>
        <v>3.258476454837929</v>
      </c>
      <c r="CB6" s="32">
        <f t="shared" ca="1" si="132"/>
        <v>3.5222472770902682</v>
      </c>
      <c r="CC6" s="32">
        <f t="shared" ca="1" si="133"/>
        <v>5.0682034868965928</v>
      </c>
      <c r="CD6" s="32">
        <f t="shared" ca="1" si="134"/>
        <v>3.5222472770902682</v>
      </c>
      <c r="CE6" s="32">
        <f t="shared" ca="1" si="135"/>
        <v>1.6391441721871061</v>
      </c>
    </row>
    <row r="7" spans="1:83" x14ac:dyDescent="0.25">
      <c r="A7" t="str">
        <f>Plantilla!D8</f>
        <v>Berto Abandero</v>
      </c>
      <c r="B7">
        <f>Plantilla!E8</f>
        <v>22</v>
      </c>
      <c r="C7" s="30">
        <f ca="1">Plantilla!F8</f>
        <v>93</v>
      </c>
      <c r="D7" s="134">
        <f>Plantilla!G8</f>
        <v>0</v>
      </c>
      <c r="E7" s="28">
        <f>Plantilla!M8</f>
        <v>43383</v>
      </c>
      <c r="F7" s="42">
        <f>Plantilla!Q8</f>
        <v>7</v>
      </c>
      <c r="G7" s="43">
        <f t="shared" si="68"/>
        <v>1</v>
      </c>
      <c r="H7" s="43">
        <f t="shared" si="69"/>
        <v>1</v>
      </c>
      <c r="I7" s="140">
        <f ca="1">Plantilla!N8</f>
        <v>0.87145147362407149</v>
      </c>
      <c r="J7" s="34">
        <f>Plantilla!I8</f>
        <v>3.8</v>
      </c>
      <c r="K7" s="41">
        <f>Plantilla!X8</f>
        <v>0</v>
      </c>
      <c r="L7" s="41">
        <f>Plantilla!Y8</f>
        <v>12.545454545454545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4.4744318181818183</v>
      </c>
      <c r="S7" s="41">
        <f t="shared" si="71"/>
        <v>0.21000000000000002</v>
      </c>
      <c r="T7" s="41">
        <f t="shared" si="72"/>
        <v>0.56181818181818177</v>
      </c>
      <c r="U7" s="41">
        <f t="shared" ca="1" si="73"/>
        <v>3.6444962691131515</v>
      </c>
      <c r="V7" s="41">
        <f t="shared" ca="1" si="74"/>
        <v>3.6444962691131515</v>
      </c>
      <c r="W7" s="32">
        <f t="shared" ca="1" si="75"/>
        <v>4.8981906974812359</v>
      </c>
      <c r="X7" s="32">
        <f t="shared" ca="1" si="76"/>
        <v>7.4548628652432605</v>
      </c>
      <c r="Y7" s="32">
        <f t="shared" ca="1" si="77"/>
        <v>4.8981906974812359</v>
      </c>
      <c r="Z7" s="32">
        <f t="shared" ca="1" si="78"/>
        <v>7.3220146203169314</v>
      </c>
      <c r="AA7" s="32">
        <f t="shared" ca="1" si="79"/>
        <v>14.189950814567696</v>
      </c>
      <c r="AB7" s="32">
        <f t="shared" ca="1" si="80"/>
        <v>3.6610073101584657</v>
      </c>
      <c r="AC7" s="32">
        <f t="shared" ca="1" si="81"/>
        <v>1.10539011204893</v>
      </c>
      <c r="AD7" s="32">
        <f t="shared" ca="1" si="82"/>
        <v>5.363801407906589</v>
      </c>
      <c r="AE7" s="32">
        <f t="shared" ca="1" si="83"/>
        <v>10.259334438932445</v>
      </c>
      <c r="AF7" s="32">
        <f t="shared" ca="1" si="84"/>
        <v>2.6819007039532945</v>
      </c>
      <c r="AG7" s="32">
        <f t="shared" ca="1" si="85"/>
        <v>1.7881310636085634</v>
      </c>
      <c r="AH7" s="32">
        <f t="shared" ca="1" si="86"/>
        <v>13.054754749402282</v>
      </c>
      <c r="AI7" s="32">
        <f t="shared" ca="1" si="87"/>
        <v>5.8746396372310263</v>
      </c>
      <c r="AJ7" s="32">
        <f t="shared" ca="1" si="88"/>
        <v>0.77563087694189636</v>
      </c>
      <c r="AK7" s="32">
        <f t="shared" ca="1" si="89"/>
        <v>5.2005638062385326</v>
      </c>
      <c r="AL7" s="32">
        <f t="shared" ca="1" si="90"/>
        <v>10.699222914184043</v>
      </c>
      <c r="AM7" s="32">
        <f t="shared" ca="1" si="91"/>
        <v>10.046485176713929</v>
      </c>
      <c r="AN7" s="32">
        <f t="shared" ca="1" si="92"/>
        <v>0.60863087694189633</v>
      </c>
      <c r="AO7" s="32">
        <f t="shared" ca="1" si="93"/>
        <v>1.7622512891409514</v>
      </c>
      <c r="AP7" s="32">
        <f t="shared" ca="1" si="94"/>
        <v>3.8312867199332783</v>
      </c>
      <c r="AQ7" s="32">
        <f t="shared" ca="1" si="95"/>
        <v>8.4288307838532113</v>
      </c>
      <c r="AR7" s="32">
        <f t="shared" ca="1" si="96"/>
        <v>1.9156433599666391</v>
      </c>
      <c r="AS7" s="32">
        <f t="shared" ca="1" si="97"/>
        <v>4.3844044780428151</v>
      </c>
      <c r="AT7" s="32">
        <f t="shared" ca="1" si="98"/>
        <v>1.5300345149847097</v>
      </c>
      <c r="AU7" s="32">
        <f t="shared" ca="1" si="99"/>
        <v>2.2158374068501532</v>
      </c>
      <c r="AV7" s="32">
        <f t="shared" ca="1" si="100"/>
        <v>0.76501725749235483</v>
      </c>
      <c r="AW7" s="32">
        <f t="shared" ca="1" si="101"/>
        <v>2.6819007039532945</v>
      </c>
      <c r="AX7" s="32">
        <f t="shared" ca="1" si="102"/>
        <v>5.6759803258270791</v>
      </c>
      <c r="AY7" s="32">
        <f t="shared" ca="1" si="103"/>
        <v>1.3409503519766472</v>
      </c>
      <c r="AZ7" s="32">
        <f t="shared" ca="1" si="104"/>
        <v>4.6444962691131515</v>
      </c>
      <c r="BA7" s="32">
        <f t="shared" ca="1" si="105"/>
        <v>2.9776825560856275</v>
      </c>
      <c r="BB7" s="32">
        <f t="shared" ca="1" si="106"/>
        <v>4.9887424442813462</v>
      </c>
      <c r="BC7" s="32">
        <f t="shared" ca="1" si="107"/>
        <v>1.4888412780428137</v>
      </c>
      <c r="BD7" s="32">
        <f t="shared" ca="1" si="108"/>
        <v>4.1292756870391996</v>
      </c>
      <c r="BE7" s="32">
        <f t="shared" ca="1" si="109"/>
        <v>4.9381028834695577</v>
      </c>
      <c r="BF7" s="32">
        <f t="shared" ca="1" si="110"/>
        <v>4.0918012130886865</v>
      </c>
      <c r="BG7" s="32">
        <f t="shared" ca="1" si="111"/>
        <v>8.7841321832415922</v>
      </c>
      <c r="BH7" s="32">
        <f t="shared" ca="1" si="112"/>
        <v>2.8364486008562695</v>
      </c>
      <c r="BI7" s="32">
        <f t="shared" ca="1" si="113"/>
        <v>6.8821261450653326</v>
      </c>
      <c r="BJ7" s="32">
        <f t="shared" ca="1" si="114"/>
        <v>3.7461470150458722</v>
      </c>
      <c r="BK7" s="32">
        <f t="shared" ca="1" si="115"/>
        <v>1.7695530785321107</v>
      </c>
      <c r="BL7" s="32">
        <f t="shared" ca="1" si="116"/>
        <v>8.3180147392048944</v>
      </c>
      <c r="BM7" s="32">
        <f t="shared" ca="1" si="117"/>
        <v>0.61201380599388389</v>
      </c>
      <c r="BN7" s="32">
        <f t="shared" ca="1" si="118"/>
        <v>2.5541911466221854</v>
      </c>
      <c r="BO7" s="32">
        <f t="shared" ca="1" si="119"/>
        <v>0.96491665539060345</v>
      </c>
      <c r="BP7" s="32">
        <f t="shared" ca="1" si="120"/>
        <v>1.4165713620795113</v>
      </c>
      <c r="BQ7" s="32">
        <f t="shared" ca="1" si="121"/>
        <v>12.210572202079511</v>
      </c>
      <c r="BR7" s="32">
        <f t="shared" ca="1" si="122"/>
        <v>1.5888819963302756</v>
      </c>
      <c r="BS7" s="32">
        <f t="shared" ca="1" si="123"/>
        <v>4.0299460313372251</v>
      </c>
      <c r="BT7" s="32">
        <f t="shared" ca="1" si="124"/>
        <v>3.462347998754518</v>
      </c>
      <c r="BU7" s="32">
        <f t="shared" ca="1" si="125"/>
        <v>2.9306771458103986</v>
      </c>
      <c r="BV7" s="32">
        <f t="shared" ca="1" si="126"/>
        <v>8.4803491608562709</v>
      </c>
      <c r="BW7" s="32">
        <f t="shared" ca="1" si="127"/>
        <v>1.7418854478287464</v>
      </c>
      <c r="BX7" s="32">
        <f t="shared" ca="1" si="128"/>
        <v>1.8856654852599397</v>
      </c>
      <c r="BY7" s="32">
        <f t="shared" ca="1" si="129"/>
        <v>4.8058325562079514</v>
      </c>
      <c r="BZ7" s="32">
        <f t="shared" ca="1" si="130"/>
        <v>9.0985777990214096</v>
      </c>
      <c r="CA7" s="32">
        <f t="shared" ca="1" si="131"/>
        <v>4.8058325562079514</v>
      </c>
      <c r="CB7" s="32">
        <f t="shared" ca="1" si="132"/>
        <v>4.8334711756574933</v>
      </c>
      <c r="CC7" s="32">
        <f t="shared" ca="1" si="133"/>
        <v>8.9874403924159054</v>
      </c>
      <c r="CD7" s="32">
        <f t="shared" ca="1" si="134"/>
        <v>4.8334711756574933</v>
      </c>
      <c r="CE7" s="32">
        <f t="shared" ca="1" si="135"/>
        <v>1.1611240672782879</v>
      </c>
    </row>
    <row r="8" spans="1:83" x14ac:dyDescent="0.25">
      <c r="A8" t="str">
        <f>Plantilla!D9</f>
        <v>Guillermo Pedrajas</v>
      </c>
      <c r="B8">
        <f>Plantilla!E9</f>
        <v>22</v>
      </c>
      <c r="C8" s="30">
        <f ca="1">Plantilla!F9</f>
        <v>78</v>
      </c>
      <c r="D8" s="134">
        <f>Plantilla!G9</f>
        <v>0</v>
      </c>
      <c r="E8" s="28">
        <f>Plantilla!M9</f>
        <v>43419</v>
      </c>
      <c r="F8" s="42">
        <f>Plantilla!Q9</f>
        <v>7</v>
      </c>
      <c r="G8" s="43">
        <f t="shared" si="68"/>
        <v>1</v>
      </c>
      <c r="H8" s="43">
        <f t="shared" si="69"/>
        <v>1</v>
      </c>
      <c r="I8" s="140">
        <f ca="1">Plantilla!N9</f>
        <v>0.79547455863046146</v>
      </c>
      <c r="J8" s="34">
        <f>Plantilla!I9</f>
        <v>4.4000000000000004</v>
      </c>
      <c r="K8" s="41">
        <f>Plantilla!X9</f>
        <v>0</v>
      </c>
      <c r="L8" s="41">
        <f>Plantilla!Y9</f>
        <v>10.444444444444445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3.9662698412698409</v>
      </c>
      <c r="S8" s="41">
        <f t="shared" si="71"/>
        <v>0.22999999999999998</v>
      </c>
      <c r="T8" s="41">
        <f t="shared" si="72"/>
        <v>0.44777777777777777</v>
      </c>
      <c r="U8" s="41">
        <f t="shared" ca="1" si="73"/>
        <v>2.6534114606120447</v>
      </c>
      <c r="V8" s="41">
        <f t="shared" ca="1" si="74"/>
        <v>2.6534114606120447</v>
      </c>
      <c r="W8" s="32">
        <f t="shared" ca="1" si="75"/>
        <v>4.326094871780982</v>
      </c>
      <c r="X8" s="32">
        <f t="shared" ca="1" si="76"/>
        <v>6.573443084539039</v>
      </c>
      <c r="Y8" s="32">
        <f t="shared" ca="1" si="77"/>
        <v>4.326094871780982</v>
      </c>
      <c r="Z8" s="32">
        <f t="shared" ca="1" si="78"/>
        <v>6.242493647009149</v>
      </c>
      <c r="AA8" s="32">
        <f t="shared" ca="1" si="79"/>
        <v>12.097855905056489</v>
      </c>
      <c r="AB8" s="32">
        <f t="shared" ca="1" si="80"/>
        <v>3.1212468235045745</v>
      </c>
      <c r="AC8" s="32">
        <f t="shared" ca="1" si="81"/>
        <v>3.0115119276256666</v>
      </c>
      <c r="AD8" s="32">
        <f t="shared" ca="1" si="82"/>
        <v>4.572989532111353</v>
      </c>
      <c r="AE8" s="32">
        <f t="shared" ca="1" si="83"/>
        <v>8.7467498193558413</v>
      </c>
      <c r="AF8" s="32">
        <f t="shared" ca="1" si="84"/>
        <v>2.2864947660556765</v>
      </c>
      <c r="AG8" s="32">
        <f t="shared" ca="1" si="85"/>
        <v>4.8715634123356377</v>
      </c>
      <c r="AH8" s="32">
        <f t="shared" ca="1" si="86"/>
        <v>11.130027432651971</v>
      </c>
      <c r="AI8" s="32">
        <f t="shared" ca="1" si="87"/>
        <v>5.0085123446933864</v>
      </c>
      <c r="AJ8" s="32">
        <f t="shared" ca="1" si="88"/>
        <v>2.1131197139222118</v>
      </c>
      <c r="AK8" s="32">
        <f t="shared" ca="1" si="89"/>
        <v>3.3242059388398819</v>
      </c>
      <c r="AL8" s="32">
        <f t="shared" ca="1" si="90"/>
        <v>9.1217833524125922</v>
      </c>
      <c r="AM8" s="32">
        <f t="shared" ca="1" si="91"/>
        <v>8.5652819807799947</v>
      </c>
      <c r="AN8" s="32">
        <f t="shared" ca="1" si="92"/>
        <v>0.4431197139222115</v>
      </c>
      <c r="AO8" s="32">
        <f t="shared" ca="1" si="93"/>
        <v>1.6184682149419829</v>
      </c>
      <c r="AP8" s="32">
        <f t="shared" ca="1" si="94"/>
        <v>3.2664210943652523</v>
      </c>
      <c r="AQ8" s="32">
        <f t="shared" ca="1" si="95"/>
        <v>7.1861264076035543</v>
      </c>
      <c r="AR8" s="32">
        <f t="shared" ca="1" si="96"/>
        <v>1.6332105471826261</v>
      </c>
      <c r="AS8" s="32">
        <f t="shared" ca="1" si="97"/>
        <v>11.94482041881777</v>
      </c>
      <c r="AT8" s="32">
        <f t="shared" ca="1" si="98"/>
        <v>1.4035149184509943</v>
      </c>
      <c r="AU8" s="32">
        <f t="shared" ca="1" si="99"/>
        <v>2.2735924151021862</v>
      </c>
      <c r="AV8" s="32">
        <f t="shared" ca="1" si="100"/>
        <v>0.70175745922549715</v>
      </c>
      <c r="AW8" s="32">
        <f t="shared" ca="1" si="101"/>
        <v>2.2864947660556765</v>
      </c>
      <c r="AX8" s="32">
        <f t="shared" ca="1" si="102"/>
        <v>4.8391423620225957</v>
      </c>
      <c r="AY8" s="32">
        <f t="shared" ca="1" si="103"/>
        <v>1.1432473830278382</v>
      </c>
      <c r="AZ8" s="32">
        <f t="shared" ca="1" si="104"/>
        <v>12.653411460612045</v>
      </c>
      <c r="BA8" s="32">
        <f t="shared" ca="1" si="105"/>
        <v>2.7314559566777041</v>
      </c>
      <c r="BB8" s="32">
        <f t="shared" ca="1" si="106"/>
        <v>4.8687440005115228</v>
      </c>
      <c r="BC8" s="32">
        <f t="shared" ca="1" si="107"/>
        <v>1.3657279783388521</v>
      </c>
      <c r="BD8" s="32">
        <f t="shared" ca="1" si="108"/>
        <v>3.5204760683714382</v>
      </c>
      <c r="BE8" s="32">
        <f t="shared" ca="1" si="109"/>
        <v>4.210053854959658</v>
      </c>
      <c r="BF8" s="32">
        <f t="shared" ca="1" si="110"/>
        <v>11.147655496799212</v>
      </c>
      <c r="BG8" s="32">
        <f t="shared" ca="1" si="111"/>
        <v>6.6458827884841076</v>
      </c>
      <c r="BH8" s="32">
        <f t="shared" ca="1" si="112"/>
        <v>2.6019007334360742</v>
      </c>
      <c r="BI8" s="32">
        <f t="shared" ca="1" si="113"/>
        <v>5.8674601139523972</v>
      </c>
      <c r="BJ8" s="32">
        <f t="shared" ca="1" si="114"/>
        <v>3.1938339589349134</v>
      </c>
      <c r="BK8" s="32">
        <f t="shared" ca="1" si="115"/>
        <v>4.8209497664931895</v>
      </c>
      <c r="BL8" s="32">
        <f t="shared" ca="1" si="116"/>
        <v>5.9747959022892125</v>
      </c>
      <c r="BM8" s="32">
        <f t="shared" ca="1" si="117"/>
        <v>0.56140596738039772</v>
      </c>
      <c r="BN8" s="32">
        <f t="shared" ca="1" si="118"/>
        <v>2.1776140629101679</v>
      </c>
      <c r="BO8" s="32">
        <f t="shared" ca="1" si="119"/>
        <v>0.82265420154384128</v>
      </c>
      <c r="BP8" s="32">
        <f t="shared" ca="1" si="120"/>
        <v>3.8592904954866736</v>
      </c>
      <c r="BQ8" s="32">
        <f t="shared" ca="1" si="121"/>
        <v>8.7411442812042317</v>
      </c>
      <c r="BR8" s="32">
        <f t="shared" ca="1" si="122"/>
        <v>1.4574962614683404</v>
      </c>
      <c r="BS8" s="32">
        <f t="shared" ca="1" si="123"/>
        <v>3.4357910770360425</v>
      </c>
      <c r="BT8" s="32">
        <f t="shared" ca="1" si="124"/>
        <v>2.9518768408337834</v>
      </c>
      <c r="BU8" s="32">
        <f t="shared" ca="1" si="125"/>
        <v>7.9843026316462007</v>
      </c>
      <c r="BV8" s="32">
        <f t="shared" ca="1" si="126"/>
        <v>6.052374685819208</v>
      </c>
      <c r="BW8" s="32">
        <f t="shared" ca="1" si="127"/>
        <v>1.5978477533134396</v>
      </c>
      <c r="BX8" s="32">
        <f t="shared" ca="1" si="128"/>
        <v>5.1372850530084904</v>
      </c>
      <c r="BY8" s="32">
        <f t="shared" ca="1" si="129"/>
        <v>4.2311416566931612</v>
      </c>
      <c r="BZ8" s="32">
        <f t="shared" ca="1" si="130"/>
        <v>9.1583127332205905</v>
      </c>
      <c r="CA8" s="32">
        <f t="shared" ca="1" si="131"/>
        <v>4.2311416566931612</v>
      </c>
      <c r="CB8" s="32">
        <f t="shared" ca="1" si="132"/>
        <v>4.252361054247018</v>
      </c>
      <c r="CC8" s="32">
        <f t="shared" ca="1" si="133"/>
        <v>9.6372345752921742</v>
      </c>
      <c r="CD8" s="32">
        <f t="shared" ca="1" si="134"/>
        <v>4.252361054247018</v>
      </c>
      <c r="CE8" s="32">
        <f t="shared" ca="1" si="135"/>
        <v>3.1633528651530112</v>
      </c>
    </row>
    <row r="9" spans="1:83" x14ac:dyDescent="0.25">
      <c r="A9" t="str">
        <f>Plantilla!D10</f>
        <v>Eckardt Hägerling</v>
      </c>
      <c r="B9">
        <f>Plantilla!E10</f>
        <v>22</v>
      </c>
      <c r="C9" s="30">
        <f ca="1">Plantilla!F10</f>
        <v>54</v>
      </c>
      <c r="D9" s="134" t="str">
        <f>Plantilla!G10</f>
        <v>IMP</v>
      </c>
      <c r="E9" s="28">
        <f>Plantilla!M10</f>
        <v>43045</v>
      </c>
      <c r="F9" s="42">
        <f>Plantilla!Q10</f>
        <v>5</v>
      </c>
      <c r="G9" s="43">
        <f t="shared" si="68"/>
        <v>0.84515425472851657</v>
      </c>
      <c r="H9" s="43">
        <f t="shared" si="69"/>
        <v>0.92504826128926143</v>
      </c>
      <c r="I9" s="140">
        <f ca="1">Plantilla!N10</f>
        <v>1</v>
      </c>
      <c r="J9" s="34">
        <f>Plantilla!I10</f>
        <v>2.2000000000000002</v>
      </c>
      <c r="K9" s="41">
        <f>Plantilla!X10</f>
        <v>0</v>
      </c>
      <c r="L9" s="41">
        <f>Plantilla!Y10</f>
        <v>6.25</v>
      </c>
      <c r="M9" s="41">
        <f>Plantilla!Z10</f>
        <v>3</v>
      </c>
      <c r="N9" s="41">
        <f>Plantilla!AA10</f>
        <v>6.15</v>
      </c>
      <c r="O9" s="41">
        <f>Plantilla!AB10</f>
        <v>3</v>
      </c>
      <c r="P9" s="41">
        <f>Plantilla!AC10</f>
        <v>4.6633333333333322</v>
      </c>
      <c r="Q9" s="41">
        <f>Plantilla!AD10</f>
        <v>3</v>
      </c>
      <c r="R9" s="41">
        <f t="shared" si="70"/>
        <v>1.90625</v>
      </c>
      <c r="S9" s="41">
        <f t="shared" si="71"/>
        <v>0.3231666666666666</v>
      </c>
      <c r="T9" s="41">
        <f t="shared" si="72"/>
        <v>0.33999999999999997</v>
      </c>
      <c r="U9" s="41">
        <f t="shared" ca="1" si="73"/>
        <v>3.7664836663973098</v>
      </c>
      <c r="V9" s="41">
        <f t="shared" ca="1" si="74"/>
        <v>4.1225363858511654</v>
      </c>
      <c r="W9" s="32">
        <f t="shared" ca="1" si="75"/>
        <v>2.9965800004770484</v>
      </c>
      <c r="X9" s="32">
        <f t="shared" ca="1" si="76"/>
        <v>4.5366735745886242</v>
      </c>
      <c r="Y9" s="32">
        <f t="shared" ca="1" si="77"/>
        <v>2.9965800004770484</v>
      </c>
      <c r="Z9" s="32">
        <f t="shared" ca="1" si="78"/>
        <v>3.9765868044056782</v>
      </c>
      <c r="AA9" s="32">
        <f t="shared" ca="1" si="79"/>
        <v>7.7065635744296088</v>
      </c>
      <c r="AB9" s="32">
        <f t="shared" ca="1" si="80"/>
        <v>1.9882934022028391</v>
      </c>
      <c r="AC9" s="32">
        <f t="shared" ca="1" si="81"/>
        <v>1.0606621307142468</v>
      </c>
      <c r="AD9" s="32">
        <f t="shared" ca="1" si="82"/>
        <v>2.913081031134392</v>
      </c>
      <c r="AE9" s="32">
        <f t="shared" ca="1" si="83"/>
        <v>5.5718454643126067</v>
      </c>
      <c r="AF9" s="32">
        <f t="shared" ca="1" si="84"/>
        <v>1.456540515567196</v>
      </c>
      <c r="AG9" s="32">
        <f t="shared" ca="1" si="85"/>
        <v>1.7157769761553994</v>
      </c>
      <c r="AH9" s="32">
        <f t="shared" ca="1" si="86"/>
        <v>7.0900384884752405</v>
      </c>
      <c r="AI9" s="32">
        <f t="shared" ca="1" si="87"/>
        <v>3.1905173198138579</v>
      </c>
      <c r="AJ9" s="32">
        <f t="shared" ca="1" si="88"/>
        <v>0.74424611692974474</v>
      </c>
      <c r="AK9" s="32">
        <f t="shared" ca="1" si="89"/>
        <v>4.4726593817646103</v>
      </c>
      <c r="AL9" s="32">
        <f t="shared" ca="1" si="90"/>
        <v>5.8107489351199249</v>
      </c>
      <c r="AM9" s="32">
        <f t="shared" ca="1" si="91"/>
        <v>5.4562470106961625</v>
      </c>
      <c r="AN9" s="32">
        <f t="shared" ca="1" si="92"/>
        <v>0.74424611692974474</v>
      </c>
      <c r="AO9" s="32">
        <f t="shared" ca="1" si="93"/>
        <v>0.96849030943572711</v>
      </c>
      <c r="AP9" s="32">
        <f t="shared" ca="1" si="94"/>
        <v>2.0807721650959947</v>
      </c>
      <c r="AQ9" s="32">
        <f t="shared" ca="1" si="95"/>
        <v>4.5776987632111874</v>
      </c>
      <c r="AR9" s="32">
        <f t="shared" ca="1" si="96"/>
        <v>1.0403860825479974</v>
      </c>
      <c r="AS9" s="32">
        <f t="shared" ca="1" si="97"/>
        <v>4.2069960142615503</v>
      </c>
      <c r="AT9" s="32">
        <f t="shared" ca="1" si="98"/>
        <v>0.57935326467584913</v>
      </c>
      <c r="AU9" s="32">
        <f t="shared" ca="1" si="99"/>
        <v>1.5935297939745419</v>
      </c>
      <c r="AV9" s="32">
        <f t="shared" ca="1" si="100"/>
        <v>0.28967663233792457</v>
      </c>
      <c r="AW9" s="32">
        <f t="shared" ca="1" si="101"/>
        <v>1.456540515567196</v>
      </c>
      <c r="AX9" s="32">
        <f t="shared" ca="1" si="102"/>
        <v>3.0826254297718436</v>
      </c>
      <c r="AY9" s="32">
        <f t="shared" ca="1" si="103"/>
        <v>0.728270257783598</v>
      </c>
      <c r="AZ9" s="32">
        <f t="shared" ca="1" si="104"/>
        <v>4.4565635744296088</v>
      </c>
      <c r="BA9" s="32">
        <f t="shared" ca="1" si="105"/>
        <v>1.127510584330691</v>
      </c>
      <c r="BB9" s="32">
        <f t="shared" ca="1" si="106"/>
        <v>2.8048665295107145</v>
      </c>
      <c r="BC9" s="32">
        <f t="shared" ca="1" si="107"/>
        <v>0.56375529216534548</v>
      </c>
      <c r="BD9" s="32">
        <f t="shared" ca="1" si="108"/>
        <v>2.2426100001590159</v>
      </c>
      <c r="BE9" s="32">
        <f t="shared" ca="1" si="109"/>
        <v>2.6818841239015039</v>
      </c>
      <c r="BF9" s="32">
        <f t="shared" ca="1" si="110"/>
        <v>3.9262325090724852</v>
      </c>
      <c r="BG9" s="32">
        <f t="shared" ca="1" si="111"/>
        <v>5.7699850176679215</v>
      </c>
      <c r="BH9" s="32">
        <f t="shared" ca="1" si="112"/>
        <v>1.0740318214375357</v>
      </c>
      <c r="BI9" s="32">
        <f t="shared" ca="1" si="113"/>
        <v>3.7376833335983601</v>
      </c>
      <c r="BJ9" s="32">
        <f t="shared" ca="1" si="114"/>
        <v>2.0345327836494169</v>
      </c>
      <c r="BK9" s="32">
        <f t="shared" ca="1" si="115"/>
        <v>1.697950721857681</v>
      </c>
      <c r="BL9" s="32">
        <f t="shared" ca="1" si="116"/>
        <v>6.0149865640514788</v>
      </c>
      <c r="BM9" s="32">
        <f t="shared" ca="1" si="117"/>
        <v>0.23174130587033964</v>
      </c>
      <c r="BN9" s="32">
        <f t="shared" ca="1" si="118"/>
        <v>1.3871814433973295</v>
      </c>
      <c r="BO9" s="32">
        <f t="shared" ca="1" si="119"/>
        <v>0.52404632306121346</v>
      </c>
      <c r="BP9" s="32">
        <f t="shared" ca="1" si="120"/>
        <v>1.3592518902010307</v>
      </c>
      <c r="BQ9" s="32">
        <f t="shared" ca="1" si="121"/>
        <v>8.8811407567164764</v>
      </c>
      <c r="BR9" s="32">
        <f t="shared" ca="1" si="122"/>
        <v>0.60163608254799728</v>
      </c>
      <c r="BS9" s="32">
        <f t="shared" ca="1" si="123"/>
        <v>2.1886640551380085</v>
      </c>
      <c r="BT9" s="32">
        <f t="shared" ca="1" si="124"/>
        <v>1.8804015121608244</v>
      </c>
      <c r="BU9" s="32">
        <f t="shared" ca="1" si="125"/>
        <v>2.812091615465083</v>
      </c>
      <c r="BV9" s="32">
        <f t="shared" ca="1" si="126"/>
        <v>6.1999243991144999</v>
      </c>
      <c r="BW9" s="32">
        <f t="shared" ca="1" si="127"/>
        <v>0.65957140901558209</v>
      </c>
      <c r="BX9" s="32">
        <f t="shared" ca="1" si="128"/>
        <v>1.8093648112184213</v>
      </c>
      <c r="BY9" s="32">
        <f t="shared" ca="1" si="129"/>
        <v>2.9867129556111589</v>
      </c>
      <c r="BZ9" s="32">
        <f t="shared" ca="1" si="130"/>
        <v>5.9878139181410717</v>
      </c>
      <c r="CA9" s="32">
        <f t="shared" ca="1" si="131"/>
        <v>2.9867129556111589</v>
      </c>
      <c r="CB9" s="32">
        <f t="shared" ca="1" si="132"/>
        <v>3.9050557735363132</v>
      </c>
      <c r="CC9" s="32">
        <f t="shared" ca="1" si="133"/>
        <v>7.7643688667274668</v>
      </c>
      <c r="CD9" s="32">
        <f t="shared" ca="1" si="134"/>
        <v>3.9050557735363132</v>
      </c>
      <c r="CE9" s="32">
        <f t="shared" ca="1" si="135"/>
        <v>1.1141408936074022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58</v>
      </c>
      <c r="D10" s="134" t="str">
        <f>Plantilla!G11</f>
        <v>IMP</v>
      </c>
      <c r="E10" s="28">
        <f>Plantilla!M11</f>
        <v>43137</v>
      </c>
      <c r="F10" s="42">
        <f>Plantilla!Q11</f>
        <v>6</v>
      </c>
      <c r="G10" s="43">
        <f t="shared" si="68"/>
        <v>0.92582009977255142</v>
      </c>
      <c r="H10" s="43">
        <f t="shared" si="69"/>
        <v>0.99928545900129484</v>
      </c>
      <c r="I10" s="140">
        <f ca="1">Plantilla!N11</f>
        <v>1</v>
      </c>
      <c r="J10" s="34">
        <f>Plantilla!I11</f>
        <v>4.0999999999999996</v>
      </c>
      <c r="K10" s="41">
        <f>Plantilla!X11</f>
        <v>0</v>
      </c>
      <c r="L10" s="41">
        <f>Plantilla!Y11</f>
        <v>11.777777777777779</v>
      </c>
      <c r="M10" s="41">
        <f>Plantilla!Z11</f>
        <v>4</v>
      </c>
      <c r="N10" s="41">
        <f>Plantilla!AA11</f>
        <v>12.666666666666666</v>
      </c>
      <c r="O10" s="41">
        <f>Plantilla!AB11</f>
        <v>4.5</v>
      </c>
      <c r="P10" s="41">
        <f>Plantilla!AC11</f>
        <v>7</v>
      </c>
      <c r="Q10" s="41">
        <f>Plantilla!AD11</f>
        <v>3</v>
      </c>
      <c r="R10" s="41">
        <f t="shared" si="70"/>
        <v>2.9722222222222223</v>
      </c>
      <c r="S10" s="41">
        <f t="shared" si="71"/>
        <v>0.44000000000000006</v>
      </c>
      <c r="T10" s="41">
        <f t="shared" si="72"/>
        <v>0.56111111111111112</v>
      </c>
      <c r="U10" s="41">
        <f t="shared" ca="1" si="73"/>
        <v>4.4597172142465711</v>
      </c>
      <c r="V10" s="41">
        <f t="shared" ca="1" si="74"/>
        <v>4.8136031660461986</v>
      </c>
      <c r="W10" s="32">
        <f t="shared" ca="1" si="75"/>
        <v>4.836947075888439</v>
      </c>
      <c r="X10" s="32">
        <f t="shared" ca="1" si="76"/>
        <v>7.3513608342557939</v>
      </c>
      <c r="Y10" s="32">
        <f t="shared" ca="1" si="77"/>
        <v>4.836947075888439</v>
      </c>
      <c r="Z10" s="32">
        <f t="shared" ca="1" si="78"/>
        <v>7.0149286267565119</v>
      </c>
      <c r="AA10" s="32">
        <f t="shared" ca="1" si="79"/>
        <v>13.59482292007076</v>
      </c>
      <c r="AB10" s="32">
        <f t="shared" ca="1" si="80"/>
        <v>3.5074643133782559</v>
      </c>
      <c r="AC10" s="32">
        <f t="shared" ca="1" si="81"/>
        <v>1.3844567438657291</v>
      </c>
      <c r="AD10" s="32">
        <f t="shared" ca="1" si="82"/>
        <v>5.138843063786747</v>
      </c>
      <c r="AE10" s="32">
        <f t="shared" ca="1" si="83"/>
        <v>9.8290569712111591</v>
      </c>
      <c r="AF10" s="32">
        <f t="shared" ca="1" si="84"/>
        <v>2.5694215318933735</v>
      </c>
      <c r="AG10" s="32">
        <f t="shared" ca="1" si="85"/>
        <v>2.2395623797827975</v>
      </c>
      <c r="AH10" s="32">
        <f t="shared" ca="1" si="86"/>
        <v>12.5072370864651</v>
      </c>
      <c r="AI10" s="32">
        <f t="shared" ca="1" si="87"/>
        <v>5.6282566889092944</v>
      </c>
      <c r="AJ10" s="32">
        <f t="shared" ca="1" si="88"/>
        <v>0.97144653876292775</v>
      </c>
      <c r="AK10" s="32">
        <f t="shared" ca="1" si="89"/>
        <v>8.5164225436682717</v>
      </c>
      <c r="AL10" s="32">
        <f t="shared" ca="1" si="90"/>
        <v>10.250496481733354</v>
      </c>
      <c r="AM10" s="32">
        <f t="shared" ca="1" si="91"/>
        <v>9.6251346274100982</v>
      </c>
      <c r="AN10" s="32">
        <f t="shared" ca="1" si="92"/>
        <v>0.80444653876292771</v>
      </c>
      <c r="AO10" s="32">
        <f t="shared" ca="1" si="93"/>
        <v>1.3793090009803783</v>
      </c>
      <c r="AP10" s="32">
        <f t="shared" ca="1" si="94"/>
        <v>3.6706021884191053</v>
      </c>
      <c r="AQ10" s="32">
        <f t="shared" ca="1" si="95"/>
        <v>8.0753248145220304</v>
      </c>
      <c r="AR10" s="32">
        <f t="shared" ca="1" si="96"/>
        <v>1.8353010942095527</v>
      </c>
      <c r="AS10" s="32">
        <f t="shared" ca="1" si="97"/>
        <v>5.4912906143245728</v>
      </c>
      <c r="AT10" s="32">
        <f t="shared" ca="1" si="98"/>
        <v>0.82121586849808748</v>
      </c>
      <c r="AU10" s="32">
        <f t="shared" ca="1" si="99"/>
        <v>2.2833942266918434</v>
      </c>
      <c r="AV10" s="32">
        <f t="shared" ca="1" si="100"/>
        <v>0.41060793424904374</v>
      </c>
      <c r="AW10" s="32">
        <f t="shared" ca="1" si="101"/>
        <v>2.5694215318933735</v>
      </c>
      <c r="AX10" s="32">
        <f t="shared" ca="1" si="102"/>
        <v>5.4379291680283046</v>
      </c>
      <c r="AY10" s="32">
        <f t="shared" ca="1" si="103"/>
        <v>1.2847107659466868</v>
      </c>
      <c r="AZ10" s="32">
        <f t="shared" ca="1" si="104"/>
        <v>5.8170451422929803</v>
      </c>
      <c r="BA10" s="32">
        <f t="shared" ca="1" si="105"/>
        <v>1.5982124210001241</v>
      </c>
      <c r="BB10" s="32">
        <f t="shared" ca="1" si="106"/>
        <v>4.0056918734034328</v>
      </c>
      <c r="BC10" s="32">
        <f t="shared" ca="1" si="107"/>
        <v>0.79910621050006203</v>
      </c>
      <c r="BD10" s="32">
        <f t="shared" ca="1" si="108"/>
        <v>3.956093469740591</v>
      </c>
      <c r="BE10" s="32">
        <f t="shared" ca="1" si="109"/>
        <v>4.7309983761846244</v>
      </c>
      <c r="BF10" s="32">
        <f t="shared" ca="1" si="110"/>
        <v>5.1248167703601153</v>
      </c>
      <c r="BG10" s="32">
        <f t="shared" ca="1" si="111"/>
        <v>10.303519798165127</v>
      </c>
      <c r="BH10" s="32">
        <f t="shared" ca="1" si="112"/>
        <v>1.5224078792926081</v>
      </c>
      <c r="BI10" s="32">
        <f t="shared" ca="1" si="113"/>
        <v>6.5934891162343181</v>
      </c>
      <c r="BJ10" s="32">
        <f t="shared" ca="1" si="114"/>
        <v>3.5890332508986806</v>
      </c>
      <c r="BK10" s="32">
        <f t="shared" ca="1" si="115"/>
        <v>2.2162941992136256</v>
      </c>
      <c r="BL10" s="32">
        <f t="shared" ca="1" si="116"/>
        <v>11.017264121030733</v>
      </c>
      <c r="BM10" s="32">
        <f t="shared" ca="1" si="117"/>
        <v>0.32848634739923493</v>
      </c>
      <c r="BN10" s="32">
        <f t="shared" ca="1" si="118"/>
        <v>2.4470681256127365</v>
      </c>
      <c r="BO10" s="32">
        <f t="shared" ca="1" si="119"/>
        <v>0.92444795856481177</v>
      </c>
      <c r="BP10" s="32">
        <f t="shared" ca="1" si="120"/>
        <v>1.774198768399359</v>
      </c>
      <c r="BQ10" s="32">
        <f t="shared" ca="1" si="121"/>
        <v>16.290386719655441</v>
      </c>
      <c r="BR10" s="32">
        <f t="shared" ca="1" si="122"/>
        <v>0.85280109420955241</v>
      </c>
      <c r="BS10" s="32">
        <f t="shared" ca="1" si="123"/>
        <v>3.8609297093000956</v>
      </c>
      <c r="BT10" s="32">
        <f t="shared" ca="1" si="124"/>
        <v>3.3171367924972652</v>
      </c>
      <c r="BU10" s="32">
        <f t="shared" ca="1" si="125"/>
        <v>3.6705554847868704</v>
      </c>
      <c r="BV10" s="32">
        <f t="shared" ca="1" si="126"/>
        <v>11.386755402352218</v>
      </c>
      <c r="BW10" s="32">
        <f t="shared" ca="1" si="127"/>
        <v>0.93492268105936105</v>
      </c>
      <c r="BX10" s="32">
        <f t="shared" ca="1" si="128"/>
        <v>2.36172032777095</v>
      </c>
      <c r="BY10" s="32">
        <f t="shared" ca="1" si="129"/>
        <v>4.7846805191346427</v>
      </c>
      <c r="BZ10" s="32">
        <f t="shared" ca="1" si="130"/>
        <v>8.5704928302218963</v>
      </c>
      <c r="CA10" s="32">
        <f t="shared" ca="1" si="131"/>
        <v>4.7846805191346427</v>
      </c>
      <c r="CB10" s="32">
        <f t="shared" ca="1" si="132"/>
        <v>6.3903524569818604</v>
      </c>
      <c r="CC10" s="32">
        <f t="shared" ca="1" si="133"/>
        <v>11.148034799799092</v>
      </c>
      <c r="CD10" s="32">
        <f t="shared" ca="1" si="134"/>
        <v>6.3903524569818604</v>
      </c>
      <c r="CE10" s="32">
        <f t="shared" ca="1" si="135"/>
        <v>1.4542612855732451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19</v>
      </c>
      <c r="D11" s="134" t="str">
        <f>Plantilla!G12</f>
        <v>RAP</v>
      </c>
      <c r="E11" s="28">
        <f>Plantilla!M12</f>
        <v>43122</v>
      </c>
      <c r="F11" s="42">
        <f>Plantilla!Q12</f>
        <v>5</v>
      </c>
      <c r="G11" s="43">
        <f t="shared" si="68"/>
        <v>0.84515425472851657</v>
      </c>
      <c r="H11" s="43">
        <f t="shared" si="69"/>
        <v>0.92504826128926143</v>
      </c>
      <c r="I11" s="140">
        <f ca="1">Plantilla!N12</f>
        <v>1</v>
      </c>
      <c r="J11" s="34">
        <f>Plantilla!I12</f>
        <v>4.2</v>
      </c>
      <c r="K11" s="41">
        <f>Plantilla!X12</f>
        <v>0</v>
      </c>
      <c r="L11" s="41">
        <f>Plantilla!Y12</f>
        <v>10.857142857142858</v>
      </c>
      <c r="M11" s="41">
        <f>Plantilla!Z12</f>
        <v>3</v>
      </c>
      <c r="N11" s="41">
        <f>Plantilla!AA12</f>
        <v>13</v>
      </c>
      <c r="O11" s="41">
        <f>Plantilla!AB12</f>
        <v>7.25</v>
      </c>
      <c r="P11" s="41">
        <f>Plantilla!AC12</f>
        <v>7</v>
      </c>
      <c r="Q11" s="41">
        <f>Plantilla!AD12</f>
        <v>3</v>
      </c>
      <c r="R11" s="41">
        <f t="shared" si="70"/>
        <v>3.5446428571428572</v>
      </c>
      <c r="S11" s="41">
        <f t="shared" si="71"/>
        <v>0.44000000000000006</v>
      </c>
      <c r="T11" s="41">
        <f t="shared" si="72"/>
        <v>0.52428571428571435</v>
      </c>
      <c r="U11" s="41">
        <f t="shared" ca="1" si="73"/>
        <v>4.0829394049624854</v>
      </c>
      <c r="V11" s="41">
        <f t="shared" ca="1" si="74"/>
        <v>4.4689072750668375</v>
      </c>
      <c r="W11" s="32">
        <f t="shared" ca="1" si="75"/>
        <v>4.5950336025945848</v>
      </c>
      <c r="X11" s="32">
        <f t="shared" ca="1" si="76"/>
        <v>6.9781054928239667</v>
      </c>
      <c r="Y11" s="32">
        <f t="shared" ca="1" si="77"/>
        <v>4.5950336025945848</v>
      </c>
      <c r="Z11" s="32">
        <f t="shared" ca="1" si="78"/>
        <v>6.5470812260794702</v>
      </c>
      <c r="AA11" s="32">
        <f t="shared" ca="1" si="79"/>
        <v>12.688141911006724</v>
      </c>
      <c r="AB11" s="32">
        <f t="shared" ca="1" si="80"/>
        <v>3.2735406130397351</v>
      </c>
      <c r="AC11" s="32">
        <f t="shared" ca="1" si="81"/>
        <v>1.1497777748196003</v>
      </c>
      <c r="AD11" s="32">
        <f t="shared" ca="1" si="82"/>
        <v>4.7961176423605414</v>
      </c>
      <c r="AE11" s="32">
        <f t="shared" ca="1" si="83"/>
        <v>9.173526601657862</v>
      </c>
      <c r="AF11" s="32">
        <f t="shared" ca="1" si="84"/>
        <v>2.3980588211802707</v>
      </c>
      <c r="AG11" s="32">
        <f t="shared" ca="1" si="85"/>
        <v>1.859934635737589</v>
      </c>
      <c r="AH11" s="32">
        <f t="shared" ca="1" si="86"/>
        <v>11.673090558126187</v>
      </c>
      <c r="AI11" s="32">
        <f t="shared" ca="1" si="87"/>
        <v>5.2528907511567837</v>
      </c>
      <c r="AJ11" s="32">
        <f t="shared" ca="1" si="88"/>
        <v>0.80677684199526589</v>
      </c>
      <c r="AK11" s="32">
        <f t="shared" ca="1" si="89"/>
        <v>8.7206274436719529</v>
      </c>
      <c r="AL11" s="32">
        <f t="shared" ca="1" si="90"/>
        <v>9.5668590008990702</v>
      </c>
      <c r="AM11" s="32">
        <f t="shared" ca="1" si="91"/>
        <v>8.9832044729927603</v>
      </c>
      <c r="AN11" s="32">
        <f t="shared" ca="1" si="92"/>
        <v>0.80677684199526589</v>
      </c>
      <c r="AO11" s="32">
        <f t="shared" ca="1" si="93"/>
        <v>1.5481848703699368</v>
      </c>
      <c r="AP11" s="32">
        <f t="shared" ca="1" si="94"/>
        <v>3.4257983159718157</v>
      </c>
      <c r="AQ11" s="32">
        <f t="shared" ca="1" si="95"/>
        <v>7.5367562951379936</v>
      </c>
      <c r="AR11" s="32">
        <f t="shared" ca="1" si="96"/>
        <v>1.7128991579859079</v>
      </c>
      <c r="AS11" s="32">
        <f t="shared" ca="1" si="97"/>
        <v>4.5604631068474903</v>
      </c>
      <c r="AT11" s="32">
        <f t="shared" ca="1" si="98"/>
        <v>1.1805298770023027</v>
      </c>
      <c r="AU11" s="32">
        <f t="shared" ca="1" si="99"/>
        <v>2.6174827227821127</v>
      </c>
      <c r="AV11" s="32">
        <f t="shared" ca="1" si="100"/>
        <v>0.59026493850115136</v>
      </c>
      <c r="AW11" s="32">
        <f t="shared" ca="1" si="101"/>
        <v>2.3980588211802707</v>
      </c>
      <c r="AX11" s="32">
        <f t="shared" ca="1" si="102"/>
        <v>5.07525676440269</v>
      </c>
      <c r="AY11" s="32">
        <f t="shared" ca="1" si="103"/>
        <v>1.1990294105901353</v>
      </c>
      <c r="AZ11" s="32">
        <f t="shared" ca="1" si="104"/>
        <v>4.8309990538638674</v>
      </c>
      <c r="BA11" s="32">
        <f t="shared" ca="1" si="105"/>
        <v>2.2974927606275584</v>
      </c>
      <c r="BB11" s="32">
        <f t="shared" ca="1" si="106"/>
        <v>4.9511304786789907</v>
      </c>
      <c r="BC11" s="32">
        <f t="shared" ca="1" si="107"/>
        <v>1.1487463803137792</v>
      </c>
      <c r="BD11" s="32">
        <f t="shared" ca="1" si="108"/>
        <v>3.6922492961029567</v>
      </c>
      <c r="BE11" s="32">
        <f t="shared" ca="1" si="109"/>
        <v>4.4154733850303396</v>
      </c>
      <c r="BF11" s="32">
        <f t="shared" ca="1" si="110"/>
        <v>4.256110166454067</v>
      </c>
      <c r="BG11" s="32">
        <f t="shared" ca="1" si="111"/>
        <v>11.373508158884976</v>
      </c>
      <c r="BH11" s="32">
        <f t="shared" ca="1" si="112"/>
        <v>2.1885207719811919</v>
      </c>
      <c r="BI11" s="32">
        <f t="shared" ca="1" si="113"/>
        <v>6.1537488268382612</v>
      </c>
      <c r="BJ11" s="32">
        <f t="shared" ca="1" si="114"/>
        <v>3.3496694645057752</v>
      </c>
      <c r="BK11" s="32">
        <f t="shared" ca="1" si="115"/>
        <v>1.8406106395221336</v>
      </c>
      <c r="BL11" s="32">
        <f t="shared" ca="1" si="116"/>
        <v>11.806543173077021</v>
      </c>
      <c r="BM11" s="32">
        <f t="shared" ca="1" si="117"/>
        <v>0.47221195080092104</v>
      </c>
      <c r="BN11" s="32">
        <f t="shared" ca="1" si="118"/>
        <v>2.2838655439812103</v>
      </c>
      <c r="BO11" s="32">
        <f t="shared" ca="1" si="119"/>
        <v>0.86279364994845731</v>
      </c>
      <c r="BP11" s="32">
        <f t="shared" ca="1" si="120"/>
        <v>1.4734547114284795</v>
      </c>
      <c r="BQ11" s="32">
        <f t="shared" ca="1" si="121"/>
        <v>17.428164783268933</v>
      </c>
      <c r="BR11" s="32">
        <f t="shared" ca="1" si="122"/>
        <v>1.2259348722716221</v>
      </c>
      <c r="BS11" s="32">
        <f t="shared" ca="1" si="123"/>
        <v>3.6034323027259094</v>
      </c>
      <c r="BT11" s="32">
        <f t="shared" ca="1" si="124"/>
        <v>3.0959066262856405</v>
      </c>
      <c r="BU11" s="32">
        <f t="shared" ca="1" si="125"/>
        <v>3.0483604029881004</v>
      </c>
      <c r="BV11" s="32">
        <f t="shared" ca="1" si="126"/>
        <v>12.16399415320816</v>
      </c>
      <c r="BW11" s="32">
        <f t="shared" ca="1" si="127"/>
        <v>1.3439878599718522</v>
      </c>
      <c r="BX11" s="32">
        <f t="shared" ca="1" si="128"/>
        <v>1.9613856158687304</v>
      </c>
      <c r="BY11" s="32">
        <f t="shared" ca="1" si="129"/>
        <v>5.5274505070630742</v>
      </c>
      <c r="BZ11" s="32">
        <f t="shared" ca="1" si="130"/>
        <v>10.079454934650714</v>
      </c>
      <c r="CA11" s="32">
        <f t="shared" ca="1" si="131"/>
        <v>5.5274505070630742</v>
      </c>
      <c r="CB11" s="32">
        <f t="shared" ca="1" si="132"/>
        <v>6.863212410557189</v>
      </c>
      <c r="CC11" s="32">
        <f t="shared" ca="1" si="133"/>
        <v>12.181887704739633</v>
      </c>
      <c r="CD11" s="32">
        <f t="shared" ca="1" si="134"/>
        <v>6.863212410557189</v>
      </c>
      <c r="CE11" s="32">
        <f t="shared" ca="1" si="135"/>
        <v>1.2077497634659669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58</v>
      </c>
      <c r="D12" s="134" t="str">
        <f>Plantilla!G13</f>
        <v>IMP</v>
      </c>
      <c r="E12" s="28">
        <f>Plantilla!M13</f>
        <v>43051</v>
      </c>
      <c r="F12" s="42">
        <f>Plantilla!Q13</f>
        <v>5</v>
      </c>
      <c r="G12" s="43">
        <f t="shared" si="68"/>
        <v>0.84515425472851657</v>
      </c>
      <c r="H12" s="43">
        <f t="shared" si="69"/>
        <v>0.92504826128926143</v>
      </c>
      <c r="I12" s="140">
        <f ca="1">Plantilla!N13</f>
        <v>1</v>
      </c>
      <c r="J12" s="34">
        <f>Plantilla!I13</f>
        <v>4.2</v>
      </c>
      <c r="K12" s="41">
        <f>Plantilla!X13</f>
        <v>0</v>
      </c>
      <c r="L12" s="41">
        <f>Plantilla!Y13</f>
        <v>10.428571428571429</v>
      </c>
      <c r="M12" s="41">
        <f>Plantilla!Z13</f>
        <v>3</v>
      </c>
      <c r="N12" s="41">
        <f>Plantilla!AA13</f>
        <v>12</v>
      </c>
      <c r="O12" s="41">
        <f>Plantilla!AB13</f>
        <v>6.2000000000000011</v>
      </c>
      <c r="P12" s="41">
        <f>Plantilla!AC13</f>
        <v>7.25</v>
      </c>
      <c r="Q12" s="41">
        <f>Plantilla!AD13</f>
        <v>3</v>
      </c>
      <c r="R12" s="41">
        <f t="shared" si="70"/>
        <v>3.2285714285714286</v>
      </c>
      <c r="S12" s="41">
        <f t="shared" si="71"/>
        <v>0.45250000000000001</v>
      </c>
      <c r="T12" s="41">
        <f t="shared" si="72"/>
        <v>0.50714285714285712</v>
      </c>
      <c r="U12" s="41">
        <f t="shared" ca="1" si="73"/>
        <v>4.0829394049624854</v>
      </c>
      <c r="V12" s="41">
        <f t="shared" ca="1" si="74"/>
        <v>4.4689072750668375</v>
      </c>
      <c r="W12" s="32">
        <f t="shared" ca="1" si="75"/>
        <v>4.4767478883088705</v>
      </c>
      <c r="X12" s="32">
        <f t="shared" ca="1" si="76"/>
        <v>6.7959626356811098</v>
      </c>
      <c r="Y12" s="32">
        <f t="shared" ca="1" si="77"/>
        <v>4.4767478883088705</v>
      </c>
      <c r="Z12" s="32">
        <f t="shared" ca="1" si="78"/>
        <v>6.3259383689366127</v>
      </c>
      <c r="AA12" s="32">
        <f t="shared" ca="1" si="79"/>
        <v>12.259570482435295</v>
      </c>
      <c r="AB12" s="32">
        <f t="shared" ca="1" si="80"/>
        <v>3.1629691844683063</v>
      </c>
      <c r="AC12" s="32">
        <f t="shared" ca="1" si="81"/>
        <v>1.1497777748196003</v>
      </c>
      <c r="AD12" s="32">
        <f t="shared" ca="1" si="82"/>
        <v>4.6341176423605415</v>
      </c>
      <c r="AE12" s="32">
        <f t="shared" ca="1" si="83"/>
        <v>8.8636694588007181</v>
      </c>
      <c r="AF12" s="32">
        <f t="shared" ca="1" si="84"/>
        <v>2.3170588211802707</v>
      </c>
      <c r="AG12" s="32">
        <f t="shared" ca="1" si="85"/>
        <v>1.859934635737589</v>
      </c>
      <c r="AH12" s="32">
        <f t="shared" ca="1" si="86"/>
        <v>11.278804843840472</v>
      </c>
      <c r="AI12" s="32">
        <f t="shared" ca="1" si="87"/>
        <v>5.0754621797282118</v>
      </c>
      <c r="AJ12" s="32">
        <f t="shared" ca="1" si="88"/>
        <v>0.80677684199526589</v>
      </c>
      <c r="AK12" s="32">
        <f t="shared" ca="1" si="89"/>
        <v>8.1326274436719537</v>
      </c>
      <c r="AL12" s="32">
        <f t="shared" ca="1" si="90"/>
        <v>9.2437161437562132</v>
      </c>
      <c r="AM12" s="32">
        <f t="shared" ca="1" si="91"/>
        <v>8.679775901564188</v>
      </c>
      <c r="AN12" s="32">
        <f t="shared" ca="1" si="92"/>
        <v>0.80677684199526589</v>
      </c>
      <c r="AO12" s="32">
        <f t="shared" ca="1" si="93"/>
        <v>1.4571562989413651</v>
      </c>
      <c r="AP12" s="32">
        <f t="shared" ca="1" si="94"/>
        <v>3.3100840302575301</v>
      </c>
      <c r="AQ12" s="32">
        <f t="shared" ca="1" si="95"/>
        <v>7.2821848665665652</v>
      </c>
      <c r="AR12" s="32">
        <f t="shared" ca="1" si="96"/>
        <v>1.655042015128765</v>
      </c>
      <c r="AS12" s="32">
        <f t="shared" ca="1" si="97"/>
        <v>4.5604631068474903</v>
      </c>
      <c r="AT12" s="32">
        <f t="shared" ca="1" si="98"/>
        <v>1.0440298770023029</v>
      </c>
      <c r="AU12" s="32">
        <f t="shared" ca="1" si="99"/>
        <v>2.5347327227821128</v>
      </c>
      <c r="AV12" s="32">
        <f t="shared" ca="1" si="100"/>
        <v>0.52201493850115144</v>
      </c>
      <c r="AW12" s="32">
        <f t="shared" ca="1" si="101"/>
        <v>2.3170588211802707</v>
      </c>
      <c r="AX12" s="32">
        <f t="shared" ca="1" si="102"/>
        <v>4.9038281929741183</v>
      </c>
      <c r="AY12" s="32">
        <f t="shared" ca="1" si="103"/>
        <v>1.1585294105901354</v>
      </c>
      <c r="AZ12" s="32">
        <f t="shared" ca="1" si="104"/>
        <v>4.8309990538638674</v>
      </c>
      <c r="BA12" s="32">
        <f t="shared" ca="1" si="105"/>
        <v>2.0318427606275584</v>
      </c>
      <c r="BB12" s="32">
        <f t="shared" ca="1" si="106"/>
        <v>4.6455804786789905</v>
      </c>
      <c r="BC12" s="32">
        <f t="shared" ca="1" si="107"/>
        <v>1.0159213803137792</v>
      </c>
      <c r="BD12" s="32">
        <f t="shared" ca="1" si="108"/>
        <v>3.5675350103886707</v>
      </c>
      <c r="BE12" s="32">
        <f t="shared" ca="1" si="109"/>
        <v>4.2663305278874821</v>
      </c>
      <c r="BF12" s="32">
        <f t="shared" ca="1" si="110"/>
        <v>4.256110166454067</v>
      </c>
      <c r="BG12" s="32">
        <f t="shared" ca="1" si="111"/>
        <v>10.468758158884977</v>
      </c>
      <c r="BH12" s="32">
        <f t="shared" ca="1" si="112"/>
        <v>1.9354707719811921</v>
      </c>
      <c r="BI12" s="32">
        <f t="shared" ca="1" si="113"/>
        <v>5.9458916839811184</v>
      </c>
      <c r="BJ12" s="32">
        <f t="shared" ca="1" si="114"/>
        <v>3.2365266073629182</v>
      </c>
      <c r="BK12" s="32">
        <f t="shared" ca="1" si="115"/>
        <v>1.8406106395221336</v>
      </c>
      <c r="BL12" s="32">
        <f t="shared" ca="1" si="116"/>
        <v>10.922493173077021</v>
      </c>
      <c r="BM12" s="32">
        <f t="shared" ca="1" si="117"/>
        <v>0.41761195080092112</v>
      </c>
      <c r="BN12" s="32">
        <f t="shared" ca="1" si="118"/>
        <v>2.2067226868383529</v>
      </c>
      <c r="BO12" s="32">
        <f t="shared" ca="1" si="119"/>
        <v>0.83365079280560017</v>
      </c>
      <c r="BP12" s="32">
        <f t="shared" ca="1" si="120"/>
        <v>1.4734547114284795</v>
      </c>
      <c r="BQ12" s="32">
        <f t="shared" ca="1" si="121"/>
        <v>16.127864783268933</v>
      </c>
      <c r="BR12" s="32">
        <f t="shared" ca="1" si="122"/>
        <v>1.0841848722716223</v>
      </c>
      <c r="BS12" s="32">
        <f t="shared" ca="1" si="123"/>
        <v>3.4817180170116235</v>
      </c>
      <c r="BT12" s="32">
        <f t="shared" ca="1" si="124"/>
        <v>2.991335197714212</v>
      </c>
      <c r="BU12" s="32">
        <f t="shared" ca="1" si="125"/>
        <v>3.0483604029881004</v>
      </c>
      <c r="BV12" s="32">
        <f t="shared" ca="1" si="126"/>
        <v>11.25934415320816</v>
      </c>
      <c r="BW12" s="32">
        <f t="shared" ca="1" si="127"/>
        <v>1.1885878599718522</v>
      </c>
      <c r="BX12" s="32">
        <f t="shared" ca="1" si="128"/>
        <v>1.9613856158687304</v>
      </c>
      <c r="BY12" s="32">
        <f t="shared" ca="1" si="129"/>
        <v>5.1527005070630745</v>
      </c>
      <c r="BZ12" s="32">
        <f t="shared" ca="1" si="130"/>
        <v>9.655054934650714</v>
      </c>
      <c r="CA12" s="32">
        <f t="shared" ca="1" si="131"/>
        <v>5.1527005070630745</v>
      </c>
      <c r="CB12" s="32">
        <f t="shared" ca="1" si="132"/>
        <v>6.5581124105571886</v>
      </c>
      <c r="CC12" s="32">
        <f t="shared" ca="1" si="133"/>
        <v>12.044437704739634</v>
      </c>
      <c r="CD12" s="32">
        <f t="shared" ca="1" si="134"/>
        <v>6.5581124105571886</v>
      </c>
      <c r="CE12" s="32">
        <f t="shared" ca="1" si="135"/>
        <v>1.2077497634659669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54</v>
      </c>
      <c r="D13" s="134" t="str">
        <f>Plantilla!G14</f>
        <v>RAP</v>
      </c>
      <c r="E13" s="28">
        <f>Plantilla!M14</f>
        <v>43046</v>
      </c>
      <c r="F13" s="42">
        <f>Plantilla!Q14</f>
        <v>5</v>
      </c>
      <c r="G13" s="43">
        <f t="shared" si="68"/>
        <v>0.84515425472851657</v>
      </c>
      <c r="H13" s="43">
        <f t="shared" si="69"/>
        <v>0.92504826128926143</v>
      </c>
      <c r="I13" s="140">
        <f>Plantilla!N14</f>
        <v>1.5</v>
      </c>
      <c r="J13" s="34">
        <f>Plantilla!I14</f>
        <v>4.5999999999999996</v>
      </c>
      <c r="K13" s="41">
        <f>Plantilla!X14</f>
        <v>0</v>
      </c>
      <c r="L13" s="41">
        <f>Plantilla!Y14</f>
        <v>9</v>
      </c>
      <c r="M13" s="41">
        <f>Plantilla!Z14</f>
        <v>5.7</v>
      </c>
      <c r="N13" s="41">
        <f>Plantilla!AA14</f>
        <v>14.124999999999996</v>
      </c>
      <c r="O13" s="41">
        <f>Plantilla!AB14</f>
        <v>6.2</v>
      </c>
      <c r="P13" s="41">
        <f>Plantilla!AC14</f>
        <v>7.5</v>
      </c>
      <c r="Q13" s="41">
        <f>Plantilla!AD14</f>
        <v>5</v>
      </c>
      <c r="R13" s="41">
        <f t="shared" si="70"/>
        <v>3.05</v>
      </c>
      <c r="S13" s="41">
        <f t="shared" si="71"/>
        <v>0.52500000000000002</v>
      </c>
      <c r="T13" s="41">
        <f t="shared" si="72"/>
        <v>0.51</v>
      </c>
      <c r="U13" s="41">
        <f t="shared" si="73"/>
        <v>6.2403461241357956</v>
      </c>
      <c r="V13" s="41">
        <f t="shared" si="74"/>
        <v>6.8302576715173737</v>
      </c>
      <c r="W13" s="32">
        <f t="shared" si="75"/>
        <v>4.5649501160773527</v>
      </c>
      <c r="X13" s="32">
        <f t="shared" si="76"/>
        <v>6.9023271476012162</v>
      </c>
      <c r="Y13" s="32">
        <f t="shared" si="77"/>
        <v>4.5649501160773527</v>
      </c>
      <c r="Z13" s="32">
        <f t="shared" si="78"/>
        <v>5.8739773881969226</v>
      </c>
      <c r="AA13" s="32">
        <f t="shared" si="79"/>
        <v>11.383677108908765</v>
      </c>
      <c r="AB13" s="32">
        <f t="shared" si="80"/>
        <v>2.9369886940984613</v>
      </c>
      <c r="AC13" s="32">
        <f t="shared" si="81"/>
        <v>1.9239151519202862</v>
      </c>
      <c r="AD13" s="32">
        <f t="shared" si="82"/>
        <v>4.3030299471675129</v>
      </c>
      <c r="AE13" s="32">
        <f t="shared" si="83"/>
        <v>8.2303985497410377</v>
      </c>
      <c r="AF13" s="32">
        <f t="shared" si="84"/>
        <v>2.1515149735837564</v>
      </c>
      <c r="AG13" s="32">
        <f t="shared" si="85"/>
        <v>3.1122156869298752</v>
      </c>
      <c r="AH13" s="32">
        <f t="shared" si="86"/>
        <v>10.472982940196065</v>
      </c>
      <c r="AI13" s="32">
        <f t="shared" si="87"/>
        <v>4.7128423230882284</v>
      </c>
      <c r="AJ13" s="32">
        <f t="shared" si="88"/>
        <v>1.349974077187764</v>
      </c>
      <c r="AK13" s="32">
        <f t="shared" si="89"/>
        <v>9.7071021400383515</v>
      </c>
      <c r="AL13" s="32">
        <f t="shared" si="90"/>
        <v>8.5832925401172098</v>
      </c>
      <c r="AM13" s="32">
        <f t="shared" si="91"/>
        <v>8.0596433931074056</v>
      </c>
      <c r="AN13" s="32">
        <f t="shared" si="92"/>
        <v>1.233074077187764</v>
      </c>
      <c r="AO13" s="32">
        <f t="shared" si="93"/>
        <v>1.5648990073657243</v>
      </c>
      <c r="AP13" s="32">
        <f t="shared" si="94"/>
        <v>3.0735928194053668</v>
      </c>
      <c r="AQ13" s="32">
        <f t="shared" si="95"/>
        <v>6.7619042026918059</v>
      </c>
      <c r="AR13" s="32">
        <f t="shared" si="96"/>
        <v>1.5367964097026834</v>
      </c>
      <c r="AS13" s="32">
        <f t="shared" si="97"/>
        <v>7.6309911908098753</v>
      </c>
      <c r="AT13" s="32">
        <f t="shared" si="98"/>
        <v>1.1158780241581396</v>
      </c>
      <c r="AU13" s="32">
        <f t="shared" si="99"/>
        <v>2.739917392910268</v>
      </c>
      <c r="AV13" s="32">
        <f t="shared" si="100"/>
        <v>0.55793901207906982</v>
      </c>
      <c r="AW13" s="32">
        <f t="shared" si="101"/>
        <v>2.1515149735837564</v>
      </c>
      <c r="AX13" s="32">
        <f t="shared" si="102"/>
        <v>4.5534708435635061</v>
      </c>
      <c r="AY13" s="32">
        <f t="shared" si="103"/>
        <v>1.0757574867918782</v>
      </c>
      <c r="AZ13" s="32">
        <f t="shared" si="104"/>
        <v>8.0836771089087662</v>
      </c>
      <c r="BA13" s="32">
        <f t="shared" si="105"/>
        <v>2.1716703085539177</v>
      </c>
      <c r="BB13" s="32">
        <f t="shared" si="106"/>
        <v>5.0026060870087301</v>
      </c>
      <c r="BC13" s="32">
        <f t="shared" si="107"/>
        <v>1.0858351542769589</v>
      </c>
      <c r="BD13" s="32">
        <f t="shared" si="108"/>
        <v>3.3126500386924502</v>
      </c>
      <c r="BE13" s="32">
        <f t="shared" si="109"/>
        <v>3.9615196339002501</v>
      </c>
      <c r="BF13" s="32">
        <f t="shared" si="110"/>
        <v>7.1217195329486227</v>
      </c>
      <c r="BG13" s="32">
        <f t="shared" si="111"/>
        <v>12.17983894981989</v>
      </c>
      <c r="BH13" s="32">
        <f t="shared" si="112"/>
        <v>2.0686661832470126</v>
      </c>
      <c r="BI13" s="32">
        <f t="shared" si="113"/>
        <v>5.5210833978207505</v>
      </c>
      <c r="BJ13" s="32">
        <f t="shared" si="114"/>
        <v>3.005290756751914</v>
      </c>
      <c r="BK13" s="32">
        <f t="shared" si="115"/>
        <v>3.07988097849424</v>
      </c>
      <c r="BL13" s="32">
        <f t="shared" si="116"/>
        <v>12.83565879318626</v>
      </c>
      <c r="BM13" s="32">
        <f t="shared" si="117"/>
        <v>0.44635120966325581</v>
      </c>
      <c r="BN13" s="32">
        <f t="shared" si="118"/>
        <v>2.0490618796035776</v>
      </c>
      <c r="BO13" s="32">
        <f t="shared" si="119"/>
        <v>0.77409004340579612</v>
      </c>
      <c r="BP13" s="32">
        <f t="shared" si="120"/>
        <v>2.4655215182171735</v>
      </c>
      <c r="BQ13" s="32">
        <f t="shared" si="121"/>
        <v>18.963608762056669</v>
      </c>
      <c r="BR13" s="32">
        <f t="shared" si="122"/>
        <v>1.1587964097026835</v>
      </c>
      <c r="BS13" s="32">
        <f t="shared" si="123"/>
        <v>3.2329642989300891</v>
      </c>
      <c r="BT13" s="32">
        <f t="shared" si="124"/>
        <v>2.7776172145737386</v>
      </c>
      <c r="BU13" s="32">
        <f t="shared" si="125"/>
        <v>5.1008002557214311</v>
      </c>
      <c r="BV13" s="32">
        <f t="shared" si="126"/>
        <v>13.245741012473344</v>
      </c>
      <c r="BW13" s="32">
        <f t="shared" si="127"/>
        <v>1.2703842121184974</v>
      </c>
      <c r="BX13" s="32">
        <f t="shared" si="128"/>
        <v>3.2819729062169594</v>
      </c>
      <c r="BY13" s="32">
        <f t="shared" si="129"/>
        <v>5.7783957737414662</v>
      </c>
      <c r="BZ13" s="32">
        <f t="shared" si="130"/>
        <v>10.423120424631271</v>
      </c>
      <c r="CA13" s="32">
        <f t="shared" si="131"/>
        <v>5.7783957737414662</v>
      </c>
      <c r="CB13" s="32">
        <f t="shared" si="132"/>
        <v>7.4370558388501609</v>
      </c>
      <c r="CC13" s="32">
        <f t="shared" si="133"/>
        <v>13.0510539620961</v>
      </c>
      <c r="CD13" s="32">
        <f t="shared" si="134"/>
        <v>7.4370558388501609</v>
      </c>
      <c r="CE13" s="32">
        <f t="shared" si="135"/>
        <v>2.0209192772271916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54</v>
      </c>
      <c r="D14" s="134" t="str">
        <f>Plantilla!G15</f>
        <v>IMP</v>
      </c>
      <c r="E14" s="28">
        <f>Plantilla!M15</f>
        <v>43054</v>
      </c>
      <c r="F14" s="42">
        <f>Plantilla!Q15</f>
        <v>5</v>
      </c>
      <c r="G14" s="43">
        <f t="shared" si="68"/>
        <v>0.84515425472851657</v>
      </c>
      <c r="H14" s="43">
        <f t="shared" si="69"/>
        <v>0.92504826128926143</v>
      </c>
      <c r="I14" s="140">
        <f ca="1">Plantilla!N15</f>
        <v>1</v>
      </c>
      <c r="J14" s="34">
        <f>Plantilla!I15</f>
        <v>4</v>
      </c>
      <c r="K14" s="41">
        <f>Plantilla!X15</f>
        <v>0</v>
      </c>
      <c r="L14" s="41">
        <f>Plantilla!Y15</f>
        <v>9.4285714285714288</v>
      </c>
      <c r="M14" s="41">
        <f>Plantilla!Z15</f>
        <v>5</v>
      </c>
      <c r="N14" s="41">
        <f>Plantilla!AA15</f>
        <v>13.19</v>
      </c>
      <c r="O14" s="41">
        <f>Plantilla!AB15</f>
        <v>5.25</v>
      </c>
      <c r="P14" s="41">
        <f>Plantilla!AC15</f>
        <v>7.8016666666666676</v>
      </c>
      <c r="Q14" s="41">
        <f>Plantilla!AD15</f>
        <v>3</v>
      </c>
      <c r="R14" s="41">
        <f t="shared" si="70"/>
        <v>2.8660714285714288</v>
      </c>
      <c r="S14" s="41">
        <f t="shared" si="71"/>
        <v>0.48008333333333331</v>
      </c>
      <c r="T14" s="41">
        <f t="shared" si="72"/>
        <v>0.46714285714285719</v>
      </c>
      <c r="U14" s="41">
        <f t="shared" ca="1" si="73"/>
        <v>4.0590617699442548</v>
      </c>
      <c r="V14" s="41">
        <f t="shared" ca="1" si="74"/>
        <v>4.4427724427167252</v>
      </c>
      <c r="W14" s="32">
        <f t="shared" ca="1" si="75"/>
        <v>4.1760835441914628</v>
      </c>
      <c r="X14" s="32">
        <f t="shared" ca="1" si="76"/>
        <v>6.3344887888820569</v>
      </c>
      <c r="Y14" s="32">
        <f t="shared" ca="1" si="77"/>
        <v>4.1760835441914628</v>
      </c>
      <c r="Z14" s="32">
        <f t="shared" ca="1" si="78"/>
        <v>5.795360131176496</v>
      </c>
      <c r="AA14" s="32">
        <f t="shared" ca="1" si="79"/>
        <v>11.231318083675379</v>
      </c>
      <c r="AB14" s="32">
        <f t="shared" ca="1" si="80"/>
        <v>2.897680065588248</v>
      </c>
      <c r="AC14" s="32">
        <f t="shared" ca="1" si="81"/>
        <v>1.6190537039147399</v>
      </c>
      <c r="AD14" s="32">
        <f t="shared" ca="1" si="82"/>
        <v>4.245438235629293</v>
      </c>
      <c r="AE14" s="32">
        <f t="shared" ca="1" si="83"/>
        <v>8.1202429744972999</v>
      </c>
      <c r="AF14" s="32">
        <f t="shared" ca="1" si="84"/>
        <v>2.1227191178146465</v>
      </c>
      <c r="AG14" s="32">
        <f t="shared" ca="1" si="85"/>
        <v>2.6190574622150207</v>
      </c>
      <c r="AH14" s="32">
        <f t="shared" ca="1" si="86"/>
        <v>10.33281263698135</v>
      </c>
      <c r="AI14" s="32">
        <f t="shared" ca="1" si="87"/>
        <v>4.6497656866416071</v>
      </c>
      <c r="AJ14" s="32">
        <f t="shared" ca="1" si="88"/>
        <v>1.1360586914023596</v>
      </c>
      <c r="AK14" s="32">
        <f t="shared" ca="1" si="89"/>
        <v>8.815735033201122</v>
      </c>
      <c r="AL14" s="32">
        <f t="shared" ca="1" si="90"/>
        <v>8.4684138350912352</v>
      </c>
      <c r="AM14" s="32">
        <f t="shared" ca="1" si="91"/>
        <v>7.9517732032421682</v>
      </c>
      <c r="AN14" s="32">
        <f t="shared" ca="1" si="92"/>
        <v>0.80205869140235964</v>
      </c>
      <c r="AO14" s="32">
        <f t="shared" ca="1" si="93"/>
        <v>1.3446196080985089</v>
      </c>
      <c r="AP14" s="32">
        <f t="shared" ca="1" si="94"/>
        <v>3.0324558825923527</v>
      </c>
      <c r="AQ14" s="32">
        <f t="shared" ca="1" si="95"/>
        <v>6.6714029417031755</v>
      </c>
      <c r="AR14" s="32">
        <f t="shared" ca="1" si="96"/>
        <v>1.5162279412961763</v>
      </c>
      <c r="AS14" s="32">
        <f t="shared" ca="1" si="97"/>
        <v>6.4217928424181281</v>
      </c>
      <c r="AT14" s="32">
        <f t="shared" ca="1" si="98"/>
        <v>0.91685706516351351</v>
      </c>
      <c r="AU14" s="32">
        <f t="shared" ca="1" si="99"/>
        <v>2.507893103278791</v>
      </c>
      <c r="AV14" s="32">
        <f t="shared" ca="1" si="100"/>
        <v>0.45842853258175675</v>
      </c>
      <c r="AW14" s="32">
        <f t="shared" ca="1" si="101"/>
        <v>2.1227191178146465</v>
      </c>
      <c r="AX14" s="32">
        <f t="shared" ca="1" si="102"/>
        <v>4.4925272334701516</v>
      </c>
      <c r="AY14" s="32">
        <f t="shared" ca="1" si="103"/>
        <v>1.0613595589073233</v>
      </c>
      <c r="AZ14" s="32">
        <f t="shared" ca="1" si="104"/>
        <v>6.8027466551039497</v>
      </c>
      <c r="BA14" s="32">
        <f t="shared" ca="1" si="105"/>
        <v>1.7843449037412993</v>
      </c>
      <c r="BB14" s="32">
        <f t="shared" ca="1" si="106"/>
        <v>4.4219134069622772</v>
      </c>
      <c r="BC14" s="32">
        <f t="shared" ca="1" si="107"/>
        <v>0.89217245187064964</v>
      </c>
      <c r="BD14" s="32">
        <f t="shared" ca="1" si="108"/>
        <v>3.2683135623495354</v>
      </c>
      <c r="BE14" s="32">
        <f t="shared" ca="1" si="109"/>
        <v>3.9084986931190318</v>
      </c>
      <c r="BF14" s="32">
        <f t="shared" ca="1" si="110"/>
        <v>5.9932198031465793</v>
      </c>
      <c r="BG14" s="32">
        <f t="shared" ca="1" si="111"/>
        <v>10.827451776387411</v>
      </c>
      <c r="BH14" s="32">
        <f t="shared" ca="1" si="112"/>
        <v>1.6997119438800519</v>
      </c>
      <c r="BI14" s="32">
        <f t="shared" ca="1" si="113"/>
        <v>5.4471892705825589</v>
      </c>
      <c r="BJ14" s="32">
        <f t="shared" ca="1" si="114"/>
        <v>2.9650679740903003</v>
      </c>
      <c r="BK14" s="32">
        <f t="shared" ca="1" si="115"/>
        <v>2.5918464755946049</v>
      </c>
      <c r="BL14" s="32">
        <f t="shared" ca="1" si="116"/>
        <v>11.507720576560853</v>
      </c>
      <c r="BM14" s="32">
        <f t="shared" ca="1" si="117"/>
        <v>0.36674282606540537</v>
      </c>
      <c r="BN14" s="32">
        <f t="shared" ca="1" si="118"/>
        <v>2.0216372550615684</v>
      </c>
      <c r="BO14" s="32">
        <f t="shared" ca="1" si="119"/>
        <v>0.76372962968992586</v>
      </c>
      <c r="BP14" s="32">
        <f t="shared" ca="1" si="120"/>
        <v>2.0748377298067044</v>
      </c>
      <c r="BQ14" s="32">
        <f t="shared" ca="1" si="121"/>
        <v>17.00983219846368</v>
      </c>
      <c r="BR14" s="32">
        <f t="shared" ca="1" si="122"/>
        <v>0.9521207984390333</v>
      </c>
      <c r="BS14" s="32">
        <f t="shared" ca="1" si="123"/>
        <v>3.1896943357638077</v>
      </c>
      <c r="BT14" s="32">
        <f t="shared" ca="1" si="124"/>
        <v>2.7404416124167925</v>
      </c>
      <c r="BU14" s="32">
        <f t="shared" ca="1" si="125"/>
        <v>4.2925331393705921</v>
      </c>
      <c r="BV14" s="32">
        <f t="shared" ca="1" si="126"/>
        <v>11.886088256318034</v>
      </c>
      <c r="BW14" s="32">
        <f t="shared" ca="1" si="127"/>
        <v>1.0438065049553844</v>
      </c>
      <c r="BX14" s="32">
        <f t="shared" ca="1" si="128"/>
        <v>2.7619151419722039</v>
      </c>
      <c r="BY14" s="32">
        <f t="shared" ca="1" si="129"/>
        <v>5.1419026739758245</v>
      </c>
      <c r="BZ14" s="32">
        <f t="shared" ca="1" si="130"/>
        <v>9.4290144003137151</v>
      </c>
      <c r="CA14" s="32">
        <f t="shared" ca="1" si="131"/>
        <v>5.1419026739758245</v>
      </c>
      <c r="CB14" s="32">
        <f t="shared" ca="1" si="132"/>
        <v>6.8120344994630946</v>
      </c>
      <c r="CC14" s="32">
        <f t="shared" ca="1" si="133"/>
        <v>12.206876837503977</v>
      </c>
      <c r="CD14" s="32">
        <f t="shared" ca="1" si="134"/>
        <v>6.8120344994630946</v>
      </c>
      <c r="CE14" s="32">
        <f t="shared" ca="1" si="135"/>
        <v>1.7006866637759874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23</v>
      </c>
      <c r="D15" s="134" t="str">
        <f>Plantilla!G16</f>
        <v>POT</v>
      </c>
      <c r="E15" s="28">
        <f>Plantilla!M16</f>
        <v>43591</v>
      </c>
      <c r="F15" s="42">
        <f>Plantilla!Q16</f>
        <v>5</v>
      </c>
      <c r="G15" s="43">
        <f t="shared" si="68"/>
        <v>0.84515425472851657</v>
      </c>
      <c r="H15" s="43">
        <f t="shared" si="69"/>
        <v>0.92504826128926143</v>
      </c>
      <c r="I15" s="140">
        <f ca="1">Plantilla!N16</f>
        <v>0.34254750934422762</v>
      </c>
      <c r="J15" s="34">
        <f>Plantilla!I16</f>
        <v>7</v>
      </c>
      <c r="K15" s="41">
        <f>Plantilla!X16</f>
        <v>0</v>
      </c>
      <c r="L15" s="41">
        <f>Plantilla!Y16</f>
        <v>9</v>
      </c>
      <c r="M15" s="41">
        <f>Plantilla!Z16</f>
        <v>13</v>
      </c>
      <c r="N15" s="41">
        <f>Plantilla!AA16</f>
        <v>6</v>
      </c>
      <c r="O15" s="41">
        <f>Plantilla!AB16</f>
        <v>7.1428571428571432</v>
      </c>
      <c r="P15" s="41">
        <f>Plantilla!AC16</f>
        <v>7</v>
      </c>
      <c r="Q15" s="41">
        <f>Plantilla!AD16</f>
        <v>17</v>
      </c>
      <c r="R15" s="41">
        <f t="shared" si="70"/>
        <v>3.2857142857142856</v>
      </c>
      <c r="S15" s="41">
        <f t="shared" si="71"/>
        <v>0.86</v>
      </c>
      <c r="T15" s="41">
        <f t="shared" si="72"/>
        <v>0.86999999999999988</v>
      </c>
      <c r="U15" s="41">
        <f t="shared" ca="1" si="73"/>
        <v>15.609445420928086</v>
      </c>
      <c r="V15" s="41">
        <f t="shared" ca="1" si="74"/>
        <v>17.085035383224159</v>
      </c>
      <c r="W15" s="32">
        <f t="shared" ca="1" si="75"/>
        <v>3.7667380942341055</v>
      </c>
      <c r="X15" s="32">
        <f t="shared" ca="1" si="76"/>
        <v>5.7219242607746041</v>
      </c>
      <c r="Y15" s="32">
        <f t="shared" ca="1" si="77"/>
        <v>3.7667380942341055</v>
      </c>
      <c r="Z15" s="32">
        <f t="shared" ca="1" si="78"/>
        <v>5.4021819663514297</v>
      </c>
      <c r="AA15" s="32">
        <f t="shared" ca="1" si="79"/>
        <v>10.469344896029902</v>
      </c>
      <c r="AB15" s="32">
        <f t="shared" ca="1" si="80"/>
        <v>2.7010909831757148</v>
      </c>
      <c r="AC15" s="32">
        <f t="shared" ca="1" si="81"/>
        <v>3.4437040852551166</v>
      </c>
      <c r="AD15" s="32">
        <f t="shared" ca="1" si="82"/>
        <v>3.957412370699303</v>
      </c>
      <c r="AE15" s="32">
        <f t="shared" ca="1" si="83"/>
        <v>7.5693363598296193</v>
      </c>
      <c r="AF15" s="32">
        <f t="shared" ca="1" si="84"/>
        <v>1.9787061853496515</v>
      </c>
      <c r="AG15" s="32">
        <f t="shared" ca="1" si="85"/>
        <v>5.5706977849715127</v>
      </c>
      <c r="AH15" s="32">
        <f t="shared" ca="1" si="86"/>
        <v>9.6317973043475114</v>
      </c>
      <c r="AI15" s="32">
        <f t="shared" ca="1" si="87"/>
        <v>4.3343087869563792</v>
      </c>
      <c r="AJ15" s="32">
        <f t="shared" ca="1" si="88"/>
        <v>2.4163805976369939</v>
      </c>
      <c r="AK15" s="32">
        <f t="shared" ca="1" si="89"/>
        <v>4.3919747988655837</v>
      </c>
      <c r="AL15" s="32">
        <f t="shared" ca="1" si="90"/>
        <v>7.8938860516065468</v>
      </c>
      <c r="AM15" s="32">
        <f t="shared" ca="1" si="91"/>
        <v>7.4122961863891703</v>
      </c>
      <c r="AN15" s="32">
        <f t="shared" ca="1" si="92"/>
        <v>3.0843805976369945</v>
      </c>
      <c r="AO15" s="32">
        <f t="shared" ca="1" si="93"/>
        <v>1.3694570443423262</v>
      </c>
      <c r="AP15" s="32">
        <f t="shared" ca="1" si="94"/>
        <v>2.8267231219280737</v>
      </c>
      <c r="AQ15" s="32">
        <f t="shared" ca="1" si="95"/>
        <v>6.2187908682417614</v>
      </c>
      <c r="AR15" s="32">
        <f t="shared" ca="1" si="96"/>
        <v>1.4133615609640369</v>
      </c>
      <c r="AS15" s="32">
        <f t="shared" ca="1" si="97"/>
        <v>13.659061581852226</v>
      </c>
      <c r="AT15" s="32">
        <f t="shared" ca="1" si="98"/>
        <v>1.1195862650553161</v>
      </c>
      <c r="AU15" s="32">
        <f t="shared" ca="1" si="99"/>
        <v>2.498660911679619</v>
      </c>
      <c r="AV15" s="32">
        <f t="shared" ca="1" si="100"/>
        <v>0.55979313252765805</v>
      </c>
      <c r="AW15" s="32">
        <f t="shared" ca="1" si="101"/>
        <v>1.9787061853496515</v>
      </c>
      <c r="AX15" s="32">
        <f t="shared" ca="1" si="102"/>
        <v>4.1877379584119607</v>
      </c>
      <c r="AY15" s="32">
        <f t="shared" ca="1" si="103"/>
        <v>0.98935309267482574</v>
      </c>
      <c r="AZ15" s="32">
        <f t="shared" ca="1" si="104"/>
        <v>14.469344896029902</v>
      </c>
      <c r="BA15" s="32">
        <f t="shared" ca="1" si="105"/>
        <v>2.1788871158384229</v>
      </c>
      <c r="BB15" s="32">
        <f t="shared" ca="1" si="106"/>
        <v>4.7153233234267624</v>
      </c>
      <c r="BC15" s="32">
        <f t="shared" ca="1" si="107"/>
        <v>1.0894435579192114</v>
      </c>
      <c r="BD15" s="32">
        <f t="shared" ca="1" si="108"/>
        <v>3.0465793647447015</v>
      </c>
      <c r="BE15" s="32">
        <f t="shared" ca="1" si="109"/>
        <v>3.6433320238184059</v>
      </c>
      <c r="BF15" s="32">
        <f t="shared" ca="1" si="110"/>
        <v>12.747492853402344</v>
      </c>
      <c r="BG15" s="32">
        <f t="shared" ca="1" si="111"/>
        <v>7.0002476125705844</v>
      </c>
      <c r="BH15" s="32">
        <f t="shared" ca="1" si="112"/>
        <v>2.0755406913717782</v>
      </c>
      <c r="BI15" s="32">
        <f t="shared" ca="1" si="113"/>
        <v>5.0776322745745022</v>
      </c>
      <c r="BJ15" s="32">
        <f t="shared" ca="1" si="114"/>
        <v>2.7639070525518945</v>
      </c>
      <c r="BK15" s="32">
        <f t="shared" ca="1" si="115"/>
        <v>5.5128204053873926</v>
      </c>
      <c r="BL15" s="32">
        <f t="shared" ca="1" si="116"/>
        <v>6.7579217248444223</v>
      </c>
      <c r="BM15" s="32">
        <f t="shared" ca="1" si="117"/>
        <v>0.44783450602212638</v>
      </c>
      <c r="BN15" s="32">
        <f t="shared" ca="1" si="118"/>
        <v>1.8844820812853824</v>
      </c>
      <c r="BO15" s="32">
        <f t="shared" ca="1" si="119"/>
        <v>0.71191545293003344</v>
      </c>
      <c r="BP15" s="32">
        <f t="shared" ca="1" si="120"/>
        <v>4.4131501932891197</v>
      </c>
      <c r="BQ15" s="32">
        <f t="shared" ca="1" si="121"/>
        <v>9.9324346791515996</v>
      </c>
      <c r="BR15" s="32">
        <f t="shared" ca="1" si="122"/>
        <v>1.1626472752497514</v>
      </c>
      <c r="BS15" s="32">
        <f t="shared" ca="1" si="123"/>
        <v>2.9732939504724918</v>
      </c>
      <c r="BT15" s="32">
        <f t="shared" ca="1" si="124"/>
        <v>2.5545201546312959</v>
      </c>
      <c r="BU15" s="32">
        <f t="shared" ca="1" si="125"/>
        <v>9.1301566293948682</v>
      </c>
      <c r="BV15" s="32">
        <f t="shared" ca="1" si="126"/>
        <v>6.9056351105181921</v>
      </c>
      <c r="BW15" s="32">
        <f t="shared" ca="1" si="127"/>
        <v>1.2746059017552829</v>
      </c>
      <c r="BX15" s="32">
        <f t="shared" ca="1" si="128"/>
        <v>5.8745540277881405</v>
      </c>
      <c r="BY15" s="32">
        <f t="shared" ca="1" si="129"/>
        <v>4.304242976545865</v>
      </c>
      <c r="BZ15" s="32">
        <f t="shared" ca="1" si="130"/>
        <v>9.6140537815011005</v>
      </c>
      <c r="CA15" s="32">
        <f t="shared" ca="1" si="131"/>
        <v>4.304242976545865</v>
      </c>
      <c r="CB15" s="32">
        <f t="shared" ca="1" si="132"/>
        <v>5.0756875845123446</v>
      </c>
      <c r="CC15" s="32">
        <f t="shared" ca="1" si="133"/>
        <v>11.647247448379224</v>
      </c>
      <c r="CD15" s="32">
        <f t="shared" ca="1" si="134"/>
        <v>5.0756875845123446</v>
      </c>
      <c r="CE15" s="32">
        <f t="shared" ca="1" si="135"/>
        <v>3.6173362240074756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28</v>
      </c>
      <c r="D16" s="134" t="str">
        <f>Plantilla!G17</f>
        <v>IMP</v>
      </c>
      <c r="E16" s="28">
        <f>Plantilla!M17</f>
        <v>43415</v>
      </c>
      <c r="F16" s="42">
        <f>Plantilla!Q17</f>
        <v>6</v>
      </c>
      <c r="G16" s="43">
        <f t="shared" si="68"/>
        <v>0.92582009977255142</v>
      </c>
      <c r="H16" s="43">
        <f t="shared" si="69"/>
        <v>0.99928545900129484</v>
      </c>
      <c r="I16" s="140">
        <f ca="1">Plantilla!N17</f>
        <v>0.80411380674691235</v>
      </c>
      <c r="J16" s="34">
        <f>Plantilla!I17</f>
        <v>4.8</v>
      </c>
      <c r="K16" s="41">
        <f>Plantilla!X17</f>
        <v>0</v>
      </c>
      <c r="L16" s="41">
        <f>Plantilla!Y17</f>
        <v>5</v>
      </c>
      <c r="M16" s="41">
        <f>Plantilla!Z17</f>
        <v>11</v>
      </c>
      <c r="N16" s="41">
        <f>Plantilla!AA17</f>
        <v>2</v>
      </c>
      <c r="O16" s="41">
        <f>Plantilla!AB17</f>
        <v>4.041666666666667</v>
      </c>
      <c r="P16" s="41">
        <f>Plantilla!AC17</f>
        <v>5</v>
      </c>
      <c r="Q16" s="41">
        <f>Plantilla!AD17</f>
        <v>12</v>
      </c>
      <c r="R16" s="41">
        <f t="shared" si="70"/>
        <v>2.010416666666667</v>
      </c>
      <c r="S16" s="41">
        <f t="shared" si="71"/>
        <v>0.61</v>
      </c>
      <c r="T16" s="41">
        <f t="shared" si="72"/>
        <v>0.55999999999999994</v>
      </c>
      <c r="U16" s="41">
        <f t="shared" ca="1" si="73"/>
        <v>12.695248362536519</v>
      </c>
      <c r="V16" s="41">
        <f t="shared" ca="1" si="74"/>
        <v>13.702637359255203</v>
      </c>
      <c r="W16" s="32">
        <f t="shared" ca="1" si="75"/>
        <v>2.8749561535952379</v>
      </c>
      <c r="X16" s="32">
        <f t="shared" ca="1" si="76"/>
        <v>4.3357541744461079</v>
      </c>
      <c r="Y16" s="32">
        <f t="shared" ca="1" si="77"/>
        <v>2.8749561535952379</v>
      </c>
      <c r="Z16" s="32">
        <f t="shared" ca="1" si="78"/>
        <v>3.4636166955958108</v>
      </c>
      <c r="AA16" s="32">
        <f t="shared" ca="1" si="79"/>
        <v>6.7124354565810282</v>
      </c>
      <c r="AB16" s="32">
        <f t="shared" ca="1" si="80"/>
        <v>1.7318083477979054</v>
      </c>
      <c r="AC16" s="32">
        <f t="shared" ca="1" si="81"/>
        <v>3.0255596386662846</v>
      </c>
      <c r="AD16" s="32">
        <f t="shared" ca="1" si="82"/>
        <v>2.5373006025876288</v>
      </c>
      <c r="AE16" s="32">
        <f t="shared" ca="1" si="83"/>
        <v>4.853090835108083</v>
      </c>
      <c r="AF16" s="32">
        <f t="shared" ca="1" si="84"/>
        <v>1.2686503012938144</v>
      </c>
      <c r="AG16" s="32">
        <f t="shared" ca="1" si="85"/>
        <v>4.8942876507836957</v>
      </c>
      <c r="AH16" s="32">
        <f t="shared" ca="1" si="86"/>
        <v>6.1754406200545464</v>
      </c>
      <c r="AI16" s="32">
        <f t="shared" ca="1" si="87"/>
        <v>2.7789482790245454</v>
      </c>
      <c r="AJ16" s="32">
        <f t="shared" ca="1" si="88"/>
        <v>2.122976721249032</v>
      </c>
      <c r="AK16" s="32">
        <f t="shared" ca="1" si="89"/>
        <v>2.1829120484696447</v>
      </c>
      <c r="AL16" s="32">
        <f t="shared" ca="1" si="90"/>
        <v>5.061176334262095</v>
      </c>
      <c r="AM16" s="32">
        <f t="shared" ca="1" si="91"/>
        <v>4.7524043032593681</v>
      </c>
      <c r="AN16" s="32">
        <f t="shared" ca="1" si="92"/>
        <v>2.2899767212490318</v>
      </c>
      <c r="AO16" s="32">
        <f t="shared" ca="1" si="93"/>
        <v>1.0721814114953363</v>
      </c>
      <c r="AP16" s="32">
        <f t="shared" ca="1" si="94"/>
        <v>1.8123575732768777</v>
      </c>
      <c r="AQ16" s="32">
        <f t="shared" ca="1" si="95"/>
        <v>3.9871866612091305</v>
      </c>
      <c r="AR16" s="32">
        <f t="shared" ca="1" si="96"/>
        <v>0.90617878663843887</v>
      </c>
      <c r="AS16" s="32">
        <f t="shared" ca="1" si="97"/>
        <v>12.00053907101249</v>
      </c>
      <c r="AT16" s="32">
        <f t="shared" ca="1" si="98"/>
        <v>0.74803327602220038</v>
      </c>
      <c r="AU16" s="32">
        <f t="shared" ca="1" si="99"/>
        <v>1.8517435887782412</v>
      </c>
      <c r="AV16" s="32">
        <f t="shared" ca="1" si="100"/>
        <v>0.37401663801110019</v>
      </c>
      <c r="AW16" s="32">
        <f t="shared" ca="1" si="101"/>
        <v>1.2686503012938144</v>
      </c>
      <c r="AX16" s="32">
        <f t="shared" ca="1" si="102"/>
        <v>2.6849741826324114</v>
      </c>
      <c r="AY16" s="32">
        <f t="shared" ca="1" si="103"/>
        <v>0.6343251506469072</v>
      </c>
      <c r="AZ16" s="32">
        <f t="shared" ca="1" si="104"/>
        <v>12.712435456581028</v>
      </c>
      <c r="BA16" s="32">
        <f t="shared" ca="1" si="105"/>
        <v>1.4557878371816668</v>
      </c>
      <c r="BB16" s="32">
        <f t="shared" ca="1" si="106"/>
        <v>3.3717602699094802</v>
      </c>
      <c r="BC16" s="32">
        <f t="shared" ca="1" si="107"/>
        <v>0.72789391859083341</v>
      </c>
      <c r="BD16" s="32">
        <f t="shared" ca="1" si="108"/>
        <v>1.953318717865079</v>
      </c>
      <c r="BE16" s="32">
        <f t="shared" ca="1" si="109"/>
        <v>2.3359275388901977</v>
      </c>
      <c r="BF16" s="32">
        <f t="shared" ca="1" si="110"/>
        <v>11.199655637247886</v>
      </c>
      <c r="BG16" s="32">
        <f t="shared" ca="1" si="111"/>
        <v>3.9434801209005346</v>
      </c>
      <c r="BH16" s="32">
        <f t="shared" ca="1" si="112"/>
        <v>1.3867386117026945</v>
      </c>
      <c r="BI16" s="32">
        <f t="shared" ca="1" si="113"/>
        <v>3.2555311964417988</v>
      </c>
      <c r="BJ16" s="32">
        <f t="shared" ca="1" si="114"/>
        <v>1.7720829605373916</v>
      </c>
      <c r="BK16" s="32">
        <f t="shared" ca="1" si="115"/>
        <v>4.8434379089573723</v>
      </c>
      <c r="BL16" s="32">
        <f t="shared" ca="1" si="116"/>
        <v>3.6550435890518194</v>
      </c>
      <c r="BM16" s="32">
        <f t="shared" ca="1" si="117"/>
        <v>0.29921331040888016</v>
      </c>
      <c r="BN16" s="32">
        <f t="shared" ca="1" si="118"/>
        <v>1.208238382184585</v>
      </c>
      <c r="BO16" s="32">
        <f t="shared" ca="1" si="119"/>
        <v>0.45644561104750997</v>
      </c>
      <c r="BP16" s="32">
        <f t="shared" ca="1" si="120"/>
        <v>3.8772928142572134</v>
      </c>
      <c r="BQ16" s="32">
        <f t="shared" ca="1" si="121"/>
        <v>5.3581086638298689</v>
      </c>
      <c r="BR16" s="32">
        <f t="shared" ca="1" si="122"/>
        <v>0.77680378663843885</v>
      </c>
      <c r="BS16" s="32">
        <f t="shared" ca="1" si="123"/>
        <v>1.9063316696690118</v>
      </c>
      <c r="BT16" s="32">
        <f t="shared" ca="1" si="124"/>
        <v>1.6378342514057709</v>
      </c>
      <c r="BU16" s="32">
        <f t="shared" ca="1" si="125"/>
        <v>8.0215467731026298</v>
      </c>
      <c r="BV16" s="32">
        <f t="shared" ca="1" si="126"/>
        <v>3.7166714003066872</v>
      </c>
      <c r="BW16" s="32">
        <f t="shared" ca="1" si="127"/>
        <v>0.85160711424065882</v>
      </c>
      <c r="BX16" s="32">
        <f t="shared" ca="1" si="128"/>
        <v>5.1612487953718977</v>
      </c>
      <c r="BY16" s="32">
        <f t="shared" ca="1" si="129"/>
        <v>2.8255955395453825</v>
      </c>
      <c r="BZ16" s="32">
        <f t="shared" ca="1" si="130"/>
        <v>7.0378273241102383</v>
      </c>
      <c r="CA16" s="32">
        <f t="shared" ca="1" si="131"/>
        <v>2.8255955395453825</v>
      </c>
      <c r="CB16" s="32">
        <f t="shared" ca="1" si="132"/>
        <v>3.3827639561166474</v>
      </c>
      <c r="CC16" s="32">
        <f t="shared" ca="1" si="133"/>
        <v>8.8356991400594271</v>
      </c>
      <c r="CD16" s="32">
        <f t="shared" ca="1" si="134"/>
        <v>3.3827639561166474</v>
      </c>
      <c r="CE16" s="32">
        <f t="shared" ca="1" si="135"/>
        <v>3.1781088641452571</v>
      </c>
    </row>
    <row r="17" spans="1:83" x14ac:dyDescent="0.25">
      <c r="A17" t="str">
        <f>Plantilla!D18</f>
        <v>Fernando Gazón</v>
      </c>
      <c r="B17">
        <f>Plantilla!E18</f>
        <v>22</v>
      </c>
      <c r="C17" s="30">
        <f ca="1">Plantilla!F18</f>
        <v>95</v>
      </c>
      <c r="D17" s="134" t="str">
        <f>Plantilla!G18</f>
        <v>IMP</v>
      </c>
      <c r="E17" s="28">
        <f>Plantilla!M18</f>
        <v>43045</v>
      </c>
      <c r="F17" s="42">
        <f>Plantilla!Q18</f>
        <v>5</v>
      </c>
      <c r="G17" s="43">
        <f t="shared" si="68"/>
        <v>0.84515425472851657</v>
      </c>
      <c r="H17" s="43">
        <f t="shared" si="69"/>
        <v>0.92504826128926143</v>
      </c>
      <c r="I17" s="140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</v>
      </c>
      <c r="M17" s="41">
        <f>Plantilla!Z18</f>
        <v>6</v>
      </c>
      <c r="N17" s="41">
        <f>Plantilla!AA18</f>
        <v>6</v>
      </c>
      <c r="O17" s="41">
        <f>Plantilla!AB18</f>
        <v>4.3125</v>
      </c>
      <c r="P17" s="41">
        <f>Plantilla!AC18</f>
        <v>5.6190261437908475</v>
      </c>
      <c r="Q17" s="41">
        <f>Plantilla!AD18</f>
        <v>3</v>
      </c>
      <c r="R17" s="41">
        <f t="shared" si="70"/>
        <v>1.953125</v>
      </c>
      <c r="S17" s="41">
        <f t="shared" si="71"/>
        <v>0.37095130718954239</v>
      </c>
      <c r="T17" s="41">
        <f t="shared" si="72"/>
        <v>0.25</v>
      </c>
      <c r="U17" s="41">
        <f t="shared" ca="1" si="73"/>
        <v>3.8290446075219</v>
      </c>
      <c r="V17" s="41">
        <f t="shared" ca="1" si="74"/>
        <v>4.1910113293163818</v>
      </c>
      <c r="W17" s="32">
        <f t="shared" ca="1" si="75"/>
        <v>2.4402021700942518</v>
      </c>
      <c r="X17" s="32">
        <f t="shared" ca="1" si="76"/>
        <v>3.6759874015941341</v>
      </c>
      <c r="Y17" s="32">
        <f t="shared" ca="1" si="77"/>
        <v>2.4402021700942518</v>
      </c>
      <c r="Z17" s="32">
        <f t="shared" ca="1" si="78"/>
        <v>2.853782725966362</v>
      </c>
      <c r="AA17" s="32">
        <f t="shared" ca="1" si="79"/>
        <v>5.5305866782293833</v>
      </c>
      <c r="AB17" s="32">
        <f t="shared" ca="1" si="80"/>
        <v>1.426891362983181</v>
      </c>
      <c r="AC17" s="32">
        <f t="shared" ca="1" si="81"/>
        <v>1.7922796294185932</v>
      </c>
      <c r="AD17" s="32">
        <f t="shared" ca="1" si="82"/>
        <v>2.0905617643707068</v>
      </c>
      <c r="AE17" s="32">
        <f t="shared" ca="1" si="83"/>
        <v>3.9986141683598442</v>
      </c>
      <c r="AF17" s="32">
        <f t="shared" ca="1" si="84"/>
        <v>1.0452808821853534</v>
      </c>
      <c r="AG17" s="32">
        <f t="shared" ca="1" si="85"/>
        <v>2.8992758711183129</v>
      </c>
      <c r="AH17" s="32">
        <f t="shared" ca="1" si="86"/>
        <v>5.0881397439710332</v>
      </c>
      <c r="AI17" s="32">
        <f t="shared" ca="1" si="87"/>
        <v>2.2896628847869644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4.170062355384955</v>
      </c>
      <c r="AM17" s="32">
        <f t="shared" ca="1" si="91"/>
        <v>3.9156553681864033</v>
      </c>
      <c r="AN17" s="32">
        <f t="shared" ca="1" si="92"/>
        <v>0.75660797526430701</v>
      </c>
      <c r="AO17" s="32">
        <f t="shared" ca="1" si="93"/>
        <v>1.0033089633300623</v>
      </c>
      <c r="AP17" s="32">
        <f t="shared" ca="1" si="94"/>
        <v>1.4932584031219336</v>
      </c>
      <c r="AQ17" s="32">
        <f t="shared" ca="1" si="95"/>
        <v>3.2851684868682534</v>
      </c>
      <c r="AR17" s="32">
        <f t="shared" ca="1" si="96"/>
        <v>0.74662920156096679</v>
      </c>
      <c r="AS17" s="32">
        <f t="shared" ca="1" si="97"/>
        <v>7.1088738242485379</v>
      </c>
      <c r="AT17" s="32">
        <f t="shared" ca="1" si="98"/>
        <v>0.75960126816981988</v>
      </c>
      <c r="AU17" s="32">
        <f t="shared" ca="1" si="99"/>
        <v>1.9380534195970258</v>
      </c>
      <c r="AV17" s="32">
        <f t="shared" ca="1" si="100"/>
        <v>0.37980063408490994</v>
      </c>
      <c r="AW17" s="32">
        <f t="shared" ca="1" si="101"/>
        <v>1.0452808821853534</v>
      </c>
      <c r="AX17" s="32">
        <f t="shared" ca="1" si="102"/>
        <v>2.2122346712917533</v>
      </c>
      <c r="AY17" s="32">
        <f t="shared" ca="1" si="103"/>
        <v>0.52264044109267671</v>
      </c>
      <c r="AZ17" s="32">
        <f t="shared" ca="1" si="104"/>
        <v>7.5305866782293833</v>
      </c>
      <c r="BA17" s="32">
        <f t="shared" ca="1" si="105"/>
        <v>1.478300929592034</v>
      </c>
      <c r="BB17" s="32">
        <f t="shared" ca="1" si="106"/>
        <v>3.4939112499004681</v>
      </c>
      <c r="BC17" s="32">
        <f t="shared" ca="1" si="107"/>
        <v>0.73915046479601698</v>
      </c>
      <c r="BD17" s="32">
        <f t="shared" ca="1" si="108"/>
        <v>1.6094007233647505</v>
      </c>
      <c r="BE17" s="32">
        <f t="shared" ca="1" si="109"/>
        <v>1.9246441640238252</v>
      </c>
      <c r="BF17" s="32">
        <f t="shared" ca="1" si="110"/>
        <v>6.6344468635200871</v>
      </c>
      <c r="BG17" s="32">
        <f t="shared" ca="1" si="111"/>
        <v>6.1631290569459214</v>
      </c>
      <c r="BH17" s="32">
        <f t="shared" ca="1" si="112"/>
        <v>1.4081838894532814</v>
      </c>
      <c r="BI17" s="32">
        <f t="shared" ca="1" si="113"/>
        <v>2.6823345389412507</v>
      </c>
      <c r="BJ17" s="32">
        <f t="shared" ca="1" si="114"/>
        <v>1.4600748830525572</v>
      </c>
      <c r="BK17" s="32">
        <f t="shared" ca="1" si="115"/>
        <v>2.869153524405395</v>
      </c>
      <c r="BL17" s="32">
        <f t="shared" ca="1" si="116"/>
        <v>6.2425452567724813</v>
      </c>
      <c r="BM17" s="32">
        <f t="shared" ca="1" si="117"/>
        <v>0.30384050726792794</v>
      </c>
      <c r="BN17" s="32">
        <f t="shared" ca="1" si="118"/>
        <v>0.99550560208128891</v>
      </c>
      <c r="BO17" s="32">
        <f t="shared" ca="1" si="119"/>
        <v>0.37607989411959808</v>
      </c>
      <c r="BP17" s="32">
        <f t="shared" ca="1" si="120"/>
        <v>2.2968289368599617</v>
      </c>
      <c r="BQ17" s="32">
        <f t="shared" ca="1" si="121"/>
        <v>9.2017094682029867</v>
      </c>
      <c r="BR17" s="32">
        <f t="shared" ca="1" si="122"/>
        <v>0.78881670156096684</v>
      </c>
      <c r="BS17" s="32">
        <f t="shared" ca="1" si="123"/>
        <v>1.5706866166171447</v>
      </c>
      <c r="BT17" s="32">
        <f t="shared" ca="1" si="124"/>
        <v>1.3494631494879694</v>
      </c>
      <c r="BU17" s="32">
        <f t="shared" ca="1" si="125"/>
        <v>4.7518001939627412</v>
      </c>
      <c r="BV17" s="32">
        <f t="shared" ca="1" si="126"/>
        <v>6.4141875770152978</v>
      </c>
      <c r="BW17" s="32">
        <f t="shared" ca="1" si="127"/>
        <v>0.86477682837794867</v>
      </c>
      <c r="BX17" s="32">
        <f t="shared" ca="1" si="128"/>
        <v>3.0574181913611298</v>
      </c>
      <c r="BY17" s="32">
        <f t="shared" ca="1" si="129"/>
        <v>3.4531769796189464</v>
      </c>
      <c r="BZ17" s="32">
        <f t="shared" ca="1" si="130"/>
        <v>7.3410203415163497</v>
      </c>
      <c r="CA17" s="32">
        <f t="shared" ca="1" si="131"/>
        <v>3.4531769796189464</v>
      </c>
      <c r="CB17" s="32">
        <f t="shared" ca="1" si="132"/>
        <v>4.3528772979225261</v>
      </c>
      <c r="CC17" s="32">
        <f t="shared" ca="1" si="133"/>
        <v>9.3057118062868724</v>
      </c>
      <c r="CD17" s="32">
        <f t="shared" ca="1" si="134"/>
        <v>4.3528772979225261</v>
      </c>
      <c r="CE17" s="32">
        <f t="shared" ca="1" si="135"/>
        <v>1.8826466695573458</v>
      </c>
    </row>
    <row r="18" spans="1:83" x14ac:dyDescent="0.25">
      <c r="A18" t="str">
        <f>Plantilla!D19</f>
        <v>Miklós Gábriel</v>
      </c>
      <c r="B18">
        <f>Plantilla!E19</f>
        <v>31</v>
      </c>
      <c r="C18" s="30">
        <f ca="1">Plantilla!F19</f>
        <v>20</v>
      </c>
      <c r="D18" s="134" t="str">
        <f>Plantilla!G19</f>
        <v>RAP</v>
      </c>
      <c r="E18" s="28">
        <f>Plantilla!M19</f>
        <v>43420</v>
      </c>
      <c r="F18" s="42">
        <f>Plantilla!Q19</f>
        <v>5</v>
      </c>
      <c r="G18" s="43">
        <f t="shared" si="68"/>
        <v>0.84515425472851657</v>
      </c>
      <c r="H18" s="43">
        <f t="shared" si="69"/>
        <v>0.92504826128926143</v>
      </c>
      <c r="I18" s="140">
        <f ca="1">Plantilla!N19</f>
        <v>0.79330649725408453</v>
      </c>
      <c r="J18" s="34">
        <f>Plantilla!I19</f>
        <v>6.6</v>
      </c>
      <c r="K18" s="41">
        <f>Plantilla!X19</f>
        <v>0</v>
      </c>
      <c r="L18" s="41">
        <f>Plantilla!Y19</f>
        <v>5</v>
      </c>
      <c r="M18" s="41">
        <f>Plantilla!Z19</f>
        <v>2</v>
      </c>
      <c r="N18" s="41">
        <f>Plantilla!AA19</f>
        <v>4</v>
      </c>
      <c r="O18" s="41">
        <f>Plantilla!AB19</f>
        <v>7.2</v>
      </c>
      <c r="P18" s="41">
        <f>Plantilla!AC19</f>
        <v>10</v>
      </c>
      <c r="Q18" s="41">
        <f>Plantilla!AD19</f>
        <v>14</v>
      </c>
      <c r="R18" s="41">
        <f t="shared" si="70"/>
        <v>2.8</v>
      </c>
      <c r="S18" s="41">
        <f t="shared" si="71"/>
        <v>0.91999999999999993</v>
      </c>
      <c r="T18" s="41">
        <f t="shared" si="72"/>
        <v>0.62</v>
      </c>
      <c r="U18" s="41">
        <f t="shared" ca="1" si="73"/>
        <v>13.426147319737515</v>
      </c>
      <c r="V18" s="41">
        <f t="shared" ca="1" si="74"/>
        <v>14.695346044168243</v>
      </c>
      <c r="W18" s="32">
        <f t="shared" ca="1" si="75"/>
        <v>3.0265057130735507</v>
      </c>
      <c r="X18" s="32">
        <f t="shared" ca="1" si="76"/>
        <v>4.5598669823344258</v>
      </c>
      <c r="Y18" s="32">
        <f t="shared" ca="1" si="77"/>
        <v>3.0265057130735507</v>
      </c>
      <c r="Z18" s="32">
        <f t="shared" ca="1" si="78"/>
        <v>3.5531923802359131</v>
      </c>
      <c r="AA18" s="32">
        <f t="shared" ca="1" si="79"/>
        <v>6.8860317446432422</v>
      </c>
      <c r="AB18" s="32">
        <f t="shared" ca="1" si="80"/>
        <v>1.7765961901179566</v>
      </c>
      <c r="AC18" s="32">
        <f t="shared" ca="1" si="81"/>
        <v>0.92487555522509168</v>
      </c>
      <c r="AD18" s="32">
        <f t="shared" ca="1" si="82"/>
        <v>2.6029199994751457</v>
      </c>
      <c r="AE18" s="32">
        <f t="shared" ca="1" si="83"/>
        <v>4.9786009513770644</v>
      </c>
      <c r="AF18" s="32">
        <f t="shared" ca="1" si="84"/>
        <v>1.3014599997375729</v>
      </c>
      <c r="AG18" s="32">
        <f t="shared" ca="1" si="85"/>
        <v>1.4961222216876484</v>
      </c>
      <c r="AH18" s="32">
        <f t="shared" ca="1" si="86"/>
        <v>6.335149205071783</v>
      </c>
      <c r="AI18" s="32">
        <f t="shared" ca="1" si="87"/>
        <v>2.8508171422823021</v>
      </c>
      <c r="AJ18" s="32">
        <f t="shared" ca="1" si="88"/>
        <v>0.64896730135542158</v>
      </c>
      <c r="AK18" s="32">
        <f t="shared" ca="1" si="89"/>
        <v>3.4609866658502262</v>
      </c>
      <c r="AL18" s="32">
        <f t="shared" ca="1" si="90"/>
        <v>5.1920679354610044</v>
      </c>
      <c r="AM18" s="32">
        <f t="shared" ca="1" si="91"/>
        <v>4.8753104752074155</v>
      </c>
      <c r="AN18" s="32">
        <f t="shared" ca="1" si="92"/>
        <v>2.6529673013554218</v>
      </c>
      <c r="AO18" s="32">
        <f t="shared" ca="1" si="93"/>
        <v>1.3495771424572538</v>
      </c>
      <c r="AP18" s="32">
        <f t="shared" ca="1" si="94"/>
        <v>1.8592285710536756</v>
      </c>
      <c r="AQ18" s="32">
        <f t="shared" ca="1" si="95"/>
        <v>4.0903028563180861</v>
      </c>
      <c r="AR18" s="32">
        <f t="shared" ca="1" si="96"/>
        <v>0.92961428552683778</v>
      </c>
      <c r="AS18" s="32">
        <f t="shared" ca="1" si="97"/>
        <v>3.6684139669432207</v>
      </c>
      <c r="AT18" s="32">
        <f t="shared" ca="1" si="98"/>
        <v>1.1811841268036216</v>
      </c>
      <c r="AU18" s="32">
        <f t="shared" ca="1" si="99"/>
        <v>3.1466073011804703</v>
      </c>
      <c r="AV18" s="32">
        <f t="shared" ca="1" si="100"/>
        <v>0.59059206340181081</v>
      </c>
      <c r="AW18" s="32">
        <f t="shared" ca="1" si="101"/>
        <v>1.3014599997375729</v>
      </c>
      <c r="AX18" s="32">
        <f t="shared" ca="1" si="102"/>
        <v>2.7544126978572971</v>
      </c>
      <c r="AY18" s="32">
        <f t="shared" ca="1" si="103"/>
        <v>0.65072999986878644</v>
      </c>
      <c r="AZ18" s="32">
        <f t="shared" ca="1" si="104"/>
        <v>3.8860317446432426</v>
      </c>
      <c r="BA18" s="32">
        <f t="shared" ca="1" si="105"/>
        <v>2.2987660313947407</v>
      </c>
      <c r="BB18" s="32">
        <f t="shared" ca="1" si="106"/>
        <v>5.5944034912984275</v>
      </c>
      <c r="BC18" s="32">
        <f t="shared" ca="1" si="107"/>
        <v>1.1493830156973703</v>
      </c>
      <c r="BD18" s="32">
        <f t="shared" ca="1" si="108"/>
        <v>2.0038352376911832</v>
      </c>
      <c r="BE18" s="32">
        <f t="shared" ca="1" si="109"/>
        <v>2.3963390471358483</v>
      </c>
      <c r="BF18" s="32">
        <f t="shared" ca="1" si="110"/>
        <v>3.4235939670306967</v>
      </c>
      <c r="BG18" s="32">
        <f t="shared" ca="1" si="111"/>
        <v>6.2406822209878428</v>
      </c>
      <c r="BH18" s="32">
        <f t="shared" ca="1" si="112"/>
        <v>2.1897336504590217</v>
      </c>
      <c r="BI18" s="32">
        <f t="shared" ca="1" si="113"/>
        <v>3.3397253961519722</v>
      </c>
      <c r="BJ18" s="32">
        <f t="shared" ca="1" si="114"/>
        <v>1.8179123805858159</v>
      </c>
      <c r="BK18" s="32">
        <f t="shared" ca="1" si="115"/>
        <v>1.4805780947090754</v>
      </c>
      <c r="BL18" s="32">
        <f t="shared" ca="1" si="116"/>
        <v>5.7875917448181937</v>
      </c>
      <c r="BM18" s="32">
        <f t="shared" ca="1" si="117"/>
        <v>0.47247365072144865</v>
      </c>
      <c r="BN18" s="32">
        <f t="shared" ca="1" si="118"/>
        <v>1.2394857140357836</v>
      </c>
      <c r="BO18" s="32">
        <f t="shared" ca="1" si="119"/>
        <v>0.46825015863574049</v>
      </c>
      <c r="BP18" s="32">
        <f t="shared" ca="1" si="120"/>
        <v>1.185239682116189</v>
      </c>
      <c r="BQ18" s="32">
        <f t="shared" ca="1" si="121"/>
        <v>8.4846368236112095</v>
      </c>
      <c r="BR18" s="32">
        <f t="shared" ca="1" si="122"/>
        <v>1.2266142855268378</v>
      </c>
      <c r="BS18" s="32">
        <f t="shared" ca="1" si="123"/>
        <v>1.9556330154786805</v>
      </c>
      <c r="BT18" s="32">
        <f t="shared" ca="1" si="124"/>
        <v>1.6801917456929512</v>
      </c>
      <c r="BU18" s="32">
        <f t="shared" ca="1" si="125"/>
        <v>2.4520860308698862</v>
      </c>
      <c r="BV18" s="32">
        <f t="shared" ca="1" si="126"/>
        <v>5.8855984114557023</v>
      </c>
      <c r="BW18" s="32">
        <f t="shared" ca="1" si="127"/>
        <v>1.3447326982071999</v>
      </c>
      <c r="BX18" s="32">
        <f t="shared" ca="1" si="128"/>
        <v>1.5777288883251566</v>
      </c>
      <c r="BY18" s="32">
        <f t="shared" ca="1" si="129"/>
        <v>4.6286225389591298</v>
      </c>
      <c r="BZ18" s="32">
        <f t="shared" ca="1" si="130"/>
        <v>11.863271744468291</v>
      </c>
      <c r="CA18" s="32">
        <f t="shared" ca="1" si="131"/>
        <v>4.6286225389591298</v>
      </c>
      <c r="CB18" s="32">
        <f t="shared" ca="1" si="132"/>
        <v>5.6813977769127399</v>
      </c>
      <c r="CC18" s="32">
        <f t="shared" ca="1" si="133"/>
        <v>15.2387774584166</v>
      </c>
      <c r="CD18" s="32">
        <f t="shared" ca="1" si="134"/>
        <v>5.6813977769127399</v>
      </c>
      <c r="CE18" s="32">
        <f t="shared" ca="1" si="135"/>
        <v>0.97150793616081066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58</v>
      </c>
      <c r="D19" s="134" t="str">
        <f>Plantilla!G20</f>
        <v>IMP</v>
      </c>
      <c r="E19" s="28">
        <f>Plantilla!M20</f>
        <v>43417</v>
      </c>
      <c r="F19" s="42">
        <f>Plantilla!Q20</f>
        <v>7</v>
      </c>
      <c r="G19" s="43">
        <f t="shared" ref="G19" si="136">(F19/7)^0.5</f>
        <v>1</v>
      </c>
      <c r="H19" s="43">
        <f t="shared" ref="H19" si="137">IF(F19=7,1,((F19+0.99)/7)^0.5)</f>
        <v>1</v>
      </c>
      <c r="I19" s="140">
        <f ca="1">Plantilla!N20</f>
        <v>0.79980074422980452</v>
      </c>
      <c r="J19" s="34">
        <f>Plantilla!I20</f>
        <v>6.3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9.1111111111111107</v>
      </c>
      <c r="P19" s="41">
        <f>Plantilla!AC20</f>
        <v>8.9499999999999993</v>
      </c>
      <c r="Q19" s="41">
        <f>Plantilla!AD20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14.865588143501247</v>
      </c>
      <c r="V19" s="41">
        <f t="shared" ca="1" si="74"/>
        <v>14.865588143501247</v>
      </c>
      <c r="W19" s="32">
        <f t="shared" ca="1" si="75"/>
        <v>3.2846584492765887</v>
      </c>
      <c r="X19" s="32">
        <f t="shared" ca="1" si="76"/>
        <v>4.9584742932601094</v>
      </c>
      <c r="Y19" s="32">
        <f t="shared" ca="1" si="77"/>
        <v>3.2846584492765887</v>
      </c>
      <c r="Z19" s="32">
        <f t="shared" ca="1" si="78"/>
        <v>4.0586434820466435</v>
      </c>
      <c r="AA19" s="32">
        <f t="shared" ca="1" si="79"/>
        <v>7.8655881435012462</v>
      </c>
      <c r="AB19" s="32">
        <f t="shared" ca="1" si="80"/>
        <v>2.0293217410233217</v>
      </c>
      <c r="AC19" s="32">
        <f t="shared" ca="1" si="81"/>
        <v>0.92000997815329655</v>
      </c>
      <c r="AD19" s="32">
        <f t="shared" ca="1" si="82"/>
        <v>2.9731923182434712</v>
      </c>
      <c r="AE19" s="32">
        <f t="shared" ca="1" si="83"/>
        <v>5.6868202277514008</v>
      </c>
      <c r="AF19" s="32">
        <f t="shared" ca="1" si="84"/>
        <v>1.4865961591217356</v>
      </c>
      <c r="AG19" s="32">
        <f t="shared" ca="1" si="85"/>
        <v>1.4882514352479799</v>
      </c>
      <c r="AH19" s="32">
        <f t="shared" ca="1" si="86"/>
        <v>7.2363410920211466</v>
      </c>
      <c r="AI19" s="32">
        <f t="shared" ca="1" si="87"/>
        <v>3.2563534914095156</v>
      </c>
      <c r="AJ19" s="32">
        <f t="shared" ca="1" si="88"/>
        <v>0.64555321996470816</v>
      </c>
      <c r="AK19" s="32">
        <f t="shared" ca="1" si="89"/>
        <v>4.6249658283787323</v>
      </c>
      <c r="AL19" s="32">
        <f t="shared" ca="1" si="90"/>
        <v>5.9306534601999399</v>
      </c>
      <c r="AM19" s="32">
        <f t="shared" ca="1" si="91"/>
        <v>5.5688364055988817</v>
      </c>
      <c r="AN19" s="32">
        <f t="shared" ca="1" si="92"/>
        <v>2.4825532199647085</v>
      </c>
      <c r="AO19" s="32">
        <f t="shared" ca="1" si="93"/>
        <v>1.5172893853283587</v>
      </c>
      <c r="AP19" s="32">
        <f t="shared" ca="1" si="94"/>
        <v>2.1237087987453367</v>
      </c>
      <c r="AQ19" s="32">
        <f t="shared" ca="1" si="95"/>
        <v>4.6721593572397397</v>
      </c>
      <c r="AR19" s="32">
        <f t="shared" ca="1" si="96"/>
        <v>1.0618543993726683</v>
      </c>
      <c r="AS19" s="32">
        <f t="shared" ca="1" si="97"/>
        <v>3.6491152074651763</v>
      </c>
      <c r="AT19" s="32">
        <f t="shared" ca="1" si="98"/>
        <v>1.4269709030996065</v>
      </c>
      <c r="AU19" s="32">
        <f t="shared" ca="1" si="99"/>
        <v>3.1883006593791983</v>
      </c>
      <c r="AV19" s="32">
        <f t="shared" ca="1" si="100"/>
        <v>0.71348545154980325</v>
      </c>
      <c r="AW19" s="32">
        <f t="shared" ca="1" si="101"/>
        <v>1.4865961591217356</v>
      </c>
      <c r="AX19" s="32">
        <f t="shared" ca="1" si="102"/>
        <v>3.1462352574004986</v>
      </c>
      <c r="AY19" s="32">
        <f t="shared" ca="1" si="103"/>
        <v>0.7432980795608678</v>
      </c>
      <c r="AZ19" s="32">
        <f t="shared" ca="1" si="104"/>
        <v>3.8655881435012462</v>
      </c>
      <c r="BA19" s="32">
        <f t="shared" ca="1" si="105"/>
        <v>2.7771049114169264</v>
      </c>
      <c r="BB19" s="32">
        <f t="shared" ca="1" si="106"/>
        <v>6.0143279559580751</v>
      </c>
      <c r="BC19" s="32">
        <f t="shared" ca="1" si="107"/>
        <v>1.3885524557084632</v>
      </c>
      <c r="BD19" s="32">
        <f t="shared" ca="1" si="108"/>
        <v>2.2888861497588624</v>
      </c>
      <c r="BE19" s="32">
        <f t="shared" ca="1" si="109"/>
        <v>2.7372246739384334</v>
      </c>
      <c r="BF19" s="32">
        <f t="shared" ca="1" si="110"/>
        <v>3.405583154424598</v>
      </c>
      <c r="BG19" s="32">
        <f t="shared" ca="1" si="111"/>
        <v>7.9725078595726071</v>
      </c>
      <c r="BH19" s="32">
        <f t="shared" ca="1" si="112"/>
        <v>2.6453845203615782</v>
      </c>
      <c r="BI19" s="32">
        <f t="shared" ca="1" si="113"/>
        <v>3.8148102495981044</v>
      </c>
      <c r="BJ19" s="32">
        <f t="shared" ca="1" si="114"/>
        <v>2.0765152698843292</v>
      </c>
      <c r="BK19" s="32">
        <f t="shared" ca="1" si="115"/>
        <v>1.4727890826739749</v>
      </c>
      <c r="BL19" s="32">
        <f t="shared" ca="1" si="116"/>
        <v>7.4998573707534231</v>
      </c>
      <c r="BM19" s="32">
        <f t="shared" ca="1" si="117"/>
        <v>0.57078836123984256</v>
      </c>
      <c r="BN19" s="32">
        <f t="shared" ca="1" si="118"/>
        <v>1.4158058658302242</v>
      </c>
      <c r="BO19" s="32">
        <f t="shared" ca="1" si="119"/>
        <v>0.5348599937580848</v>
      </c>
      <c r="BP19" s="32">
        <f t="shared" ca="1" si="120"/>
        <v>1.1790043837678801</v>
      </c>
      <c r="BQ19" s="32">
        <f t="shared" ca="1" si="121"/>
        <v>11.004924130320379</v>
      </c>
      <c r="BR19" s="32">
        <f t="shared" ca="1" si="122"/>
        <v>1.4818543993726685</v>
      </c>
      <c r="BS19" s="32">
        <f t="shared" ca="1" si="123"/>
        <v>2.2338270327543537</v>
      </c>
      <c r="BT19" s="32">
        <f t="shared" ca="1" si="124"/>
        <v>1.9192035070143041</v>
      </c>
      <c r="BU19" s="32">
        <f t="shared" ca="1" si="125"/>
        <v>2.4391861185492862</v>
      </c>
      <c r="BV19" s="32">
        <f t="shared" ca="1" si="126"/>
        <v>7.6401458328780594</v>
      </c>
      <c r="BW19" s="32">
        <f t="shared" ca="1" si="127"/>
        <v>1.624551489682629</v>
      </c>
      <c r="BX19" s="32">
        <f t="shared" ca="1" si="128"/>
        <v>1.5694287862615062</v>
      </c>
      <c r="BY19" s="32">
        <f t="shared" ca="1" si="129"/>
        <v>5.2503992005419269</v>
      </c>
      <c r="BZ19" s="32">
        <f t="shared" ca="1" si="130"/>
        <v>12.265835582915738</v>
      </c>
      <c r="CA19" s="32">
        <f t="shared" ca="1" si="131"/>
        <v>5.2503992005419269</v>
      </c>
      <c r="CB19" s="32">
        <f t="shared" ca="1" si="132"/>
        <v>6.109039191179054</v>
      </c>
      <c r="CC19" s="32">
        <f t="shared" ca="1" si="133"/>
        <v>14.865990168453205</v>
      </c>
      <c r="CD19" s="32">
        <f t="shared" ca="1" si="134"/>
        <v>6.109039191179054</v>
      </c>
      <c r="CE19" s="32">
        <f t="shared" ca="1" si="135"/>
        <v>0.96639703587531156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33</v>
      </c>
      <c r="D20" s="134" t="str">
        <f>Plantilla!G21</f>
        <v>CAB</v>
      </c>
      <c r="E20" s="28">
        <f>Plantilla!M21</f>
        <v>43590</v>
      </c>
      <c r="F20" s="42">
        <f>Plantilla!Q21</f>
        <v>7</v>
      </c>
      <c r="G20" s="43">
        <f t="shared" ref="G20" si="138">(F20/7)^0.5</f>
        <v>1</v>
      </c>
      <c r="H20" s="43">
        <f t="shared" ref="H20" si="139">IF(F20=7,1,((F20+0.99)/7)^0.5)</f>
        <v>1</v>
      </c>
      <c r="I20" s="140">
        <f ca="1">Plantilla!N21</f>
        <v>0.34601748551657119</v>
      </c>
      <c r="J20" s="34">
        <f>Plantilla!I21</f>
        <v>5.9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9.1428571428571423</v>
      </c>
      <c r="P20" s="41">
        <f>Plantilla!AC21</f>
        <v>12</v>
      </c>
      <c r="Q20" s="41">
        <f>Plantilla!AD21</f>
        <v>0</v>
      </c>
      <c r="R20" s="41">
        <f t="shared" si="70"/>
        <v>3.2857142857142856</v>
      </c>
      <c r="S20" s="41">
        <f t="shared" si="71"/>
        <v>0.6</v>
      </c>
      <c r="T20" s="41">
        <f t="shared" si="72"/>
        <v>0.2</v>
      </c>
      <c r="U20" s="41">
        <f t="shared" ca="1" si="73"/>
        <v>1.3738201677060968</v>
      </c>
      <c r="V20" s="41">
        <f t="shared" ca="1" si="74"/>
        <v>1.3738201677060968</v>
      </c>
      <c r="W20" s="32">
        <f t="shared" ca="1" si="75"/>
        <v>2.5793450064074226</v>
      </c>
      <c r="X20" s="32">
        <f t="shared" ca="1" si="76"/>
        <v>3.8986018365085706</v>
      </c>
      <c r="Y20" s="32">
        <f t="shared" ca="1" si="77"/>
        <v>2.5793450064074226</v>
      </c>
      <c r="Z20" s="32">
        <f t="shared" ca="1" si="78"/>
        <v>3.2888912065363458</v>
      </c>
      <c r="AA20" s="32">
        <f t="shared" ca="1" si="79"/>
        <v>6.3738201677060964</v>
      </c>
      <c r="AB20" s="32">
        <f t="shared" ca="1" si="80"/>
        <v>1.6444456032681729</v>
      </c>
      <c r="AC20" s="32">
        <f t="shared" ca="1" si="81"/>
        <v>1.7549691999140509</v>
      </c>
      <c r="AD20" s="32">
        <f t="shared" ca="1" si="82"/>
        <v>2.4093040233929046</v>
      </c>
      <c r="AE20" s="32">
        <f t="shared" ca="1" si="83"/>
        <v>4.6082719812515078</v>
      </c>
      <c r="AF20" s="32">
        <f t="shared" ca="1" si="84"/>
        <v>1.2046520116964523</v>
      </c>
      <c r="AG20" s="32">
        <f t="shared" ca="1" si="85"/>
        <v>2.8389207645668471</v>
      </c>
      <c r="AH20" s="32">
        <f t="shared" ca="1" si="86"/>
        <v>5.8639145542896092</v>
      </c>
      <c r="AI20" s="32">
        <f t="shared" ca="1" si="87"/>
        <v>2.6387615494303236</v>
      </c>
      <c r="AJ20" s="32">
        <f t="shared" ca="1" si="88"/>
        <v>1.2314279680069182</v>
      </c>
      <c r="AK20" s="32">
        <f t="shared" ca="1" si="89"/>
        <v>3.7478062586111847</v>
      </c>
      <c r="AL20" s="32">
        <f t="shared" ca="1" si="90"/>
        <v>4.8058604064503969</v>
      </c>
      <c r="AM20" s="32">
        <f t="shared" ca="1" si="91"/>
        <v>4.5126646787359164</v>
      </c>
      <c r="AN20" s="32">
        <f t="shared" ca="1" si="92"/>
        <v>0.22942796800691817</v>
      </c>
      <c r="AO20" s="32">
        <f t="shared" ca="1" si="93"/>
        <v>1.3419459225850701</v>
      </c>
      <c r="AP20" s="32">
        <f t="shared" ca="1" si="94"/>
        <v>1.7209314452806461</v>
      </c>
      <c r="AQ20" s="32">
        <f t="shared" ca="1" si="95"/>
        <v>3.7860491796174212</v>
      </c>
      <c r="AR20" s="32">
        <f t="shared" ca="1" si="96"/>
        <v>0.86046572264032306</v>
      </c>
      <c r="AS20" s="32">
        <f t="shared" ca="1" si="97"/>
        <v>6.9608862383145542</v>
      </c>
      <c r="AT20" s="32">
        <f t="shared" ca="1" si="98"/>
        <v>1.3671680503732211</v>
      </c>
      <c r="AU20" s="32">
        <f t="shared" ca="1" si="99"/>
        <v>3.5756721662807429</v>
      </c>
      <c r="AV20" s="32">
        <f t="shared" ca="1" si="100"/>
        <v>0.68358402518661054</v>
      </c>
      <c r="AW20" s="32">
        <f t="shared" ca="1" si="101"/>
        <v>1.2046520116964523</v>
      </c>
      <c r="AX20" s="32">
        <f t="shared" ca="1" si="102"/>
        <v>2.5495280670824387</v>
      </c>
      <c r="AY20" s="32">
        <f t="shared" ca="1" si="103"/>
        <v>0.60232600584822615</v>
      </c>
      <c r="AZ20" s="32">
        <f t="shared" ca="1" si="104"/>
        <v>7.3738201677060964</v>
      </c>
      <c r="BA20" s="32">
        <f t="shared" ca="1" si="105"/>
        <v>2.6607193595724996</v>
      </c>
      <c r="BB20" s="32">
        <f t="shared" ca="1" si="106"/>
        <v>6.3946891981203446</v>
      </c>
      <c r="BC20" s="32">
        <f t="shared" ca="1" si="107"/>
        <v>1.3303596797862498</v>
      </c>
      <c r="BD20" s="32">
        <f t="shared" ca="1" si="108"/>
        <v>1.8547816688024739</v>
      </c>
      <c r="BE20" s="32">
        <f t="shared" ca="1" si="109"/>
        <v>2.2180894183617212</v>
      </c>
      <c r="BF20" s="32">
        <f t="shared" ca="1" si="110"/>
        <v>6.4963355677490711</v>
      </c>
      <c r="BG20" s="32">
        <f t="shared" ca="1" si="111"/>
        <v>6.9713261290907189</v>
      </c>
      <c r="BH20" s="32">
        <f t="shared" ca="1" si="112"/>
        <v>2.5345192318457404</v>
      </c>
      <c r="BI20" s="32">
        <f t="shared" ca="1" si="113"/>
        <v>3.0913027813374567</v>
      </c>
      <c r="BJ20" s="32">
        <f t="shared" ca="1" si="114"/>
        <v>1.6826885242744096</v>
      </c>
      <c r="BK20" s="32">
        <f t="shared" ca="1" si="115"/>
        <v>2.8094254838960229</v>
      </c>
      <c r="BL20" s="32">
        <f t="shared" ca="1" si="116"/>
        <v>6.4034331122894148</v>
      </c>
      <c r="BM20" s="32">
        <f t="shared" ca="1" si="117"/>
        <v>0.54686722014928835</v>
      </c>
      <c r="BN20" s="32">
        <f t="shared" ca="1" si="118"/>
        <v>1.1472876301870973</v>
      </c>
      <c r="BO20" s="32">
        <f t="shared" ca="1" si="119"/>
        <v>0.43341977140401461</v>
      </c>
      <c r="BP20" s="32">
        <f t="shared" ca="1" si="120"/>
        <v>2.2490151511503593</v>
      </c>
      <c r="BQ20" s="32">
        <f t="shared" ca="1" si="121"/>
        <v>9.3815898785271834</v>
      </c>
      <c r="BR20" s="32">
        <f t="shared" ca="1" si="122"/>
        <v>1.4197514369260373</v>
      </c>
      <c r="BS20" s="32">
        <f t="shared" ca="1" si="123"/>
        <v>1.8101649276285312</v>
      </c>
      <c r="BT20" s="32">
        <f t="shared" ca="1" si="124"/>
        <v>1.5552121209202874</v>
      </c>
      <c r="BU20" s="32">
        <f t="shared" ca="1" si="125"/>
        <v>4.652880525822547</v>
      </c>
      <c r="BV20" s="32">
        <f t="shared" ca="1" si="126"/>
        <v>6.5041404786683845</v>
      </c>
      <c r="BW20" s="32">
        <f t="shared" ca="1" si="127"/>
        <v>1.5564682419633593</v>
      </c>
      <c r="BX20" s="32">
        <f t="shared" ca="1" si="128"/>
        <v>2.9937709880886754</v>
      </c>
      <c r="BY20" s="32">
        <f t="shared" ca="1" si="129"/>
        <v>5.2454745930891615</v>
      </c>
      <c r="BZ20" s="32">
        <f t="shared" ca="1" si="130"/>
        <v>13.507492937408493</v>
      </c>
      <c r="CA20" s="32">
        <f t="shared" ca="1" si="131"/>
        <v>5.2454745930891615</v>
      </c>
      <c r="CB20" s="32">
        <f t="shared" ca="1" si="132"/>
        <v>6.3791756787666118</v>
      </c>
      <c r="CC20" s="32">
        <f t="shared" ca="1" si="133"/>
        <v>17.25447409530393</v>
      </c>
      <c r="CD20" s="32">
        <f t="shared" ca="1" si="134"/>
        <v>6.3791756787666118</v>
      </c>
      <c r="CE20" s="32">
        <f t="shared" ca="1" si="135"/>
        <v>1.8434550419265241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4" priority="20" operator="greaterThan">
      <formula>15</formula>
    </cfRule>
  </conditionalFormatting>
  <conditionalFormatting sqref="R3:R20">
    <cfRule type="cellIs" dxfId="3" priority="19" operator="greaterThan">
      <formula>3.2</formula>
    </cfRule>
  </conditionalFormatting>
  <conditionalFormatting sqref="S3:T20">
    <cfRule type="cellIs" dxfId="2" priority="18" operator="greaterThan">
      <formula>0.6</formula>
    </cfRule>
  </conditionalFormatting>
  <conditionalFormatting sqref="W3:AI20 AK3:AM20 AO3:BD20 BF3:CE20">
    <cfRule type="cellIs" dxfId="1" priority="17" operator="greaterThan">
      <formula>12.5</formula>
    </cfRule>
  </conditionalFormatting>
  <conditionalFormatting sqref="J3:J20">
    <cfRule type="cellIs" dxfId="0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A18" sqref="A18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375</v>
      </c>
      <c r="L1" s="134"/>
      <c r="M1" s="134"/>
      <c r="N1" s="134"/>
      <c r="W1" s="47"/>
    </row>
    <row r="2" spans="1:23" x14ac:dyDescent="0.25">
      <c r="B2" s="28">
        <v>43636</v>
      </c>
      <c r="L2" s="134"/>
      <c r="M2" s="134"/>
      <c r="N2" s="134"/>
      <c r="U2" s="141"/>
      <c r="W2" s="47"/>
    </row>
    <row r="3" spans="1:23" x14ac:dyDescent="0.25">
      <c r="A3" s="10" t="s">
        <v>376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42">
        <v>1</v>
      </c>
      <c r="M3" s="142">
        <v>0.5</v>
      </c>
      <c r="N3" s="10" t="s">
        <v>377</v>
      </c>
      <c r="O3" s="144" t="s">
        <v>378</v>
      </c>
      <c r="P3" s="144" t="s">
        <v>379</v>
      </c>
      <c r="Q3" s="144" t="s">
        <v>47</v>
      </c>
      <c r="R3" s="144" t="s">
        <v>380</v>
      </c>
      <c r="S3" s="143" t="s">
        <v>62</v>
      </c>
      <c r="T3" s="149" t="s">
        <v>381</v>
      </c>
      <c r="U3" s="74" t="s">
        <v>85</v>
      </c>
      <c r="W3" s="47"/>
    </row>
    <row r="4" spans="1:23" x14ac:dyDescent="0.25">
      <c r="A4" s="145" t="str">
        <f>Plantilla!A4</f>
        <v>#1</v>
      </c>
      <c r="B4" s="146" t="str">
        <f>Plantilla!D4</f>
        <v>Cosme Fonteboa</v>
      </c>
      <c r="C4" s="145">
        <f>Plantilla!E4</f>
        <v>22</v>
      </c>
      <c r="D4" s="148">
        <f ca="1">Plantilla!F4</f>
        <v>65</v>
      </c>
      <c r="E4" s="41">
        <f>Plantilla!X4</f>
        <v>15</v>
      </c>
      <c r="F4" s="41">
        <f>Plantilla!Y4</f>
        <v>10.571428571428571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7"/>
      <c r="M4" s="147"/>
      <c r="N4" s="147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5" t="str">
        <f>Plantilla!A5</f>
        <v>#19</v>
      </c>
      <c r="B5" s="146" t="str">
        <f>Plantilla!D5</f>
        <v>Nicolae Hornet</v>
      </c>
      <c r="C5" s="145">
        <f>Plantilla!E5</f>
        <v>22</v>
      </c>
      <c r="D5" s="148">
        <f ca="1">Plantilla!F5</f>
        <v>90</v>
      </c>
      <c r="E5" s="41">
        <f>Plantilla!X5</f>
        <v>6</v>
      </c>
      <c r="F5" s="41">
        <f>Plantilla!Y5</f>
        <v>4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7"/>
      <c r="M5" s="147"/>
      <c r="N5" s="147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5" t="str">
        <f>Plantilla!A6</f>
        <v>#2</v>
      </c>
      <c r="B6" s="146" t="str">
        <f>Plantilla!D6</f>
        <v>Miguel Fernández</v>
      </c>
      <c r="C6" s="145">
        <f>Plantilla!E6</f>
        <v>22</v>
      </c>
      <c r="D6" s="148">
        <f ca="1">Plantilla!F6</f>
        <v>62</v>
      </c>
      <c r="E6" s="41">
        <f>Plantilla!X6</f>
        <v>0</v>
      </c>
      <c r="F6" s="41">
        <f>Plantilla!Y6</f>
        <v>14.625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7">
        <f>1/3</f>
        <v>0.33333333333333331</v>
      </c>
      <c r="M6" s="147">
        <f t="shared" ref="M6:M15" si="0">L6/2</f>
        <v>0.16666666666666666</v>
      </c>
      <c r="N6" s="147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5" t="str">
        <f>Plantilla!A7</f>
        <v>#13</v>
      </c>
      <c r="B7" s="146" t="str">
        <f>Plantilla!D7</f>
        <v>Iván Real Figueroa</v>
      </c>
      <c r="C7" s="145">
        <f>Plantilla!E7</f>
        <v>22</v>
      </c>
      <c r="D7" s="148">
        <f ca="1">Plantilla!F7</f>
        <v>43</v>
      </c>
      <c r="E7" s="41">
        <f>Plantilla!X7</f>
        <v>0</v>
      </c>
      <c r="F7" s="41">
        <f>Plantilla!Y7</f>
        <v>14.5625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7">
        <f>1/4</f>
        <v>0.25</v>
      </c>
      <c r="M7" s="147">
        <f t="shared" si="0"/>
        <v>0.125</v>
      </c>
      <c r="N7" s="147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5" t="str">
        <f>Plantilla!A8</f>
        <v>#4</v>
      </c>
      <c r="B8" s="146" t="str">
        <f>Plantilla!D8</f>
        <v>Berto Abandero</v>
      </c>
      <c r="C8" s="145">
        <f>Plantilla!E8</f>
        <v>22</v>
      </c>
      <c r="D8" s="148">
        <f ca="1">Plantilla!F8</f>
        <v>93</v>
      </c>
      <c r="E8" s="41">
        <f>Plantilla!X8</f>
        <v>0</v>
      </c>
      <c r="F8" s="41">
        <f>Plantilla!Y8</f>
        <v>12.545454545454545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7">
        <f>1/4</f>
        <v>0.25</v>
      </c>
      <c r="M8" s="147">
        <f t="shared" si="0"/>
        <v>0.125</v>
      </c>
      <c r="N8" s="147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5" t="str">
        <f>Plantilla!A9</f>
        <v>#2</v>
      </c>
      <c r="B9" s="146" t="str">
        <f>Plantilla!D9</f>
        <v>Guillermo Pedrajas</v>
      </c>
      <c r="C9" s="145">
        <f>Plantilla!E9</f>
        <v>22</v>
      </c>
      <c r="D9" s="148">
        <f ca="1">Plantilla!F9</f>
        <v>78</v>
      </c>
      <c r="E9" s="41">
        <f>Plantilla!X9</f>
        <v>0</v>
      </c>
      <c r="F9" s="41">
        <f>Plantilla!Y9</f>
        <v>10.444444444444445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7">
        <f>1/3</f>
        <v>0.33333333333333331</v>
      </c>
      <c r="M9" s="147">
        <f t="shared" si="0"/>
        <v>0.16666666666666666</v>
      </c>
      <c r="N9" s="147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5" t="str">
        <f>Plantilla!A10</f>
        <v>#23</v>
      </c>
      <c r="B10" s="146" t="str">
        <f>Plantilla!D10</f>
        <v>Eckardt Hägerling</v>
      </c>
      <c r="C10" s="145">
        <f>Plantilla!E10</f>
        <v>22</v>
      </c>
      <c r="D10" s="148">
        <f ca="1">Plantilla!F10</f>
        <v>54</v>
      </c>
      <c r="E10" s="41">
        <f>Plantilla!X10</f>
        <v>0</v>
      </c>
      <c r="F10" s="41">
        <f>Plantilla!Y10</f>
        <v>6.25</v>
      </c>
      <c r="G10" s="41">
        <f>Plantilla!Z10</f>
        <v>3</v>
      </c>
      <c r="H10" s="41">
        <f>Plantilla!AA10</f>
        <v>6.15</v>
      </c>
      <c r="I10" s="41">
        <f>Plantilla!AB10</f>
        <v>3</v>
      </c>
      <c r="J10" s="41">
        <f>Plantilla!AC10</f>
        <v>4.6633333333333322</v>
      </c>
      <c r="K10" s="41">
        <f>Plantilla!AD10</f>
        <v>3</v>
      </c>
      <c r="L10" s="147"/>
      <c r="M10" s="147"/>
      <c r="N10" s="147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5" t="str">
        <f>Plantilla!A11</f>
        <v>#9</v>
      </c>
      <c r="B11" s="146" t="str">
        <f>Plantilla!D11</f>
        <v>Francesc Añigas</v>
      </c>
      <c r="C11" s="145">
        <f>Plantilla!E11</f>
        <v>22</v>
      </c>
      <c r="D11" s="148">
        <f ca="1">Plantilla!F11</f>
        <v>58</v>
      </c>
      <c r="E11" s="41">
        <f>Plantilla!X11</f>
        <v>0</v>
      </c>
      <c r="F11" s="41">
        <f>Plantilla!Y11</f>
        <v>11.777777777777779</v>
      </c>
      <c r="G11" s="41">
        <f>Plantilla!Z11</f>
        <v>4</v>
      </c>
      <c r="H11" s="41">
        <f>Plantilla!AA11</f>
        <v>12.666666666666666</v>
      </c>
      <c r="I11" s="41">
        <f>Plantilla!AB11</f>
        <v>4.5</v>
      </c>
      <c r="J11" s="41">
        <f>Plantilla!AC11</f>
        <v>7</v>
      </c>
      <c r="K11" s="41">
        <f>Plantilla!AD11</f>
        <v>3</v>
      </c>
      <c r="L11" s="147">
        <f>1/7</f>
        <v>0.14285714285714285</v>
      </c>
      <c r="M11" s="147">
        <f t="shared" si="0"/>
        <v>7.1428571428571425E-2</v>
      </c>
      <c r="N11" s="147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5" t="str">
        <f>Plantilla!A12</f>
        <v>#3</v>
      </c>
      <c r="B12" s="146" t="str">
        <f>Plantilla!D12</f>
        <v>Will Duffill</v>
      </c>
      <c r="C12" s="145">
        <f>Plantilla!E12</f>
        <v>22</v>
      </c>
      <c r="D12" s="148">
        <f ca="1">Plantilla!F12</f>
        <v>19</v>
      </c>
      <c r="E12" s="41">
        <f>Plantilla!X12</f>
        <v>0</v>
      </c>
      <c r="F12" s="41">
        <f>Plantilla!Y12</f>
        <v>10.857142857142858</v>
      </c>
      <c r="G12" s="41">
        <f>Plantilla!Z12</f>
        <v>3</v>
      </c>
      <c r="H12" s="41">
        <f>Plantilla!AA12</f>
        <v>13</v>
      </c>
      <c r="I12" s="41">
        <f>Plantilla!AB12</f>
        <v>7.25</v>
      </c>
      <c r="J12" s="41">
        <f>Plantilla!AC12</f>
        <v>7</v>
      </c>
      <c r="K12" s="41">
        <f>Plantilla!AD12</f>
        <v>3</v>
      </c>
      <c r="L12" s="147">
        <f>1/8</f>
        <v>0.125</v>
      </c>
      <c r="M12" s="147">
        <f t="shared" si="0"/>
        <v>6.25E-2</v>
      </c>
      <c r="N12" s="147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5" t="str">
        <f>Plantilla!A13</f>
        <v>#5</v>
      </c>
      <c r="B13" s="146" t="str">
        <f>Plantilla!D13</f>
        <v>Valeri Gomis</v>
      </c>
      <c r="C13" s="145">
        <f>Plantilla!E13</f>
        <v>22</v>
      </c>
      <c r="D13" s="148">
        <f ca="1">Plantilla!F13</f>
        <v>58</v>
      </c>
      <c r="E13" s="41">
        <f>Plantilla!X13</f>
        <v>0</v>
      </c>
      <c r="F13" s="41">
        <f>Plantilla!Y13</f>
        <v>10.428571428571429</v>
      </c>
      <c r="G13" s="41">
        <f>Plantilla!Z13</f>
        <v>3</v>
      </c>
      <c r="H13" s="41">
        <f>Plantilla!AA13</f>
        <v>12</v>
      </c>
      <c r="I13" s="41">
        <f>Plantilla!AB13</f>
        <v>6.2000000000000011</v>
      </c>
      <c r="J13" s="41">
        <f>Plantilla!AC13</f>
        <v>7.25</v>
      </c>
      <c r="K13" s="41">
        <f>Plantilla!AD13</f>
        <v>3</v>
      </c>
      <c r="L13" s="147">
        <f>1/7</f>
        <v>0.14285714285714285</v>
      </c>
      <c r="M13" s="147">
        <f t="shared" si="0"/>
        <v>7.1428571428571425E-2</v>
      </c>
      <c r="N13" s="147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5" t="str">
        <f>Plantilla!A14</f>
        <v>#8</v>
      </c>
      <c r="B14" s="146" t="str">
        <f>Plantilla!D14</f>
        <v>Enrique Cubas</v>
      </c>
      <c r="C14" s="145">
        <f>Plantilla!E14</f>
        <v>22</v>
      </c>
      <c r="D14" s="148">
        <f ca="1">Plantilla!F14</f>
        <v>54</v>
      </c>
      <c r="E14" s="41">
        <f>Plantilla!X14</f>
        <v>0</v>
      </c>
      <c r="F14" s="41">
        <f>Plantilla!Y14</f>
        <v>9</v>
      </c>
      <c r="G14" s="41">
        <f>Plantilla!Z14</f>
        <v>5.7</v>
      </c>
      <c r="H14" s="41">
        <f>Plantilla!AA14</f>
        <v>14.124999999999996</v>
      </c>
      <c r="I14" s="41">
        <f>Plantilla!AB14</f>
        <v>6.2</v>
      </c>
      <c r="J14" s="41">
        <f>Plantilla!AC14</f>
        <v>7.5</v>
      </c>
      <c r="K14" s="41">
        <f>Plantilla!AD14</f>
        <v>5</v>
      </c>
      <c r="L14" s="147">
        <f>1/9</f>
        <v>0.1111111111111111</v>
      </c>
      <c r="M14" s="147">
        <f t="shared" si="0"/>
        <v>5.5555555555555552E-2</v>
      </c>
      <c r="N14" s="147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5" t="str">
        <f>Plantilla!A15</f>
        <v>#11</v>
      </c>
      <c r="B15" s="146" t="str">
        <f>Plantilla!D15</f>
        <v>J. G. Peñuela</v>
      </c>
      <c r="C15" s="145">
        <f>Plantilla!E15</f>
        <v>22</v>
      </c>
      <c r="D15" s="148">
        <f ca="1">Plantilla!F15</f>
        <v>54</v>
      </c>
      <c r="E15" s="41">
        <f>Plantilla!X15</f>
        <v>0</v>
      </c>
      <c r="F15" s="41">
        <f>Plantilla!Y15</f>
        <v>9.4285714285714288</v>
      </c>
      <c r="G15" s="41">
        <f>Plantilla!Z15</f>
        <v>5</v>
      </c>
      <c r="H15" s="41">
        <f>Plantilla!AA15</f>
        <v>13.19</v>
      </c>
      <c r="I15" s="41">
        <f>Plantilla!AB15</f>
        <v>5.25</v>
      </c>
      <c r="J15" s="41">
        <f>Plantilla!AC15</f>
        <v>7.8016666666666676</v>
      </c>
      <c r="K15" s="41">
        <f>Plantilla!AD15</f>
        <v>3</v>
      </c>
      <c r="L15" s="147">
        <f>1/8</f>
        <v>0.125</v>
      </c>
      <c r="M15" s="147">
        <f t="shared" si="0"/>
        <v>6.25E-2</v>
      </c>
      <c r="N15" s="147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5" t="str">
        <f>Plantilla!A16</f>
        <v>#12</v>
      </c>
      <c r="B16" s="146" t="str">
        <f>Plantilla!D16</f>
        <v>David Garcia-Spiess</v>
      </c>
      <c r="C16" s="145">
        <f>Plantilla!E16</f>
        <v>30</v>
      </c>
      <c r="D16" s="148">
        <f ca="1">Plantilla!F16</f>
        <v>23</v>
      </c>
      <c r="E16" s="41">
        <f>Plantilla!X16</f>
        <v>0</v>
      </c>
      <c r="F16" s="41">
        <f>Plantilla!Y16</f>
        <v>9</v>
      </c>
      <c r="G16" s="41">
        <f>Plantilla!Z16</f>
        <v>13</v>
      </c>
      <c r="H16" s="41">
        <f>Plantilla!AA16</f>
        <v>6</v>
      </c>
      <c r="I16" s="41">
        <f>Plantilla!AB16</f>
        <v>7.1428571428571432</v>
      </c>
      <c r="J16" s="41">
        <f>Plantilla!AC16</f>
        <v>7</v>
      </c>
      <c r="K16" s="41">
        <f>Plantilla!AD16</f>
        <v>17</v>
      </c>
      <c r="L16" s="147"/>
      <c r="M16" s="147"/>
      <c r="N16" s="147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5" t="str">
        <f>Plantilla!A17</f>
        <v>#26</v>
      </c>
      <c r="B17" s="146" t="str">
        <f>Plantilla!D17</f>
        <v>Fabien Fabre</v>
      </c>
      <c r="C17" s="145">
        <f>Plantilla!E17</f>
        <v>31</v>
      </c>
      <c r="D17" s="148">
        <f ca="1">Plantilla!F17</f>
        <v>28</v>
      </c>
      <c r="E17" s="41">
        <f>Plantilla!X17</f>
        <v>0</v>
      </c>
      <c r="F17" s="41">
        <f>Plantilla!Y17</f>
        <v>5</v>
      </c>
      <c r="G17" s="41">
        <f>Plantilla!Z17</f>
        <v>11</v>
      </c>
      <c r="H17" s="41">
        <f>Plantilla!AA17</f>
        <v>2</v>
      </c>
      <c r="I17" s="41">
        <f>Plantilla!AB17</f>
        <v>4.041666666666667</v>
      </c>
      <c r="J17" s="41">
        <f>Plantilla!AC17</f>
        <v>5</v>
      </c>
      <c r="K17" s="41">
        <f>Plantilla!AD17</f>
        <v>12</v>
      </c>
      <c r="L17" s="147"/>
      <c r="M17" s="147"/>
      <c r="N17" s="147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5" t="str">
        <f>Plantilla!A18</f>
        <v>#21</v>
      </c>
      <c r="B18" s="146" t="str">
        <f>Plantilla!D18</f>
        <v>Fernando Gazón</v>
      </c>
      <c r="C18" s="145">
        <f>Plantilla!E18</f>
        <v>22</v>
      </c>
      <c r="D18" s="148">
        <f ca="1">Plantilla!F18</f>
        <v>95</v>
      </c>
      <c r="E18" s="41">
        <f>Plantilla!X18</f>
        <v>0</v>
      </c>
      <c r="F18" s="41">
        <f>Plantilla!Y18</f>
        <v>4</v>
      </c>
      <c r="G18" s="41">
        <f>Plantilla!Z18</f>
        <v>6</v>
      </c>
      <c r="H18" s="41">
        <f>Plantilla!AA18</f>
        <v>6</v>
      </c>
      <c r="I18" s="41">
        <f>Plantilla!AB18</f>
        <v>4.3125</v>
      </c>
      <c r="J18" s="41">
        <f>Plantilla!AC18</f>
        <v>5.6190261437908475</v>
      </c>
      <c r="K18" s="41">
        <f>Plantilla!AD18</f>
        <v>3</v>
      </c>
      <c r="L18" s="147"/>
      <c r="M18" s="147"/>
      <c r="N18" s="147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5" t="str">
        <f>Plantilla!A19</f>
        <v>#36</v>
      </c>
      <c r="B19" s="146" t="str">
        <f>Plantilla!D19</f>
        <v>Miklós Gábriel</v>
      </c>
      <c r="C19" s="145">
        <f>Plantilla!E19</f>
        <v>31</v>
      </c>
      <c r="D19" s="148">
        <f ca="1">Plantilla!F19</f>
        <v>20</v>
      </c>
      <c r="E19" s="41">
        <f>Plantilla!X19</f>
        <v>0</v>
      </c>
      <c r="F19" s="41">
        <f>Plantilla!Y19</f>
        <v>5</v>
      </c>
      <c r="G19" s="41">
        <f>Plantilla!Z19</f>
        <v>2</v>
      </c>
      <c r="H19" s="41">
        <f>Plantilla!AA19</f>
        <v>4</v>
      </c>
      <c r="I19" s="41">
        <f>Plantilla!AB19</f>
        <v>7.2</v>
      </c>
      <c r="J19" s="41">
        <f>Plantilla!AC19</f>
        <v>10</v>
      </c>
      <c r="K19" s="41">
        <f>Plantilla!AD19</f>
        <v>14</v>
      </c>
      <c r="L19" s="147"/>
      <c r="M19" s="147"/>
      <c r="N19" s="147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5" t="str">
        <f>Plantilla!A20</f>
        <v>#38</v>
      </c>
      <c r="B20" s="146" t="str">
        <f>Plantilla!D20</f>
        <v>Emilio Rojas</v>
      </c>
      <c r="C20" s="145">
        <f>Plantilla!E20</f>
        <v>31</v>
      </c>
      <c r="D20" s="148">
        <f ca="1">Plantilla!F20</f>
        <v>58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9.1111111111111107</v>
      </c>
      <c r="J20" s="41">
        <f>Plantilla!AC20</f>
        <v>8.9499999999999993</v>
      </c>
      <c r="K20" s="41">
        <f>Plantilla!AD20</f>
        <v>13</v>
      </c>
      <c r="L20" s="147"/>
      <c r="M20" s="147"/>
      <c r="N20" s="147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5" t="str">
        <f>Plantilla!A21</f>
        <v>#25</v>
      </c>
      <c r="B21" s="146" t="str">
        <f>Plantilla!D21</f>
        <v>Leo Hilpinen</v>
      </c>
      <c r="C21" s="145">
        <f>Plantilla!E21</f>
        <v>30</v>
      </c>
      <c r="D21" s="148">
        <f ca="1">Plantilla!F21</f>
        <v>33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9.1428571428571423</v>
      </c>
      <c r="J21" s="41">
        <f>Plantilla!AC21</f>
        <v>12</v>
      </c>
      <c r="K21" s="41">
        <f>Plantilla!AD21</f>
        <v>0</v>
      </c>
      <c r="L21" s="147"/>
      <c r="M21" s="147"/>
      <c r="N21" s="147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9"/>
      <c r="D22" s="60"/>
      <c r="G22" s="47"/>
      <c r="H22" s="46"/>
      <c r="J22" s="47"/>
      <c r="K22" s="47"/>
      <c r="M22" s="80"/>
      <c r="Q22" s="47"/>
      <c r="R22" s="47"/>
      <c r="S22" s="47"/>
      <c r="T22" s="134"/>
      <c r="U22" s="47"/>
      <c r="V22" s="47"/>
      <c r="W22" s="47"/>
    </row>
    <row r="23" spans="1:23" x14ac:dyDescent="0.25">
      <c r="C23" s="79"/>
      <c r="D23" s="60"/>
      <c r="G23" s="47"/>
      <c r="H23" s="46"/>
      <c r="J23" s="47"/>
      <c r="K23" s="47"/>
      <c r="M23" s="80"/>
      <c r="Q23" s="47"/>
      <c r="R23" s="47"/>
      <c r="S23" s="47"/>
      <c r="T23" s="134"/>
      <c r="U23" s="47"/>
      <c r="V23" s="47"/>
      <c r="W23" s="47"/>
    </row>
    <row r="24" spans="1:23" x14ac:dyDescent="0.25">
      <c r="C24" s="79"/>
      <c r="D24" s="60"/>
      <c r="G24" s="47"/>
      <c r="H24" s="46"/>
      <c r="J24" s="47"/>
      <c r="K24" s="47"/>
      <c r="M24" s="80"/>
      <c r="Q24" s="47"/>
      <c r="R24" s="47"/>
      <c r="S24" s="47"/>
      <c r="T24" s="134"/>
      <c r="U24" s="47"/>
      <c r="V24" s="47"/>
      <c r="W24" s="47"/>
    </row>
    <row r="25" spans="1:23" x14ac:dyDescent="0.25">
      <c r="C25" s="79"/>
      <c r="D25" s="60"/>
      <c r="G25" s="47"/>
      <c r="H25" s="46"/>
      <c r="J25" s="47"/>
      <c r="K25" s="47"/>
      <c r="M25" s="80"/>
      <c r="Q25" s="47"/>
      <c r="R25" s="47"/>
      <c r="S25" s="47"/>
      <c r="T25" s="134"/>
      <c r="U25" s="47"/>
      <c r="V25" s="47"/>
      <c r="W25" s="47"/>
    </row>
    <row r="26" spans="1:23" x14ac:dyDescent="0.25">
      <c r="C26" s="79"/>
      <c r="D26" s="60"/>
      <c r="G26" s="47"/>
      <c r="H26" s="46"/>
      <c r="J26" s="47"/>
      <c r="K26" s="47"/>
      <c r="M26" s="80"/>
      <c r="Q26" s="47"/>
      <c r="R26" s="47"/>
      <c r="S26" s="47"/>
      <c r="T26" s="134"/>
      <c r="U26" s="47"/>
      <c r="V26" s="47"/>
      <c r="W26" s="47"/>
    </row>
    <row r="27" spans="1:23" x14ac:dyDescent="0.25">
      <c r="C27" s="79"/>
      <c r="D27" s="60"/>
      <c r="G27" s="47"/>
      <c r="H27" s="46"/>
      <c r="J27" s="47"/>
      <c r="K27" s="47"/>
      <c r="M27" s="80"/>
      <c r="Q27" s="47"/>
      <c r="R27" s="47"/>
      <c r="S27" s="47"/>
      <c r="T27" s="134"/>
      <c r="U27" s="47"/>
      <c r="V27" s="47"/>
      <c r="W27" s="47"/>
    </row>
    <row r="28" spans="1:23" x14ac:dyDescent="0.25">
      <c r="C28" s="79"/>
      <c r="D28" s="60"/>
      <c r="G28" s="47"/>
      <c r="H28" s="46"/>
      <c r="J28" s="47"/>
      <c r="K28" s="47"/>
      <c r="M28" s="80"/>
      <c r="Q28" s="47"/>
      <c r="R28" s="47"/>
      <c r="S28" s="47"/>
      <c r="T28" s="134"/>
      <c r="U28" s="47"/>
      <c r="V28" s="47"/>
      <c r="W28" s="47"/>
    </row>
    <row r="29" spans="1:23" x14ac:dyDescent="0.25">
      <c r="C29" s="79"/>
      <c r="D29" s="60"/>
      <c r="G29" s="47"/>
      <c r="H29" s="46"/>
      <c r="J29" s="47"/>
      <c r="K29" s="47"/>
      <c r="M29" s="80"/>
      <c r="Q29" s="47"/>
      <c r="R29" s="47"/>
      <c r="S29" s="47"/>
      <c r="T29" s="134"/>
      <c r="U29" s="47"/>
      <c r="V29" s="47"/>
      <c r="W29" s="47"/>
    </row>
    <row r="30" spans="1:23" x14ac:dyDescent="0.25">
      <c r="C30" s="79"/>
      <c r="D30" s="60"/>
      <c r="G30" s="47"/>
      <c r="H30" s="46"/>
      <c r="J30" s="47"/>
      <c r="K30" s="47"/>
      <c r="M30" s="80"/>
      <c r="Q30" s="47"/>
      <c r="R30" s="47"/>
      <c r="S30" s="47"/>
      <c r="T30" s="134"/>
      <c r="U30" s="47"/>
      <c r="V30" s="47"/>
      <c r="W30" s="47"/>
    </row>
    <row r="31" spans="1:23" x14ac:dyDescent="0.25">
      <c r="C31" s="79"/>
      <c r="D31" s="60"/>
      <c r="G31" s="47"/>
      <c r="H31" s="46"/>
      <c r="J31" s="47"/>
      <c r="K31" s="47"/>
      <c r="M31" s="80"/>
      <c r="Q31" s="47"/>
      <c r="R31" s="47"/>
      <c r="S31" s="47"/>
      <c r="T31" s="134"/>
      <c r="U31" s="47"/>
      <c r="V31" s="47"/>
      <c r="W31" s="47"/>
    </row>
    <row r="32" spans="1:23" x14ac:dyDescent="0.25">
      <c r="C32" s="79"/>
      <c r="D32" s="60"/>
      <c r="G32" s="47"/>
      <c r="H32" s="46"/>
      <c r="J32" s="47"/>
      <c r="K32" s="47"/>
      <c r="M32" s="80"/>
      <c r="Q32" s="47"/>
      <c r="R32" s="47"/>
      <c r="S32" s="47"/>
      <c r="T32" s="134"/>
      <c r="U32" s="47"/>
      <c r="V32" s="47"/>
      <c r="W32" s="47"/>
    </row>
    <row r="33" spans="3:23" x14ac:dyDescent="0.25">
      <c r="C33" s="79"/>
      <c r="D33" s="60"/>
      <c r="G33" s="47"/>
      <c r="H33" s="46"/>
      <c r="J33" s="47"/>
      <c r="K33" s="47"/>
      <c r="M33" s="80"/>
      <c r="Q33" s="47"/>
      <c r="R33" s="47"/>
      <c r="S33" s="47"/>
      <c r="T33" s="134"/>
      <c r="U33" s="47"/>
      <c r="V33" s="47"/>
      <c r="W33" s="47"/>
    </row>
    <row r="34" spans="3:23" x14ac:dyDescent="0.25">
      <c r="C34" s="79"/>
      <c r="D34" s="60"/>
      <c r="G34" s="47"/>
      <c r="H34" s="46"/>
      <c r="J34" s="47"/>
      <c r="K34" s="47"/>
      <c r="M34" s="80"/>
      <c r="Q34" s="47"/>
      <c r="R34" s="47"/>
      <c r="S34" s="47"/>
      <c r="T34" s="134"/>
      <c r="U34" s="47"/>
      <c r="V34" s="47"/>
      <c r="W34" s="47"/>
    </row>
    <row r="35" spans="3:23" x14ac:dyDescent="0.25">
      <c r="C35" s="79"/>
      <c r="D35" s="60"/>
      <c r="G35" s="47"/>
      <c r="H35" s="46"/>
      <c r="J35" s="47"/>
      <c r="K35" s="47"/>
      <c r="M35" s="80"/>
      <c r="Q35" s="47"/>
      <c r="R35" s="47"/>
      <c r="S35" s="47"/>
      <c r="T35" s="134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T28"/>
  <sheetViews>
    <sheetView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11" sqref="H11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18.71093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6" width="7" bestFit="1" customWidth="1"/>
    <col min="37" max="37" width="8" bestFit="1" customWidth="1"/>
    <col min="38" max="38" width="8.140625" bestFit="1" customWidth="1"/>
    <col min="39" max="39" width="7.5703125" bestFit="1" customWidth="1"/>
    <col min="40" max="41" width="6.5703125" bestFit="1" customWidth="1"/>
    <col min="42" max="42" width="5.28515625" bestFit="1" customWidth="1"/>
    <col min="43" max="43" width="4.85546875" customWidth="1"/>
    <col min="44" max="44" width="3.42578125" bestFit="1" customWidth="1"/>
    <col min="45" max="45" width="3.57031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43654</v>
      </c>
      <c r="I2" s="29">
        <f>AVERAGE(I4:I21)</f>
        <v>4.2666666666666666</v>
      </c>
      <c r="J2" s="29"/>
      <c r="N2" s="32">
        <f ca="1">AVERAGE(N4:N21)</f>
        <v>0.87323444397728112</v>
      </c>
      <c r="O2" s="29">
        <f>AVERAGE(O4:O21)</f>
        <v>5.7833333333333332</v>
      </c>
      <c r="Q2" s="29">
        <f>AVERAGE(Q4:Q21)</f>
        <v>5.5555555555555554</v>
      </c>
      <c r="R2" s="64">
        <f>AVERAGE(R4:R21)</f>
        <v>0.8875762404975136</v>
      </c>
      <c r="S2" s="64">
        <f>AVERAGE(S4:S21)</f>
        <v>0.94923029340368759</v>
      </c>
      <c r="T2" s="33">
        <f>SUM(T4:T21)</f>
        <v>1007520</v>
      </c>
      <c r="U2" s="33">
        <f>SUM(U4:U21)</f>
        <v>57190</v>
      </c>
      <c r="V2" s="33">
        <f>SUM(V4:V21)</f>
        <v>162112</v>
      </c>
      <c r="W2" s="34">
        <f>T2/V2</f>
        <v>6.2149624950651399</v>
      </c>
      <c r="AD2" s="32">
        <f>AVERAGE(AD5:AD21)</f>
        <v>4.9411764705882355</v>
      </c>
      <c r="AE2" s="30">
        <f>AVERAGE(AE5:AE21)</f>
        <v>94.904705882352943</v>
      </c>
      <c r="AF2" s="30">
        <f>AVERAGE(AF5:AF21)</f>
        <v>2014.4444444444443</v>
      </c>
      <c r="AG2" s="29"/>
      <c r="AM2" s="29"/>
      <c r="AN2" s="29"/>
      <c r="AO2" s="29"/>
      <c r="AQ2" s="29"/>
      <c r="AR2" s="29"/>
      <c r="AS2" s="29"/>
    </row>
    <row r="3" spans="1:46" x14ac:dyDescent="0.25">
      <c r="A3" s="10" t="s">
        <v>1</v>
      </c>
      <c r="B3" s="10" t="s">
        <v>2</v>
      </c>
      <c r="C3" s="11" t="s">
        <v>372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105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243</v>
      </c>
      <c r="AF3" s="10" t="s">
        <v>193</v>
      </c>
      <c r="AG3" s="14" t="s">
        <v>21</v>
      </c>
      <c r="AH3" s="14" t="s">
        <v>25</v>
      </c>
      <c r="AI3" s="14" t="s">
        <v>26</v>
      </c>
      <c r="AJ3" s="14" t="s">
        <v>68</v>
      </c>
      <c r="AK3" s="14" t="s">
        <v>99</v>
      </c>
      <c r="AL3" s="14" t="s">
        <v>100</v>
      </c>
      <c r="AM3" s="14" t="s">
        <v>22</v>
      </c>
      <c r="AN3" s="14" t="s">
        <v>23</v>
      </c>
      <c r="AO3" s="14" t="s">
        <v>24</v>
      </c>
      <c r="AP3" s="10" t="s">
        <v>104</v>
      </c>
      <c r="AQ3" s="10" t="s">
        <v>106</v>
      </c>
      <c r="AR3" s="10" t="s">
        <v>102</v>
      </c>
      <c r="AS3" s="10" t="s">
        <v>103</v>
      </c>
      <c r="AT3" s="31" t="s">
        <v>188</v>
      </c>
    </row>
    <row r="4" spans="1:46" x14ac:dyDescent="0.25">
      <c r="A4" s="15" t="s">
        <v>28</v>
      </c>
      <c r="B4" s="23" t="s">
        <v>27</v>
      </c>
      <c r="C4" s="69">
        <f ca="1">((34*112)-(E4*112)-(F4))/112</f>
        <v>11.419642857142858</v>
      </c>
      <c r="D4" s="111" t="s">
        <v>360</v>
      </c>
      <c r="E4" s="1">
        <v>22</v>
      </c>
      <c r="F4" s="2">
        <f ca="1">$D$2-$D$1-1097-112-112</f>
        <v>65</v>
      </c>
      <c r="G4" s="3"/>
      <c r="H4" s="4">
        <v>4</v>
      </c>
      <c r="I4" s="5">
        <v>4.5999999999999996</v>
      </c>
      <c r="J4" s="21">
        <f>LOG(I4)*4/3</f>
        <v>0.8836771089087655</v>
      </c>
      <c r="K4" s="6">
        <f>(H4)*(H4)*(I4)</f>
        <v>73.599999999999994</v>
      </c>
      <c r="L4" s="6">
        <f>(H4+1)*(H4+1)*I4</f>
        <v>114.99999999999999</v>
      </c>
      <c r="M4" s="72">
        <v>43415</v>
      </c>
      <c r="N4" s="73">
        <f t="shared" ref="N4:N9" ca="1" si="0">IF((TODAY()-M4)&gt;335,1,((TODAY()-M4)^0.64)/(336^0.64))</f>
        <v>0.80411380674691235</v>
      </c>
      <c r="O4" s="24">
        <v>6.7</v>
      </c>
      <c r="P4" s="19">
        <f>O4*10+19</f>
        <v>86</v>
      </c>
      <c r="Q4" s="25">
        <v>4</v>
      </c>
      <c r="R4" s="63">
        <f>(Q4/7)^0.5</f>
        <v>0.7559289460184544</v>
      </c>
      <c r="S4" s="63">
        <f>IF(Q4=7,1,((Q4+0.99)/7)^0.5)</f>
        <v>0.84430867747355465</v>
      </c>
      <c r="T4" s="27">
        <v>64070</v>
      </c>
      <c r="U4" s="27">
        <f t="shared" ref="U4:U21" si="1">T4-AT4</f>
        <v>8660</v>
      </c>
      <c r="V4" s="7">
        <v>27520</v>
      </c>
      <c r="W4" s="8">
        <f>T4/V4</f>
        <v>2.328125</v>
      </c>
      <c r="X4" s="20">
        <v>15</v>
      </c>
      <c r="Y4" s="21">
        <f>10+4/7</f>
        <v>10.571428571428571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92.5</v>
      </c>
      <c r="AF4" s="9">
        <v>1752</v>
      </c>
      <c r="AG4" s="8">
        <f t="shared" ref="AG4:AG21" ca="1" si="2">(((Y4+LOG(I4)*4/3+N4)+(AB4+LOG(I4)*4/3+N4)*2)/8)*(Q4/7)^0.5</f>
        <v>1.4773498602278412</v>
      </c>
      <c r="AH4" s="22">
        <f t="shared" ref="AH4" ca="1" si="3">(AD4+1+(LOG(I4)*4/3)+N4)*(Q4/7)^0.5</f>
        <v>2.7877079000080274</v>
      </c>
      <c r="AI4" s="22">
        <f t="shared" ref="AI4" ca="1" si="4">(AD4+1+N4+(LOG(I4)*4/3))*(IF(Q4=7, (Q4/7)^0.5, ((Q4+1)/7)^0.5))</f>
        <v>3.1167521829155684</v>
      </c>
      <c r="AJ4" s="22">
        <f t="shared" ref="AJ4" ca="1" si="5">(Z4+N4+(LOG(I4)*4/3))</f>
        <v>1.6877909156556778</v>
      </c>
      <c r="AK4" s="68">
        <f t="shared" ref="AK4" ca="1" si="6">(Z4+N4+(LOG(I4)*4/3))*(Q4/7)^0.5</f>
        <v>1.2758500079711186</v>
      </c>
      <c r="AL4" s="68">
        <f t="shared" ref="AL4" ca="1" si="7">(Z4+N4+(LOG(I4)*4/3))*(IF(Q4=7, (Q4/7)^0.5, ((Q4+1)/7)^0.5))</f>
        <v>1.4264436734585351</v>
      </c>
      <c r="AM4" s="8">
        <f t="shared" ref="AM4:AM21" ca="1" si="8">(AD4+LOG(I4)*4/3+N4)*0.7+(AC4+LOG(I4)*4/3+N4)*0.3</f>
        <v>2.6877909156556781</v>
      </c>
      <c r="AN4" s="8">
        <f t="shared" ref="AN4:AN21" ca="1" si="9">(0.5*(AC4+LOG(I4)*4/3+N4)+ 0.3*(AD4+LOG(I4)*4/3+N4))/10</f>
        <v>0.21502327325245424</v>
      </c>
      <c r="AO4" s="8">
        <f t="shared" ref="AO4:AO21" ca="1" si="10">(0.4*(Y4+LOG(I4)*4/3+N4)+0.3*(AD4+LOG(I4)*4/3+N4))/10</f>
        <v>0.57100250695304033</v>
      </c>
      <c r="AP4" s="71">
        <f>IF(AR4=4,IF(AS4=0,0.137+0.0697,0.137+0.02),IF(AR4=3,IF(AS4=0,0.0958+0.0697,0.0958+0.02),IF(AR4=2,IF(AS4=0,0.0415+0.0697,0.0415+0.02),IF(AR4=1,IF(AS4=0,0.0294+0.0697,0.0294+0.02),IF(AR4=0,IF(AS4=0,0.0063+0.0697,0.0063+0.02))))))</f>
        <v>0.1158</v>
      </c>
      <c r="AQ4" s="19">
        <v>1</v>
      </c>
      <c r="AR4" s="19">
        <v>3</v>
      </c>
      <c r="AS4" s="19">
        <v>2</v>
      </c>
      <c r="AT4" s="27">
        <v>55410</v>
      </c>
    </row>
    <row r="5" spans="1:46" x14ac:dyDescent="0.25">
      <c r="A5" s="15" t="s">
        <v>359</v>
      </c>
      <c r="B5" s="15" t="s">
        <v>27</v>
      </c>
      <c r="C5" s="69">
        <f t="shared" ref="C5:C21" ca="1" si="11">((34*112)-(E5*112)-(F5))/112</f>
        <v>11.196428571428571</v>
      </c>
      <c r="D5" s="122" t="s">
        <v>338</v>
      </c>
      <c r="E5" s="16">
        <v>22</v>
      </c>
      <c r="F5" s="2">
        <f ca="1">$D$2-$D$1-880+32-112-112-112-112</f>
        <v>90</v>
      </c>
      <c r="G5" s="17"/>
      <c r="H5" s="107">
        <v>5</v>
      </c>
      <c r="I5" s="26">
        <v>1.4</v>
      </c>
      <c r="J5" s="21">
        <f t="shared" ref="J5:J9" si="12">LOG(I5)*4/3</f>
        <v>0.19483738090431735</v>
      </c>
      <c r="K5" s="6">
        <f t="shared" ref="K5:K9" si="13">(H5)*(H5)*(I5)</f>
        <v>35</v>
      </c>
      <c r="L5" s="6">
        <f t="shared" ref="L5:L9" si="14">(H5+1)*(H5+1)*I5</f>
        <v>50.4</v>
      </c>
      <c r="M5" s="72">
        <v>43190</v>
      </c>
      <c r="N5" s="73">
        <f t="shared" ca="1" si="0"/>
        <v>1</v>
      </c>
      <c r="O5" s="18">
        <v>5.0999999999999996</v>
      </c>
      <c r="P5" s="19">
        <f t="shared" ref="P5:P9" si="15">O5*10+19</f>
        <v>70</v>
      </c>
      <c r="Q5" s="25">
        <v>6</v>
      </c>
      <c r="R5" s="63">
        <f t="shared" ref="R5:R9" si="16">(Q5/7)^0.5</f>
        <v>0.92582009977255142</v>
      </c>
      <c r="S5" s="63">
        <f t="shared" ref="S5:S9" si="17">IF(Q5=7,1,((Q5+0.99)/7)^0.5)</f>
        <v>0.99928545900129484</v>
      </c>
      <c r="T5" s="27">
        <v>3260</v>
      </c>
      <c r="U5" s="27">
        <f t="shared" si="1"/>
        <v>140</v>
      </c>
      <c r="V5" s="27">
        <v>1170</v>
      </c>
      <c r="W5" s="8">
        <f t="shared" ref="W5:W9" si="18">T5/V5</f>
        <v>2.7863247863247862</v>
      </c>
      <c r="X5" s="20">
        <v>6</v>
      </c>
      <c r="Y5" s="21">
        <v>4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8">
        <f t="shared" ca="1" si="2"/>
        <v>0.87773672358657917</v>
      </c>
      <c r="AH5" s="22">
        <f ca="1">(AD5+1+(LOG(I5)*4/3)+N5)*(Q5/7)^0.5</f>
        <v>2.9578446627459121</v>
      </c>
      <c r="AI5" s="22">
        <f ca="1">(AD5+1+N5+(LOG(I5)*4/3))*(IF(Q5=7, (Q5/7)^0.5, ((Q5+1)/7)^0.5))</f>
        <v>3.1948373809043176</v>
      </c>
      <c r="AJ5" s="22">
        <f ca="1">(Z5+N5+(LOG(I5)*4/3))</f>
        <v>1.1948373809043173</v>
      </c>
      <c r="AK5" s="68">
        <f ca="1">(Z5+N5+(LOG(I5)*4/3))*(Q5/7)^0.5</f>
        <v>1.106204463200809</v>
      </c>
      <c r="AL5" s="68">
        <f ca="1">(Z5+N5+(LOG(I5)*4/3))*(IF(Q5=7, (Q5/7)^0.5, ((Q5+1)/7)^0.5))</f>
        <v>1.1948373809043173</v>
      </c>
      <c r="AM5" s="8">
        <f t="shared" ca="1" si="8"/>
        <v>2.1948373809043176</v>
      </c>
      <c r="AN5" s="8">
        <f t="shared" ca="1" si="9"/>
        <v>0.17558699047234541</v>
      </c>
      <c r="AO5" s="8">
        <f t="shared" ca="1" si="10"/>
        <v>0.27363861666330225</v>
      </c>
      <c r="AP5" s="71">
        <f t="shared" ref="AP5:AP9" si="19">IF(AR5=4,IF(AS5=0,0.137+0.0697,0.137+0.02),IF(AR5=3,IF(AS5=0,0.0958+0.0697,0.0958+0.02),IF(AR5=2,IF(AS5=0,0.0415+0.0697,0.0415+0.02),IF(AR5=1,IF(AS5=0,0.0294+0.0697,0.0294+0.02),IF(AR5=0,IF(AS5=0,0.0063+0.0697,0.0063+0.02))))))</f>
        <v>2.63E-2</v>
      </c>
      <c r="AQ5" s="19">
        <v>3</v>
      </c>
      <c r="AR5" s="19">
        <v>0</v>
      </c>
      <c r="AS5" s="19">
        <v>2</v>
      </c>
      <c r="AT5" s="27">
        <v>3120</v>
      </c>
    </row>
    <row r="6" spans="1:46" x14ac:dyDescent="0.25">
      <c r="A6" s="15" t="s">
        <v>31</v>
      </c>
      <c r="B6" s="23" t="s">
        <v>241</v>
      </c>
      <c r="C6" s="69">
        <f t="shared" ca="1" si="11"/>
        <v>11.446428571428571</v>
      </c>
      <c r="D6" s="111" t="s">
        <v>349</v>
      </c>
      <c r="E6" s="1">
        <v>22</v>
      </c>
      <c r="F6" s="2">
        <f ca="1">$D$2-$D$1-1100-112-112</f>
        <v>62</v>
      </c>
      <c r="G6" s="3"/>
      <c r="H6" s="107">
        <v>5</v>
      </c>
      <c r="I6" s="5">
        <v>2.6</v>
      </c>
      <c r="J6" s="21">
        <f t="shared" ref="J6" si="20">LOG(I6)*4/3</f>
        <v>0.55329779729442397</v>
      </c>
      <c r="K6" s="6">
        <f t="shared" ref="K6" si="21">(H6)*(H6)*(I6)</f>
        <v>65</v>
      </c>
      <c r="L6" s="6">
        <f t="shared" ref="L6" si="22">(H6+1)*(H6+1)*I6</f>
        <v>93.600000000000009</v>
      </c>
      <c r="M6" s="72">
        <v>43395</v>
      </c>
      <c r="N6" s="73">
        <f t="shared" ca="1" si="0"/>
        <v>0.84655408843930868</v>
      </c>
      <c r="O6" s="24">
        <v>6.1</v>
      </c>
      <c r="P6" s="19">
        <f t="shared" si="15"/>
        <v>80</v>
      </c>
      <c r="Q6" s="25">
        <v>4</v>
      </c>
      <c r="R6" s="63">
        <f t="shared" ref="R6" si="23">(Q6/7)^0.5</f>
        <v>0.7559289460184544</v>
      </c>
      <c r="S6" s="63">
        <f t="shared" ref="S6" si="24">IF(Q6=7,1,((Q6+0.99)/7)^0.5)</f>
        <v>0.84430867747355465</v>
      </c>
      <c r="T6" s="27">
        <v>74270</v>
      </c>
      <c r="U6" s="27">
        <f t="shared" si="1"/>
        <v>960</v>
      </c>
      <c r="V6" s="7">
        <v>18250</v>
      </c>
      <c r="W6" s="8">
        <f t="shared" ref="W6" si="25">T6/V6</f>
        <v>4.0695890410958908</v>
      </c>
      <c r="X6" s="20">
        <v>0</v>
      </c>
      <c r="Y6" s="21">
        <f>14+10/16</f>
        <v>14.625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114</v>
      </c>
      <c r="AF6" s="9">
        <v>1960</v>
      </c>
      <c r="AG6" s="8">
        <f t="shared" ca="1" si="2"/>
        <v>2.9126467336794106</v>
      </c>
      <c r="AH6" s="22">
        <f t="shared" ref="AH6" ca="1" si="26">(AD6+1+(LOG(I6)*4/3)+N6)*(Q6/7)^0.5</f>
        <v>2.570046452601555</v>
      </c>
      <c r="AI6" s="22">
        <f t="shared" ref="AI6" ca="1" si="27">(AD6+1+N6+(LOG(I6)*4/3))*(IF(Q6=7, (Q6/7)^0.5, ((Q6+1)/7)^0.5))</f>
        <v>2.8733992866746343</v>
      </c>
      <c r="AJ6" s="22">
        <f t="shared" ref="AJ6" ca="1" si="28">(Z6+N6+(LOG(I6)*4/3))</f>
        <v>6.3998518857337325</v>
      </c>
      <c r="AK6" s="68">
        <f t="shared" ref="AK6" ca="1" si="29">(Z6+N6+(LOG(I6)*4/3))*(Q6/7)^0.5</f>
        <v>4.8378332906569179</v>
      </c>
      <c r="AL6" s="68">
        <f t="shared" ref="AL6" ca="1" si="30">(Z6+N6+(LOG(I6)*4/3))*(IF(Q6=7, (Q6/7)^0.5, ((Q6+1)/7)^0.5))</f>
        <v>5.4088620508601846</v>
      </c>
      <c r="AM6" s="8">
        <f t="shared" ca="1" si="8"/>
        <v>2.6998518857337324</v>
      </c>
      <c r="AN6" s="8">
        <f t="shared" ca="1" si="9"/>
        <v>0.2419881508586986</v>
      </c>
      <c r="AO6" s="8">
        <f t="shared" ca="1" si="10"/>
        <v>0.71298963200136123</v>
      </c>
      <c r="AP6" s="71">
        <f t="shared" ref="AP6" si="31">IF(AR6=4,IF(AS6=0,0.137+0.0697,0.137+0.02),IF(AR6=3,IF(AS6=0,0.0958+0.0697,0.0958+0.02),IF(AR6=2,IF(AS6=0,0.0415+0.0697,0.0415+0.02),IF(AR6=1,IF(AS6=0,0.0294+0.0697,0.0294+0.02),IF(AR6=0,IF(AS6=0,0.0063+0.0697,0.0063+0.02))))))</f>
        <v>6.1499999999999999E-2</v>
      </c>
      <c r="AQ6" s="19">
        <v>1</v>
      </c>
      <c r="AR6" s="19">
        <v>2</v>
      </c>
      <c r="AS6" s="19">
        <v>1</v>
      </c>
      <c r="AT6" s="27">
        <v>73310</v>
      </c>
    </row>
    <row r="7" spans="1:46" x14ac:dyDescent="0.25">
      <c r="A7" s="15" t="s">
        <v>33</v>
      </c>
      <c r="B7" s="15" t="s">
        <v>241</v>
      </c>
      <c r="C7" s="69">
        <f t="shared" ca="1" si="11"/>
        <v>11.616071428571429</v>
      </c>
      <c r="D7" s="111" t="s">
        <v>353</v>
      </c>
      <c r="E7" s="16">
        <v>22</v>
      </c>
      <c r="F7" s="2">
        <f ca="1">$D$2-$D$1-1102-17-112-112</f>
        <v>43</v>
      </c>
      <c r="G7" s="17"/>
      <c r="H7" s="4">
        <v>4</v>
      </c>
      <c r="I7" s="26">
        <v>3.6</v>
      </c>
      <c r="J7" s="21">
        <f>LOG(I7)*4/3</f>
        <v>0.74173666768971636</v>
      </c>
      <c r="K7" s="6">
        <f>(H7)*(H7)*(I7)</f>
        <v>57.6</v>
      </c>
      <c r="L7" s="6">
        <f>(H7+1)*(H7+1)*I7</f>
        <v>90</v>
      </c>
      <c r="M7" s="72">
        <v>43410</v>
      </c>
      <c r="N7" s="73">
        <f t="shared" ca="1" si="0"/>
        <v>0.81484002105870801</v>
      </c>
      <c r="O7" s="18">
        <v>6.6</v>
      </c>
      <c r="P7" s="19">
        <f>O7*10+19</f>
        <v>85</v>
      </c>
      <c r="Q7" s="25">
        <v>6</v>
      </c>
      <c r="R7" s="63">
        <f>(Q7/7)^0.5</f>
        <v>0.92582009977255142</v>
      </c>
      <c r="S7" s="63">
        <f>IF(Q7=7,1,((Q7+0.99)/7)^0.5)</f>
        <v>0.99928545900129484</v>
      </c>
      <c r="T7" s="27">
        <v>97870</v>
      </c>
      <c r="U7" s="27">
        <f t="shared" si="1"/>
        <v>5590</v>
      </c>
      <c r="V7" s="27">
        <v>19870</v>
      </c>
      <c r="W7" s="8">
        <f>T7/V7</f>
        <v>4.9255158530447911</v>
      </c>
      <c r="X7" s="20">
        <v>0</v>
      </c>
      <c r="Y7" s="21">
        <f>14+9/16</f>
        <v>14.5625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115.5</v>
      </c>
      <c r="AF7" s="9">
        <v>2023</v>
      </c>
      <c r="AG7" s="8">
        <f t="shared" ca="1" si="2"/>
        <v>3.4408370257989565</v>
      </c>
      <c r="AH7" s="22">
        <f t="shared" ref="AH7" ca="1" si="32">(AD7+1+(LOG(I7)*4/3)+N7)*(Q7/7)^0.5</f>
        <v>2.3669300850532453</v>
      </c>
      <c r="AI7" s="22">
        <f t="shared" ref="AI7" ca="1" si="33">(AD7+1+N7+(LOG(I7)*4/3))*(IF(Q7=7, (Q7/7)^0.5, ((Q7+1)/7)^0.5))</f>
        <v>2.5565766887484243</v>
      </c>
      <c r="AJ7" s="22">
        <f t="shared" ref="AJ7" ca="1" si="34">(Z7+N7+(LOG(I7)*4/3))</f>
        <v>6.5565766887484243</v>
      </c>
      <c r="AK7" s="68">
        <f t="shared" ref="AK7" ca="1" si="35">(Z7+N7+(LOG(I7)*4/3))*(Q7/7)^0.5</f>
        <v>6.070210484143451</v>
      </c>
      <c r="AL7" s="68">
        <f t="shared" ref="AL7" ca="1" si="36">(Z7+N7+(LOG(I7)*4/3))*(IF(Q7=7, (Q7/7)^0.5, ((Q7+1)/7)^0.5))</f>
        <v>6.5565766887484243</v>
      </c>
      <c r="AM7" s="8">
        <f t="shared" ca="1" si="8"/>
        <v>1.8565766887484241</v>
      </c>
      <c r="AN7" s="8">
        <f t="shared" ca="1" si="9"/>
        <v>0.17452613509987394</v>
      </c>
      <c r="AO7" s="8">
        <f t="shared" ca="1" si="10"/>
        <v>0.69146036821238976</v>
      </c>
      <c r="AP7" s="71">
        <f>IF(AR7=4,IF(AS7=0,0.137+0.0697,0.137+0.02),IF(AR7=3,IF(AS7=0,0.0958+0.0697,0.0958+0.02),IF(AR7=2,IF(AS7=0,0.0415+0.0697,0.0415+0.02),IF(AR7=1,IF(AS7=0,0.0294+0.0697,0.0294+0.02),IF(AR7=0,IF(AS7=0,0.0063+0.0697,0.0063+0.02))))))</f>
        <v>6.1499999999999999E-2</v>
      </c>
      <c r="AQ7" s="19">
        <v>3</v>
      </c>
      <c r="AR7" s="19">
        <v>2</v>
      </c>
      <c r="AS7" s="19">
        <v>2</v>
      </c>
      <c r="AT7" s="27">
        <v>92280</v>
      </c>
    </row>
    <row r="8" spans="1:46" x14ac:dyDescent="0.25">
      <c r="A8" s="15" t="s">
        <v>38</v>
      </c>
      <c r="B8" s="15" t="s">
        <v>241</v>
      </c>
      <c r="C8" s="69">
        <f t="shared" ca="1" si="11"/>
        <v>11.169642857142858</v>
      </c>
      <c r="D8" s="111" t="s">
        <v>348</v>
      </c>
      <c r="E8" s="16">
        <v>22</v>
      </c>
      <c r="F8" s="2">
        <f ca="1">$D$2-$D$1-1069-112-112</f>
        <v>93</v>
      </c>
      <c r="G8" s="17"/>
      <c r="H8" s="4">
        <v>1</v>
      </c>
      <c r="I8" s="26">
        <v>3.8</v>
      </c>
      <c r="J8" s="21">
        <f>LOG(I8)*4/3</f>
        <v>0.77304479548908012</v>
      </c>
      <c r="K8" s="6">
        <f>(H8)*(H8)*(I8)</f>
        <v>3.8</v>
      </c>
      <c r="L8" s="6">
        <f>(H8+1)*(H8+1)*I8</f>
        <v>15.2</v>
      </c>
      <c r="M8" s="72">
        <v>43383</v>
      </c>
      <c r="N8" s="73">
        <f t="shared" ca="1" si="0"/>
        <v>0.87145147362407149</v>
      </c>
      <c r="O8" s="18">
        <v>6.1</v>
      </c>
      <c r="P8" s="19">
        <f>O8*10+19</f>
        <v>80</v>
      </c>
      <c r="Q8" s="25">
        <v>7</v>
      </c>
      <c r="R8" s="63">
        <f>(Q8/7)^0.5</f>
        <v>1</v>
      </c>
      <c r="S8" s="63">
        <f>IF(Q8=7,1,((Q8+0.99)/7)^0.5)</f>
        <v>1</v>
      </c>
      <c r="T8" s="27">
        <v>86450</v>
      </c>
      <c r="U8" s="27">
        <f t="shared" si="1"/>
        <v>5510</v>
      </c>
      <c r="V8" s="27">
        <v>5710</v>
      </c>
      <c r="W8" s="8">
        <f>T8/V8</f>
        <v>15.140105078809107</v>
      </c>
      <c r="X8" s="20">
        <v>0</v>
      </c>
      <c r="Y8" s="21">
        <f>12+6/11</f>
        <v>12.545454545454545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108.5</v>
      </c>
      <c r="AF8" s="9">
        <v>1910</v>
      </c>
      <c r="AG8" s="8">
        <f t="shared" ca="1" si="2"/>
        <v>4.7161179190992497</v>
      </c>
      <c r="AH8" s="22">
        <f ca="1">(AD8+1+(LOG(I8)*4/3)+N8)*(Q8/7)^0.5</f>
        <v>4.6444962691131515</v>
      </c>
      <c r="AI8" s="22">
        <f ca="1">(AD8+1+N8+(LOG(I8)*4/3))*(IF(Q8=7, (Q8/7)^0.5, ((Q8+1)/7)^0.5))</f>
        <v>4.6444962691131515</v>
      </c>
      <c r="AJ8" s="22">
        <f ca="1">(Z8+N8+(LOG(I8)*4/3))</f>
        <v>4.6444962691131515</v>
      </c>
      <c r="AK8" s="68">
        <f ca="1">(Z8+N8+(LOG(I8)*4/3))*(Q8/7)^0.5</f>
        <v>4.6444962691131515</v>
      </c>
      <c r="AL8" s="68">
        <f ca="1">(Z8+N8+(LOG(I8)*4/3))*(IF(Q8=7, (Q8/7)^0.5, ((Q8+1)/7)^0.5))</f>
        <v>4.6444962691131515</v>
      </c>
      <c r="AM8" s="8">
        <f t="shared" ca="1" si="8"/>
        <v>3.9444962691131513</v>
      </c>
      <c r="AN8" s="8">
        <f t="shared" ca="1" si="9"/>
        <v>0.34155970152905207</v>
      </c>
      <c r="AO8" s="8">
        <f t="shared" ca="1" si="10"/>
        <v>0.67693292065610244</v>
      </c>
      <c r="AP8" s="71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Q8" s="19">
        <v>0</v>
      </c>
      <c r="AR8" s="19">
        <v>3</v>
      </c>
      <c r="AS8" s="19">
        <v>2</v>
      </c>
      <c r="AT8" s="27">
        <v>80940</v>
      </c>
    </row>
    <row r="9" spans="1:46" x14ac:dyDescent="0.25">
      <c r="A9" s="15" t="s">
        <v>31</v>
      </c>
      <c r="B9" s="15" t="s">
        <v>241</v>
      </c>
      <c r="C9" s="69">
        <f t="shared" ca="1" si="11"/>
        <v>11.303571428571429</v>
      </c>
      <c r="D9" s="111" t="s">
        <v>357</v>
      </c>
      <c r="E9" s="1">
        <v>22</v>
      </c>
      <c r="F9" s="2">
        <f ca="1">$D$2-$D$1-880+55-112-112-14-21-112-112</f>
        <v>78</v>
      </c>
      <c r="G9" s="3"/>
      <c r="H9" s="4">
        <v>4</v>
      </c>
      <c r="I9" s="5">
        <v>4.4000000000000004</v>
      </c>
      <c r="J9" s="21">
        <f t="shared" si="12"/>
        <v>0.85793690198158323</v>
      </c>
      <c r="K9" s="6">
        <f t="shared" si="13"/>
        <v>70.400000000000006</v>
      </c>
      <c r="L9" s="6">
        <f t="shared" si="14"/>
        <v>110.00000000000001</v>
      </c>
      <c r="M9" s="72">
        <v>43419</v>
      </c>
      <c r="N9" s="73">
        <f t="shared" ca="1" si="0"/>
        <v>0.79547455863046146</v>
      </c>
      <c r="O9" s="24">
        <v>6.5</v>
      </c>
      <c r="P9" s="19">
        <f t="shared" si="15"/>
        <v>84</v>
      </c>
      <c r="Q9" s="25">
        <v>7</v>
      </c>
      <c r="R9" s="63">
        <f t="shared" si="16"/>
        <v>1</v>
      </c>
      <c r="S9" s="63">
        <f t="shared" si="17"/>
        <v>1</v>
      </c>
      <c r="T9" s="27">
        <v>86620</v>
      </c>
      <c r="U9" s="27">
        <f t="shared" si="1"/>
        <v>2470</v>
      </c>
      <c r="V9" s="7">
        <v>6250</v>
      </c>
      <c r="W9" s="8">
        <f t="shared" si="18"/>
        <v>13.8592</v>
      </c>
      <c r="X9" s="20">
        <v>0</v>
      </c>
      <c r="Y9" s="21">
        <f>10+4/9</f>
        <v>10.444444444444445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113.5</v>
      </c>
      <c r="AF9" s="9">
        <v>2011</v>
      </c>
      <c r="AG9" s="8">
        <f t="shared" ca="1" si="2"/>
        <v>4.2112991389993581</v>
      </c>
      <c r="AH9" s="22">
        <f ca="1">(AD9+1+(LOG(I9)*4/3)+N9)*(Q9/7)^0.5</f>
        <v>3.6534114606120447</v>
      </c>
      <c r="AI9" s="22">
        <f ca="1">(AD9+1+N9+(LOG(I9)*4/3))*(IF(Q9=7, (Q9/7)^0.5, ((Q9+1)/7)^0.5))</f>
        <v>3.6534114606120447</v>
      </c>
      <c r="AJ9" s="22">
        <f ca="1">(Z9+N9+(LOG(I9)*4/3))</f>
        <v>12.653411460612045</v>
      </c>
      <c r="AK9" s="68">
        <f ca="1">(Z9+N9+(LOG(I9)*4/3))*(Q9/7)^0.5</f>
        <v>12.653411460612045</v>
      </c>
      <c r="AL9" s="68">
        <f ca="1">(Z9+N9+(LOG(I9)*4/3))*(IF(Q9=7, (Q9/7)^0.5, ((Q9+1)/7)^0.5))</f>
        <v>12.653411460612045</v>
      </c>
      <c r="AM9" s="8">
        <f t="shared" ca="1" si="8"/>
        <v>3.5534114606120446</v>
      </c>
      <c r="AN9" s="8">
        <f t="shared" ca="1" si="9"/>
        <v>0.36227291684896357</v>
      </c>
      <c r="AO9" s="8">
        <f t="shared" ca="1" si="10"/>
        <v>0.56351658002062099</v>
      </c>
      <c r="AP9" s="71">
        <f t="shared" si="19"/>
        <v>6.1499999999999999E-2</v>
      </c>
      <c r="AQ9" s="19">
        <v>0</v>
      </c>
      <c r="AR9" s="19">
        <v>2</v>
      </c>
      <c r="AS9" s="19">
        <v>2</v>
      </c>
      <c r="AT9" s="27">
        <v>84150</v>
      </c>
    </row>
    <row r="10" spans="1:46" x14ac:dyDescent="0.25">
      <c r="A10" s="15" t="s">
        <v>196</v>
      </c>
      <c r="B10" s="15" t="s">
        <v>113</v>
      </c>
      <c r="C10" s="69">
        <f t="shared" ca="1" si="11"/>
        <v>11.517857142857142</v>
      </c>
      <c r="D10" s="122" t="s">
        <v>194</v>
      </c>
      <c r="E10" s="1">
        <v>22</v>
      </c>
      <c r="F10" s="2">
        <f ca="1">$D$2-$D$1-880-4-112-112-112-112</f>
        <v>54</v>
      </c>
      <c r="G10" s="3" t="s">
        <v>192</v>
      </c>
      <c r="H10" s="4">
        <v>3</v>
      </c>
      <c r="I10" s="5">
        <v>2.2000000000000002</v>
      </c>
      <c r="J10" s="21">
        <f>LOG(I10)*4/3</f>
        <v>0.45656357442960838</v>
      </c>
      <c r="K10" s="6">
        <f>(H10)*(H10)*(I10)</f>
        <v>19.8</v>
      </c>
      <c r="L10" s="6">
        <f>(H10+1)*(H10+1)*I10</f>
        <v>35.200000000000003</v>
      </c>
      <c r="M10" s="72">
        <v>43045</v>
      </c>
      <c r="N10" s="73">
        <f ca="1">IF((TODAY()-M10)&gt;335,1,((TODAY()-M10)^0.64)/(336^0.64))</f>
        <v>1</v>
      </c>
      <c r="O10" s="24">
        <v>5.3</v>
      </c>
      <c r="P10" s="19">
        <f>O10*10+19</f>
        <v>72</v>
      </c>
      <c r="Q10" s="25">
        <v>5</v>
      </c>
      <c r="R10" s="63">
        <f>(Q10/7)^0.5</f>
        <v>0.84515425472851657</v>
      </c>
      <c r="S10" s="63">
        <f>IF(Q10=7,1,((Q10+0.99)/7)^0.5)</f>
        <v>0.92504826128926143</v>
      </c>
      <c r="T10" s="27">
        <v>3420</v>
      </c>
      <c r="U10" s="27">
        <f t="shared" si="1"/>
        <v>-50</v>
      </c>
      <c r="V10" s="7">
        <v>450</v>
      </c>
      <c r="W10" s="8">
        <f>T10/V10</f>
        <v>7.6</v>
      </c>
      <c r="X10" s="20">
        <v>0</v>
      </c>
      <c r="Y10" s="21">
        <f>6+1/4</f>
        <v>6.25</v>
      </c>
      <c r="Z10" s="20">
        <v>3</v>
      </c>
      <c r="AA10" s="21">
        <f>6.15</f>
        <v>6.15</v>
      </c>
      <c r="AB10" s="20">
        <v>3</v>
      </c>
      <c r="AC10" s="21">
        <f>3.73+1/15+1/15+1/15+1/15+1/15+1/15+1/15+1/15+1/15+1/15+1/15+1/15+1/15+1/15</f>
        <v>4.6633333333333322</v>
      </c>
      <c r="AD10" s="20">
        <v>3</v>
      </c>
      <c r="AE10" s="9">
        <f>10+12+3+2+7+1+0.5+4+1</f>
        <v>40.5</v>
      </c>
      <c r="AF10" s="9"/>
      <c r="AG10" s="8">
        <f t="shared" ca="1" si="2"/>
        <v>1.7557752908824511</v>
      </c>
      <c r="AH10" s="22">
        <f ca="1">(AD10+1+(LOG(I10)*4/3)+N10)*(Q10/7)^0.5</f>
        <v>4.6116379211258263</v>
      </c>
      <c r="AI10" s="22">
        <f ca="1">(AD10+1+N10+(LOG(I10)*4/3))*(IF(Q10=7, (Q10/7)^0.5, ((Q10+1)/7)^0.5))</f>
        <v>5.0517962328936905</v>
      </c>
      <c r="AJ10" s="22">
        <f ca="1">(Z10+N10+(LOG(I10)*4/3))</f>
        <v>4.4565635744296088</v>
      </c>
      <c r="AK10" s="68">
        <f ca="1">(Z10+N10+(LOG(I10)*4/3))*(Q10/7)^0.5</f>
        <v>3.7664836663973098</v>
      </c>
      <c r="AL10" s="68">
        <f ca="1">(Z10+N10+(LOG(I10)*4/3))*(IF(Q10=7, (Q10/7)^0.5, ((Q10+1)/7)^0.5))</f>
        <v>4.1259761331211386</v>
      </c>
      <c r="AM10" s="8">
        <f t="shared" ca="1" si="8"/>
        <v>4.9555635744296085</v>
      </c>
      <c r="AN10" s="8">
        <f t="shared" ca="1" si="9"/>
        <v>0.43969175262103527</v>
      </c>
      <c r="AO10" s="8">
        <f t="shared" ca="1" si="10"/>
        <v>0.44195945021007266</v>
      </c>
      <c r="AP10" s="71">
        <f>IF(AR10=4,IF(AS10=0,0.137+0.0697,0.137+0.02),IF(AR10=3,IF(AS10=0,0.0958+0.0697,0.0958+0.02),IF(AR10=2,IF(AS10=0,0.0415+0.0697,0.0415+0.02),IF(AR10=1,IF(AS10=0,0.0294+0.0697,0.0294+0.02),IF(AR10=0,IF(AS10=0,0.0063+0.0697,0.0063+0.02))))))</f>
        <v>4.9399999999999999E-2</v>
      </c>
      <c r="AQ10" s="19">
        <v>3</v>
      </c>
      <c r="AR10" s="19">
        <v>1</v>
      </c>
      <c r="AS10" s="19">
        <v>2</v>
      </c>
      <c r="AT10" s="27">
        <v>3470</v>
      </c>
    </row>
    <row r="11" spans="1:46" x14ac:dyDescent="0.25">
      <c r="A11" s="15" t="s">
        <v>42</v>
      </c>
      <c r="B11" s="15" t="s">
        <v>371</v>
      </c>
      <c r="C11" s="69">
        <f t="shared" ca="1" si="11"/>
        <v>11.482142857142858</v>
      </c>
      <c r="D11" s="111" t="s">
        <v>249</v>
      </c>
      <c r="E11" s="1">
        <v>22</v>
      </c>
      <c r="F11" s="2">
        <f ca="1">$D$2-$D$1-880-112-112-112-112</f>
        <v>58</v>
      </c>
      <c r="G11" s="3" t="s">
        <v>192</v>
      </c>
      <c r="H11" s="107">
        <v>5</v>
      </c>
      <c r="I11" s="5">
        <v>4.0999999999999996</v>
      </c>
      <c r="J11" s="21">
        <f t="shared" ref="J11:J13" si="37">LOG(I11)*4/3</f>
        <v>0.81704514229298064</v>
      </c>
      <c r="K11" s="6">
        <f t="shared" ref="K11:K13" si="38">(H11)*(H11)*(I11)</f>
        <v>102.49999999999999</v>
      </c>
      <c r="L11" s="6">
        <f t="shared" ref="L11:L13" si="39">(H11+1)*(H11+1)*I11</f>
        <v>147.6</v>
      </c>
      <c r="M11" s="72">
        <v>43137</v>
      </c>
      <c r="N11" s="73">
        <f t="shared" ref="N11:N17" ca="1" si="40">IF((TODAY()-M11)&gt;335,1,((TODAY()-M11)^0.64)/(336^0.64))</f>
        <v>1</v>
      </c>
      <c r="O11" s="24">
        <v>5.9</v>
      </c>
      <c r="P11" s="19">
        <f t="shared" ref="P11:P13" si="41">O11*10+19</f>
        <v>78</v>
      </c>
      <c r="Q11" s="25">
        <v>6</v>
      </c>
      <c r="R11" s="63">
        <f t="shared" ref="R11:R13" si="42">(Q11/7)^0.5</f>
        <v>0.92582009977255142</v>
      </c>
      <c r="S11" s="63">
        <f t="shared" ref="S11:S13" si="43">IF(Q11=7,1,((Q11+0.99)/7)^0.5)</f>
        <v>0.99928545900129484</v>
      </c>
      <c r="T11" s="27">
        <v>102520</v>
      </c>
      <c r="U11" s="27">
        <f t="shared" si="1"/>
        <v>6160</v>
      </c>
      <c r="V11" s="7">
        <v>8650</v>
      </c>
      <c r="W11" s="8">
        <f t="shared" ref="W11:W13" si="44">T11/V11</f>
        <v>11.852023121387283</v>
      </c>
      <c r="X11" s="20">
        <v>0</v>
      </c>
      <c r="Y11" s="21">
        <f>11+7/9</f>
        <v>11.777777777777779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123.5</v>
      </c>
      <c r="AF11" s="9">
        <v>2048</v>
      </c>
      <c r="AG11" s="8">
        <f t="shared" ca="1" si="2"/>
        <v>3.0354068800076095</v>
      </c>
      <c r="AH11" s="22">
        <f t="shared" ref="AH11:AH13" ca="1" si="45">(AD11+1+(LOG(I11)*4/3)+N11)*(Q11/7)^0.5</f>
        <v>5.3855373140191229</v>
      </c>
      <c r="AI11" s="22">
        <f t="shared" ref="AI11:AI13" ca="1" si="46">(AD11+1+N11+(LOG(I11)*4/3))*(IF(Q11=7, (Q11/7)^0.5, ((Q11+1)/7)^0.5))</f>
        <v>5.8170451422929803</v>
      </c>
      <c r="AJ11" s="22">
        <f t="shared" ref="AJ11:AJ13" ca="1" si="47">(Z11+N11+(LOG(I11)*4/3))</f>
        <v>5.8170451422929803</v>
      </c>
      <c r="AK11" s="68">
        <f t="shared" ref="AK11:AK13" ca="1" si="48">(Z11+N11+(LOG(I11)*4/3))*(Q11/7)^0.5</f>
        <v>5.3855373140191229</v>
      </c>
      <c r="AL11" s="68">
        <f t="shared" ref="AL11:AL13" ca="1" si="49">(Z11+N11+(LOG(I11)*4/3))*(IF(Q11=7, (Q11/7)^0.5, ((Q11+1)/7)^0.5))</f>
        <v>5.8170451422929803</v>
      </c>
      <c r="AM11" s="8">
        <f t="shared" ca="1" si="8"/>
        <v>6.0170451422929805</v>
      </c>
      <c r="AN11" s="8">
        <f t="shared" ca="1" si="9"/>
        <v>0.5853636113834384</v>
      </c>
      <c r="AO11" s="8">
        <f t="shared" ca="1" si="10"/>
        <v>0.68830427107161984</v>
      </c>
      <c r="AP11" s="71">
        <f t="shared" ref="AP11:AP13" si="50">IF(AR11=4,IF(AS11=0,0.137+0.0697,0.137+0.02),IF(AR11=3,IF(AS11=0,0.0958+0.0697,0.0958+0.02),IF(AR11=2,IF(AS11=0,0.0415+0.0697,0.0415+0.02),IF(AR11=1,IF(AS11=0,0.0294+0.0697,0.0294+0.02),IF(AR11=0,IF(AS11=0,0.0063+0.0697,0.0063+0.02))))))</f>
        <v>6.1499999999999999E-2</v>
      </c>
      <c r="AQ11" s="19">
        <v>1</v>
      </c>
      <c r="AR11" s="19">
        <v>2</v>
      </c>
      <c r="AS11" s="19">
        <v>3</v>
      </c>
      <c r="AT11" s="27">
        <v>96360</v>
      </c>
    </row>
    <row r="12" spans="1:46" x14ac:dyDescent="0.25">
      <c r="A12" s="15" t="s">
        <v>32</v>
      </c>
      <c r="B12" s="15" t="s">
        <v>371</v>
      </c>
      <c r="C12" s="69">
        <f t="shared" ca="1" si="11"/>
        <v>11.830357142857142</v>
      </c>
      <c r="D12" s="111" t="s">
        <v>248</v>
      </c>
      <c r="E12" s="1">
        <v>22</v>
      </c>
      <c r="F12" s="2">
        <f ca="1">$D$2-$D$1-1367</f>
        <v>19</v>
      </c>
      <c r="G12" s="3" t="s">
        <v>44</v>
      </c>
      <c r="H12" s="4">
        <v>3</v>
      </c>
      <c r="I12" s="5">
        <v>4.2</v>
      </c>
      <c r="J12" s="21">
        <f t="shared" si="37"/>
        <v>0.8309990538638673</v>
      </c>
      <c r="K12" s="6">
        <f t="shared" si="38"/>
        <v>37.800000000000004</v>
      </c>
      <c r="L12" s="6">
        <f t="shared" si="39"/>
        <v>67.2</v>
      </c>
      <c r="M12" s="72">
        <v>43122</v>
      </c>
      <c r="N12" s="73">
        <f t="shared" ca="1" si="40"/>
        <v>1</v>
      </c>
      <c r="O12" s="24">
        <v>5.8</v>
      </c>
      <c r="P12" s="19">
        <f t="shared" si="41"/>
        <v>77</v>
      </c>
      <c r="Q12" s="25">
        <v>5</v>
      </c>
      <c r="R12" s="63">
        <f t="shared" si="42"/>
        <v>0.84515425472851657</v>
      </c>
      <c r="S12" s="63">
        <f t="shared" si="43"/>
        <v>0.92504826128926143</v>
      </c>
      <c r="T12" s="27">
        <v>93870</v>
      </c>
      <c r="U12" s="27">
        <f t="shared" si="1"/>
        <v>10600</v>
      </c>
      <c r="V12" s="7">
        <v>9290</v>
      </c>
      <c r="W12" s="8">
        <f t="shared" si="44"/>
        <v>10.104413347685684</v>
      </c>
      <c r="X12" s="20">
        <v>0</v>
      </c>
      <c r="Y12" s="21">
        <f>10+6/7</f>
        <v>10.857142857142858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117.5</v>
      </c>
      <c r="AF12" s="9">
        <v>2164</v>
      </c>
      <c r="AG12" s="8">
        <f t="shared" ca="1" si="2"/>
        <v>3.2591408869754881</v>
      </c>
      <c r="AH12" s="22">
        <f t="shared" ca="1" si="45"/>
        <v>4.9280936596910019</v>
      </c>
      <c r="AI12" s="22">
        <f t="shared" ca="1" si="46"/>
        <v>5.398456125821899</v>
      </c>
      <c r="AJ12" s="22">
        <f t="shared" ca="1" si="47"/>
        <v>4.8309990538638674</v>
      </c>
      <c r="AK12" s="68">
        <f t="shared" ca="1" si="48"/>
        <v>4.0829394049624854</v>
      </c>
      <c r="AL12" s="68">
        <f t="shared" ca="1" si="49"/>
        <v>4.4726360260493472</v>
      </c>
      <c r="AM12" s="8">
        <f t="shared" ca="1" si="8"/>
        <v>6.0309990538638676</v>
      </c>
      <c r="AN12" s="8">
        <f t="shared" ca="1" si="9"/>
        <v>0.58647992430910934</v>
      </c>
      <c r="AO12" s="8">
        <f t="shared" ca="1" si="10"/>
        <v>0.65245564805618506</v>
      </c>
      <c r="AP12" s="71">
        <f t="shared" si="50"/>
        <v>2.63E-2</v>
      </c>
      <c r="AQ12" s="19">
        <v>2</v>
      </c>
      <c r="AR12" s="19">
        <v>0</v>
      </c>
      <c r="AS12" s="19">
        <v>2</v>
      </c>
      <c r="AT12" s="27">
        <v>83270</v>
      </c>
    </row>
    <row r="13" spans="1:46" x14ac:dyDescent="0.25">
      <c r="A13" s="15" t="s">
        <v>40</v>
      </c>
      <c r="B13" s="15" t="s">
        <v>371</v>
      </c>
      <c r="C13" s="69">
        <f t="shared" ca="1" si="11"/>
        <v>11.482142857142858</v>
      </c>
      <c r="D13" s="111" t="s">
        <v>195</v>
      </c>
      <c r="E13" s="16">
        <v>22</v>
      </c>
      <c r="F13" s="2">
        <f ca="1">$D$2-$D$1-880-112-112-112-112</f>
        <v>58</v>
      </c>
      <c r="G13" s="17" t="s">
        <v>192</v>
      </c>
      <c r="H13" s="35">
        <v>6</v>
      </c>
      <c r="I13" s="26">
        <v>4.2</v>
      </c>
      <c r="J13" s="21">
        <f t="shared" si="37"/>
        <v>0.8309990538638673</v>
      </c>
      <c r="K13" s="6">
        <f t="shared" si="38"/>
        <v>151.20000000000002</v>
      </c>
      <c r="L13" s="6">
        <f t="shared" si="39"/>
        <v>205.8</v>
      </c>
      <c r="M13" s="72">
        <v>43051</v>
      </c>
      <c r="N13" s="73">
        <f t="shared" ca="1" si="40"/>
        <v>1</v>
      </c>
      <c r="O13" s="18">
        <v>6</v>
      </c>
      <c r="P13" s="19">
        <f t="shared" si="41"/>
        <v>79</v>
      </c>
      <c r="Q13" s="25">
        <v>5</v>
      </c>
      <c r="R13" s="63">
        <f t="shared" si="42"/>
        <v>0.84515425472851657</v>
      </c>
      <c r="S13" s="63">
        <f t="shared" si="43"/>
        <v>0.92504826128926143</v>
      </c>
      <c r="T13" s="27">
        <v>66060</v>
      </c>
      <c r="U13" s="27">
        <f t="shared" si="1"/>
        <v>6760</v>
      </c>
      <c r="V13" s="27">
        <v>5690</v>
      </c>
      <c r="W13" s="8">
        <f t="shared" si="44"/>
        <v>11.609841827768014</v>
      </c>
      <c r="X13" s="20">
        <v>0</v>
      </c>
      <c r="Y13" s="21">
        <f>10+3/7</f>
        <v>10.428571428571429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104.5</v>
      </c>
      <c r="AF13" s="9">
        <v>1961</v>
      </c>
      <c r="AG13" s="8">
        <f t="shared" ca="1" si="2"/>
        <v>2.992011774320225</v>
      </c>
      <c r="AH13" s="22">
        <f t="shared" ca="1" si="45"/>
        <v>4.9280936596910019</v>
      </c>
      <c r="AI13" s="22">
        <f t="shared" ca="1" si="46"/>
        <v>5.398456125821899</v>
      </c>
      <c r="AJ13" s="22">
        <f t="shared" ca="1" si="47"/>
        <v>4.8309990538638674</v>
      </c>
      <c r="AK13" s="68">
        <f t="shared" ca="1" si="48"/>
        <v>4.0829394049624854</v>
      </c>
      <c r="AL13" s="68">
        <f t="shared" ca="1" si="49"/>
        <v>4.4726360260493472</v>
      </c>
      <c r="AM13" s="8">
        <f t="shared" ca="1" si="8"/>
        <v>6.1059990538638669</v>
      </c>
      <c r="AN13" s="8">
        <f t="shared" ca="1" si="9"/>
        <v>0.5989799243091094</v>
      </c>
      <c r="AO13" s="8">
        <f t="shared" ca="1" si="10"/>
        <v>0.63531279091332782</v>
      </c>
      <c r="AP13" s="71">
        <f t="shared" si="50"/>
        <v>6.1499999999999999E-2</v>
      </c>
      <c r="AQ13" s="19">
        <v>2</v>
      </c>
      <c r="AR13" s="19">
        <v>2</v>
      </c>
      <c r="AS13" s="19">
        <v>1</v>
      </c>
      <c r="AT13" s="27">
        <v>59300</v>
      </c>
    </row>
    <row r="14" spans="1:46" x14ac:dyDescent="0.25">
      <c r="A14" s="15" t="s">
        <v>30</v>
      </c>
      <c r="B14" s="15" t="s">
        <v>371</v>
      </c>
      <c r="C14" s="69">
        <f t="shared" ca="1" si="11"/>
        <v>11.517857142857142</v>
      </c>
      <c r="D14" s="111" t="s">
        <v>190</v>
      </c>
      <c r="E14" s="16">
        <v>22</v>
      </c>
      <c r="F14" s="2">
        <f ca="1">$D$2-$D$1-880-4-112-112-112-112</f>
        <v>54</v>
      </c>
      <c r="G14" s="17" t="s">
        <v>44</v>
      </c>
      <c r="H14" s="4">
        <v>1</v>
      </c>
      <c r="I14" s="26">
        <v>4.5999999999999996</v>
      </c>
      <c r="J14" s="21">
        <f>LOG(I14)*4/3</f>
        <v>0.8836771089087655</v>
      </c>
      <c r="K14" s="6">
        <f>(H14)*(H14)*(I14)</f>
        <v>4.5999999999999996</v>
      </c>
      <c r="L14" s="6">
        <f>(H14+1)*(H14+1)*I14</f>
        <v>18.399999999999999</v>
      </c>
      <c r="M14" s="72">
        <v>43046</v>
      </c>
      <c r="N14" s="73">
        <v>1.5</v>
      </c>
      <c r="O14" s="18">
        <v>6.1</v>
      </c>
      <c r="P14" s="19">
        <f>O14*10+19</f>
        <v>80</v>
      </c>
      <c r="Q14" s="19">
        <v>5</v>
      </c>
      <c r="R14" s="63">
        <f>(Q14/7)^0.5</f>
        <v>0.84515425472851657</v>
      </c>
      <c r="S14" s="63">
        <f>IF(Q14=7,1,((Q14+0.99)/7)^0.5)</f>
        <v>0.92504826128926143</v>
      </c>
      <c r="T14" s="27">
        <v>100310</v>
      </c>
      <c r="U14" s="27">
        <f t="shared" si="1"/>
        <v>-150</v>
      </c>
      <c r="V14" s="27">
        <v>13450</v>
      </c>
      <c r="W14" s="8">
        <f>T14/V14</f>
        <v>7.4579925650557621</v>
      </c>
      <c r="X14" s="20">
        <v>0</v>
      </c>
      <c r="Y14" s="21">
        <f>9</f>
        <v>9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115</v>
      </c>
      <c r="AF14" s="9">
        <v>2078</v>
      </c>
      <c r="AG14" s="8">
        <f t="shared" si="2"/>
        <v>3.0162532003337366</v>
      </c>
      <c r="AH14" s="22">
        <f>(AD14+1+(LOG(I14)*4/3)+N14)*(Q14/7)^0.5</f>
        <v>7.0855003788643121</v>
      </c>
      <c r="AI14" s="22">
        <f>(AD14+1+N14+(LOG(I14)*4/3))*(IF(Q14=7, (Q14/7)^0.5, ((Q14+1)/7)^0.5))</f>
        <v>7.761776777430768</v>
      </c>
      <c r="AJ14" s="22">
        <f>(Z14+N14+(LOG(I14)*4/3))</f>
        <v>8.0836771089087662</v>
      </c>
      <c r="AK14" s="68">
        <f>(Z14+N14+(LOG(I14)*4/3))*(Q14/7)^0.5</f>
        <v>6.8319541024457582</v>
      </c>
      <c r="AL14" s="68">
        <f>(Z14+N14+(LOG(I14)*4/3))*(IF(Q14=7, (Q14/7)^0.5, ((Q14+1)/7)^0.5))</f>
        <v>7.4840307474990038</v>
      </c>
      <c r="AM14" s="8">
        <f t="shared" si="8"/>
        <v>8.1336771089087634</v>
      </c>
      <c r="AN14" s="8">
        <f t="shared" si="9"/>
        <v>0.7156941687127012</v>
      </c>
      <c r="AO14" s="8">
        <f t="shared" si="10"/>
        <v>0.67685739762361352</v>
      </c>
      <c r="AP14" s="71">
        <f>IF(AR14=4,IF(AS14=0,0.137+0.0697,0.137+0.02),IF(AR14=3,IF(AS14=0,0.0958+0.0697,0.0958+0.02),IF(AR14=2,IF(AS14=0,0.0415+0.0697,0.0415+0.02),IF(AR14=1,IF(AS14=0,0.0294+0.0697,0.0294+0.02),IF(AR14=0,IF(AS14=0,0.0063+0.0697,0.0063+0.02))))))</f>
        <v>0.1158</v>
      </c>
      <c r="AQ14" s="19">
        <v>4</v>
      </c>
      <c r="AR14" s="19">
        <v>3</v>
      </c>
      <c r="AS14" s="19">
        <v>2</v>
      </c>
      <c r="AT14" s="27">
        <v>100460</v>
      </c>
    </row>
    <row r="15" spans="1:46" x14ac:dyDescent="0.25">
      <c r="A15" s="15" t="s">
        <v>35</v>
      </c>
      <c r="B15" s="15" t="s">
        <v>371</v>
      </c>
      <c r="C15" s="69">
        <f t="shared" ca="1" si="11"/>
        <v>11.517857142857142</v>
      </c>
      <c r="D15" s="111" t="s">
        <v>246</v>
      </c>
      <c r="E15" s="16">
        <v>22</v>
      </c>
      <c r="F15" s="2">
        <f ca="1">$D$2-$D$1-880-4-112-112-112-112</f>
        <v>54</v>
      </c>
      <c r="G15" s="17" t="s">
        <v>192</v>
      </c>
      <c r="H15" s="35">
        <v>6</v>
      </c>
      <c r="I15" s="26">
        <v>4</v>
      </c>
      <c r="J15" s="21">
        <f>LOG(I15)*4/3</f>
        <v>0.80274665510394982</v>
      </c>
      <c r="K15" s="6">
        <f>(H15)*(H15)*(I15)</f>
        <v>144</v>
      </c>
      <c r="L15" s="6">
        <f>(H15+1)*(H15+1)*I15</f>
        <v>196</v>
      </c>
      <c r="M15" s="72">
        <v>43054</v>
      </c>
      <c r="N15" s="73">
        <f ca="1">IF((TODAY()-M15)&gt;335,1,((TODAY()-M15)^0.64)/(336^0.64))</f>
        <v>1</v>
      </c>
      <c r="O15" s="18">
        <v>6</v>
      </c>
      <c r="P15" s="19">
        <f>O15*10+19</f>
        <v>79</v>
      </c>
      <c r="Q15" s="25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81290</v>
      </c>
      <c r="U15" s="27">
        <f t="shared" si="1"/>
        <v>1640</v>
      </c>
      <c r="V15" s="27">
        <v>9050</v>
      </c>
      <c r="W15" s="8">
        <f>T15/V15</f>
        <v>8.98232044198895</v>
      </c>
      <c r="X15" s="20">
        <v>0</v>
      </c>
      <c r="Y15" s="21">
        <f>9+3/7</f>
        <v>9.4285714285714288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109.88</v>
      </c>
      <c r="AF15" s="9">
        <v>1975</v>
      </c>
      <c r="AG15" s="8">
        <f t="shared" ca="1" si="2"/>
        <v>2.6766892438493013</v>
      </c>
      <c r="AH15" s="22">
        <f ca="1">(AD15+1+(LOG(I15)*4/3)+N15)*(Q15/7)^0.5</f>
        <v>4.9042160246727713</v>
      </c>
      <c r="AI15" s="22">
        <f ca="1">(AD15+1+N15+(LOG(I15)*4/3))*(IF(Q15=7, (Q15/7)^0.5, ((Q15+1)/7)^0.5))</f>
        <v>5.3722994871831782</v>
      </c>
      <c r="AJ15" s="22">
        <f ca="1">(Z15+N15+(LOG(I15)*4/3))</f>
        <v>6.8027466551039497</v>
      </c>
      <c r="AK15" s="68">
        <f ca="1">(Z15+N15+(LOG(I15)*4/3))*(Q15/7)^0.5</f>
        <v>5.7493702794012878</v>
      </c>
      <c r="AL15" s="68">
        <f ca="1">(Z15+N15+(LOG(I15)*4/3))*(IF(Q15=7, (Q15/7)^0.5, ((Q15+1)/7)^0.5))</f>
        <v>6.2981195869557292</v>
      </c>
      <c r="AM15" s="8">
        <f t="shared" ca="1" si="8"/>
        <v>6.2432466551039498</v>
      </c>
      <c r="AN15" s="8">
        <f t="shared" ca="1" si="9"/>
        <v>0.6243030657416494</v>
      </c>
      <c r="AO15" s="8">
        <f t="shared" ca="1" si="10"/>
        <v>0.59333512300013358</v>
      </c>
      <c r="AP15" s="7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Q15" s="19">
        <v>2</v>
      </c>
      <c r="AR15" s="19">
        <v>2</v>
      </c>
      <c r="AS15" s="19">
        <v>1</v>
      </c>
      <c r="AT15" s="27">
        <v>79650</v>
      </c>
    </row>
    <row r="16" spans="1:46" x14ac:dyDescent="0.25">
      <c r="A16" s="15" t="s">
        <v>39</v>
      </c>
      <c r="B16" s="15" t="s">
        <v>75</v>
      </c>
      <c r="C16" s="69">
        <f t="shared" ca="1" si="11"/>
        <v>3.7946428571428572</v>
      </c>
      <c r="D16" s="122" t="s">
        <v>369</v>
      </c>
      <c r="E16" s="16">
        <v>30</v>
      </c>
      <c r="F16" s="2">
        <f ca="1">$D$2-$D$1-880+25-112-112-60-112-112</f>
        <v>23</v>
      </c>
      <c r="G16" s="17" t="s">
        <v>101</v>
      </c>
      <c r="H16" s="4">
        <v>1</v>
      </c>
      <c r="I16" s="26">
        <v>7</v>
      </c>
      <c r="J16" s="21">
        <f t="shared" ref="J16:J21" si="51">LOG(I16)*4/3</f>
        <v>1.1267973866856758</v>
      </c>
      <c r="K16" s="6">
        <f t="shared" ref="K16:K17" si="52">(H16)*(H16)*(I16)</f>
        <v>7</v>
      </c>
      <c r="L16" s="6">
        <f t="shared" ref="L16:L17" si="53">(H16+1)*(H16+1)*I16</f>
        <v>28</v>
      </c>
      <c r="M16" s="72">
        <v>43591</v>
      </c>
      <c r="N16" s="73">
        <f t="shared" ca="1" si="40"/>
        <v>0.34254750934422762</v>
      </c>
      <c r="O16" s="18">
        <v>5.7</v>
      </c>
      <c r="P16" s="19">
        <f t="shared" ref="P16:P21" si="54">O16*10+19</f>
        <v>76</v>
      </c>
      <c r="Q16" s="25">
        <v>5</v>
      </c>
      <c r="R16" s="63">
        <f t="shared" ref="R16:R21" si="55">(Q16/7)^0.5</f>
        <v>0.84515425472851657</v>
      </c>
      <c r="S16" s="63">
        <f t="shared" ref="S16:S21" si="56">IF(Q16=7,1,((Q16+0.99)/7)^0.5)</f>
        <v>0.92504826128926143</v>
      </c>
      <c r="T16" s="27">
        <v>67800</v>
      </c>
      <c r="U16" s="27">
        <f t="shared" si="1"/>
        <v>5930</v>
      </c>
      <c r="V16" s="27">
        <v>17100</v>
      </c>
      <c r="W16" s="8">
        <f t="shared" ref="W16:W21" si="57">T16/V16</f>
        <v>3.9649122807017543</v>
      </c>
      <c r="X16" s="20">
        <v>0</v>
      </c>
      <c r="Y16" s="21">
        <v>9</v>
      </c>
      <c r="Z16" s="20">
        <v>13</v>
      </c>
      <c r="AA16" s="21">
        <v>6</v>
      </c>
      <c r="AB16" s="20">
        <f>7+1/7</f>
        <v>7.1428571428571432</v>
      </c>
      <c r="AC16" s="21">
        <v>7</v>
      </c>
      <c r="AD16" s="20">
        <v>17</v>
      </c>
      <c r="AE16" s="9">
        <f>30+58+8.5+14+16+25+1</f>
        <v>152.5</v>
      </c>
      <c r="AF16" s="9"/>
      <c r="AG16" s="8">
        <f t="shared" ca="1" si="2"/>
        <v>2.9256862218242419</v>
      </c>
      <c r="AH16" s="22">
        <f t="shared" ref="AH16:AH17" ca="1" si="58">(AD16+1+(LOG(I16)*4/3)+N16)*(Q16/7)^0.5</f>
        <v>16.454599675656603</v>
      </c>
      <c r="AI16" s="22">
        <f t="shared" ref="AI16:AI17" ca="1" si="59">(AD16+1+N16+(LOG(I16)*4/3))*(IF(Q16=7, (Q16/7)^0.5, ((Q16+1)/7)^0.5))</f>
        <v>18.025110834148624</v>
      </c>
      <c r="AJ16" s="22">
        <f t="shared" ref="AJ16:AJ17" ca="1" si="60">(Z16+N16+(LOG(I16)*4/3))</f>
        <v>14.469344896029902</v>
      </c>
      <c r="AK16" s="68">
        <f t="shared" ref="AK16:AK17" ca="1" si="61">(Z16+N16+(LOG(I16)*4/3))*(Q16/7)^0.5</f>
        <v>12.228828402014017</v>
      </c>
      <c r="AL16" s="68">
        <f t="shared" ref="AL16:AL17" ca="1" si="62">(Z16+N16+(LOG(I16)*4/3))*(IF(Q16=7, (Q16/7)^0.5, ((Q16+1)/7)^0.5))</f>
        <v>13.396010335285862</v>
      </c>
      <c r="AM16" s="8">
        <f t="shared" ca="1" si="8"/>
        <v>15.469344896029904</v>
      </c>
      <c r="AN16" s="8">
        <f t="shared" ca="1" si="9"/>
        <v>0.97754759168239214</v>
      </c>
      <c r="AO16" s="8">
        <f t="shared" ca="1" si="10"/>
        <v>0.97285414272209325</v>
      </c>
      <c r="AP16" s="71">
        <f t="shared" ref="AP16:AP17" si="63"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Q16" s="19">
        <v>1</v>
      </c>
      <c r="AR16" s="19">
        <v>2</v>
      </c>
      <c r="AS16" s="19">
        <v>2</v>
      </c>
      <c r="AT16" s="27">
        <v>61870</v>
      </c>
    </row>
    <row r="17" spans="1:46" x14ac:dyDescent="0.25">
      <c r="A17" s="15" t="s">
        <v>240</v>
      </c>
      <c r="B17" s="23" t="s">
        <v>75</v>
      </c>
      <c r="C17" s="69">
        <f t="shared" ca="1" si="11"/>
        <v>2.75</v>
      </c>
      <c r="D17" s="122" t="s">
        <v>355</v>
      </c>
      <c r="E17" s="1">
        <v>31</v>
      </c>
      <c r="F17" s="2">
        <f ca="1">$D$2-$D$1-880+25-112-112-55-112-112</f>
        <v>28</v>
      </c>
      <c r="G17" s="3" t="s">
        <v>192</v>
      </c>
      <c r="H17" s="107">
        <v>5</v>
      </c>
      <c r="I17" s="5">
        <v>4.8</v>
      </c>
      <c r="J17" s="21">
        <f t="shared" si="51"/>
        <v>0.90832164983411623</v>
      </c>
      <c r="K17" s="6">
        <f t="shared" si="52"/>
        <v>120</v>
      </c>
      <c r="L17" s="6">
        <f t="shared" si="53"/>
        <v>172.79999999999998</v>
      </c>
      <c r="M17" s="72">
        <v>43415</v>
      </c>
      <c r="N17" s="73">
        <f t="shared" ca="1" si="40"/>
        <v>0.80411380674691235</v>
      </c>
      <c r="O17" s="24">
        <v>5.5</v>
      </c>
      <c r="P17" s="19">
        <f t="shared" si="54"/>
        <v>74</v>
      </c>
      <c r="Q17" s="25">
        <v>6</v>
      </c>
      <c r="R17" s="63">
        <f t="shared" si="55"/>
        <v>0.92582009977255142</v>
      </c>
      <c r="S17" s="63">
        <f t="shared" si="56"/>
        <v>0.99928545900129484</v>
      </c>
      <c r="T17" s="27">
        <v>12380</v>
      </c>
      <c r="U17" s="27">
        <f t="shared" si="1"/>
        <v>190</v>
      </c>
      <c r="V17" s="7">
        <v>5892</v>
      </c>
      <c r="W17" s="8">
        <f t="shared" si="57"/>
        <v>2.1011541072640867</v>
      </c>
      <c r="X17" s="20">
        <v>0</v>
      </c>
      <c r="Y17" s="21">
        <v>5</v>
      </c>
      <c r="Z17" s="20">
        <v>11</v>
      </c>
      <c r="AA17" s="21">
        <v>2</v>
      </c>
      <c r="AB17" s="20">
        <f>4+1/24</f>
        <v>4.041666666666667</v>
      </c>
      <c r="AC17" s="21">
        <v>5</v>
      </c>
      <c r="AD17" s="20">
        <v>12</v>
      </c>
      <c r="AE17" s="9">
        <f>10+40+4+8+12</f>
        <v>74</v>
      </c>
      <c r="AF17" s="9"/>
      <c r="AG17" s="8">
        <f t="shared" ca="1" si="2"/>
        <v>2.1086293084777403</v>
      </c>
      <c r="AH17" s="22">
        <f t="shared" ca="1" si="58"/>
        <v>13.62106846230907</v>
      </c>
      <c r="AI17" s="22">
        <f t="shared" ca="1" si="59"/>
        <v>14.712435456581028</v>
      </c>
      <c r="AJ17" s="22">
        <f t="shared" ca="1" si="60"/>
        <v>12.712435456581028</v>
      </c>
      <c r="AK17" s="68">
        <f t="shared" ca="1" si="61"/>
        <v>11.769428262763968</v>
      </c>
      <c r="AL17" s="68">
        <f t="shared" ca="1" si="62"/>
        <v>12.712435456581028</v>
      </c>
      <c r="AM17" s="8">
        <f t="shared" ca="1" si="8"/>
        <v>11.612435456581029</v>
      </c>
      <c r="AN17" s="8">
        <f t="shared" ca="1" si="9"/>
        <v>0.74699483652648224</v>
      </c>
      <c r="AO17" s="8">
        <f t="shared" ca="1" si="10"/>
        <v>0.6798704819606719</v>
      </c>
      <c r="AP17" s="71">
        <f t="shared" si="63"/>
        <v>4.9399999999999999E-2</v>
      </c>
      <c r="AQ17" s="19">
        <v>2</v>
      </c>
      <c r="AR17" s="19">
        <v>1</v>
      </c>
      <c r="AS17" s="19">
        <v>1</v>
      </c>
      <c r="AT17" s="27">
        <v>12190</v>
      </c>
    </row>
    <row r="18" spans="1:46" x14ac:dyDescent="0.25">
      <c r="A18" s="15" t="s">
        <v>189</v>
      </c>
      <c r="B18" s="15" t="s">
        <v>75</v>
      </c>
      <c r="C18" s="69">
        <f t="shared" ca="1" si="11"/>
        <v>11.151785714285714</v>
      </c>
      <c r="D18" s="122" t="s">
        <v>191</v>
      </c>
      <c r="E18" s="16">
        <v>22</v>
      </c>
      <c r="F18" s="2">
        <f ca="1">$D$2-$D$1-880+37-112-112-112-112</f>
        <v>95</v>
      </c>
      <c r="G18" s="17" t="s">
        <v>192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2">
        <v>43045</v>
      </c>
      <c r="N18" s="73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5</v>
      </c>
      <c r="R18" s="63">
        <f>(Q18/7)^0.5</f>
        <v>0.84515425472851657</v>
      </c>
      <c r="S18" s="63">
        <f>IF(Q18=7,1,((Q18+0.99)/7)^0.5)</f>
        <v>0.92504826128926143</v>
      </c>
      <c r="T18" s="27">
        <v>3960</v>
      </c>
      <c r="U18" s="27">
        <f t="shared" si="1"/>
        <v>40</v>
      </c>
      <c r="V18" s="27">
        <v>450</v>
      </c>
      <c r="W18" s="8">
        <f>T18/V18</f>
        <v>8.8000000000000007</v>
      </c>
      <c r="X18" s="20">
        <v>0</v>
      </c>
      <c r="Y18" s="21">
        <v>4</v>
      </c>
      <c r="Z18" s="20">
        <v>6</v>
      </c>
      <c r="AA18" s="21">
        <v>6</v>
      </c>
      <c r="AB18" s="20">
        <f>3.25+0.25+0.25+0.25+0.25+1/16</f>
        <v>4.3125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</f>
        <v>42.5</v>
      </c>
      <c r="AF18" s="9"/>
      <c r="AG18" s="8">
        <f t="shared" ca="1" si="2"/>
        <v>1.8188522494945716</v>
      </c>
      <c r="AH18" s="22">
        <f ca="1">(AD18+1+(LOG(I18)*4/3)+N18)*(Q18/7)^0.5</f>
        <v>4.6741988622504165</v>
      </c>
      <c r="AI18" s="22">
        <f ca="1">(AD18+1+N18+(LOG(I18)*4/3))*(IF(Q18=7, (Q18/7)^0.5, ((Q18+1)/7)^0.5))</f>
        <v>5.1203283102390715</v>
      </c>
      <c r="AJ18" s="22">
        <f ca="1">(Z18+N18+(LOG(I18)*4/3))</f>
        <v>7.5305866782293833</v>
      </c>
      <c r="AK18" s="68">
        <f ca="1">(Z18+N18+(LOG(I18)*4/3))*(Q18/7)^0.5</f>
        <v>6.3645073717074494</v>
      </c>
      <c r="AL18" s="68">
        <f ca="1">(Z18+N18+(LOG(I18)*4/3))*(IF(Q18=7, (Q18/7)^0.5, ((Q18+1)/7)^0.5))</f>
        <v>6.9719685097841744</v>
      </c>
      <c r="AM18" s="8">
        <f t="shared" ca="1" si="8"/>
        <v>5.3162945213666379</v>
      </c>
      <c r="AN18" s="8">
        <f t="shared" ca="1" si="9"/>
        <v>0.49339824144789307</v>
      </c>
      <c r="AO18" s="8">
        <f t="shared" ca="1" si="10"/>
        <v>0.35714106747605684</v>
      </c>
      <c r="AP18" s="71">
        <f>IF(AR18=4,IF(AS18=0,0.137+0.0697,0.137+0.02),IF(AR18=3,IF(AS18=0,0.0958+0.0697,0.0958+0.02),IF(AR18=2,IF(AS18=0,0.0415+0.0697,0.0415+0.02),IF(AR18=1,IF(AS18=0,0.0294+0.0697,0.0294+0.02),IF(AR18=0,IF(AS18=0,0.0063+0.0697,0.0063+0.02))))))</f>
        <v>0.1158</v>
      </c>
      <c r="AQ18" s="19">
        <v>2</v>
      </c>
      <c r="AR18" s="19">
        <v>3</v>
      </c>
      <c r="AS18" s="19">
        <v>2</v>
      </c>
      <c r="AT18" s="27">
        <v>3920</v>
      </c>
    </row>
    <row r="19" spans="1:46" x14ac:dyDescent="0.25">
      <c r="A19" s="15" t="s">
        <v>340</v>
      </c>
      <c r="B19" s="15" t="s">
        <v>43</v>
      </c>
      <c r="C19" s="69">
        <f t="shared" ca="1" si="11"/>
        <v>2.8214285714285716</v>
      </c>
      <c r="D19" s="122" t="s">
        <v>362</v>
      </c>
      <c r="E19" s="16">
        <v>31</v>
      </c>
      <c r="F19" s="2">
        <f ca="1">$D$2-$D$1-880+25-112-3-112-60-112-112</f>
        <v>20</v>
      </c>
      <c r="G19" s="17" t="s">
        <v>44</v>
      </c>
      <c r="H19" s="4">
        <v>2</v>
      </c>
      <c r="I19" s="26">
        <v>6.6</v>
      </c>
      <c r="J19" s="21">
        <f>LOG(I19)*4/3</f>
        <v>1.0927252473891582</v>
      </c>
      <c r="K19" s="6">
        <f>(H19)*(H19)*(I19)</f>
        <v>26.4</v>
      </c>
      <c r="L19" s="6">
        <f>(H19+1)*(H19+1)*I19</f>
        <v>59.4</v>
      </c>
      <c r="M19" s="72">
        <v>43420</v>
      </c>
      <c r="N19" s="73">
        <f ca="1">IF((TODAY()-M19)&gt;335,1,((TODAY()-M19)^0.64)/(336^0.64))</f>
        <v>0.79330649725408453</v>
      </c>
      <c r="O19" s="18">
        <v>5.4</v>
      </c>
      <c r="P19" s="19">
        <f>O19*10+19</f>
        <v>73</v>
      </c>
      <c r="Q19" s="25">
        <v>5</v>
      </c>
      <c r="R19" s="63">
        <f>(Q19/7)^0.5</f>
        <v>0.84515425472851657</v>
      </c>
      <c r="S19" s="63">
        <f>IF(Q19=7,1,((Q19+0.99)/7)^0.5)</f>
        <v>0.92504826128926143</v>
      </c>
      <c r="T19" s="27">
        <v>9410</v>
      </c>
      <c r="U19" s="27">
        <f t="shared" si="1"/>
        <v>1220</v>
      </c>
      <c r="V19" s="27">
        <v>3072</v>
      </c>
      <c r="W19" s="8">
        <f>T19/V19</f>
        <v>3.0631510416666665</v>
      </c>
      <c r="X19" s="20">
        <v>0</v>
      </c>
      <c r="Y19" s="21">
        <v>5</v>
      </c>
      <c r="Z19" s="20">
        <v>2</v>
      </c>
      <c r="AA19" s="21">
        <v>4</v>
      </c>
      <c r="AB19" s="20">
        <f>7+1/5</f>
        <v>7.2</v>
      </c>
      <c r="AC19" s="21">
        <v>10</v>
      </c>
      <c r="AD19" s="20">
        <v>14</v>
      </c>
      <c r="AE19" s="9">
        <f>10+3.5+14+33+16+1</f>
        <v>77.5</v>
      </c>
      <c r="AF19" s="9"/>
      <c r="AG19" s="8">
        <f t="shared" ca="1" si="2"/>
        <v>2.6472444752935091</v>
      </c>
      <c r="AH19" s="22">
        <f ca="1">(AD19+1+(LOG(I19)*4/3)+N19)*(Q19/7)^0.5</f>
        <v>14.271301574466033</v>
      </c>
      <c r="AI19" s="22">
        <f ca="1">(AD19+1+N19+(LOG(I19)*4/3))*(IF(Q19=7, (Q19/7)^0.5, ((Q19+1)/7)^0.5))</f>
        <v>15.633427594588079</v>
      </c>
      <c r="AJ19" s="22">
        <f ca="1">(Z19+N19+(LOG(I19)*4/3))</f>
        <v>3.8860317446432426</v>
      </c>
      <c r="AK19" s="68">
        <f ca="1">(Z19+N19+(LOG(I19)*4/3))*(Q19/7)^0.5</f>
        <v>3.284296262995317</v>
      </c>
      <c r="AL19" s="68">
        <f ca="1">(Z19+N19+(LOG(I19)*4/3))*(IF(Q19=7, (Q19/7)^0.5, ((Q19+1)/7)^0.5))</f>
        <v>3.5977662975449092</v>
      </c>
      <c r="AM19" s="8">
        <f t="shared" ca="1" si="8"/>
        <v>14.686031744643243</v>
      </c>
      <c r="AN19" s="8">
        <f t="shared" ca="1" si="9"/>
        <v>1.0708825395714594</v>
      </c>
      <c r="AO19" s="8">
        <f t="shared" ca="1" si="10"/>
        <v>0.75202222212502701</v>
      </c>
      <c r="AP19" s="7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Q19" s="19">
        <v>2</v>
      </c>
      <c r="AR19" s="19">
        <v>1</v>
      </c>
      <c r="AS19" s="19">
        <v>1</v>
      </c>
      <c r="AT19" s="27">
        <v>8190</v>
      </c>
    </row>
    <row r="20" spans="1:46" x14ac:dyDescent="0.25">
      <c r="A20" s="15" t="s">
        <v>347</v>
      </c>
      <c r="B20" s="15" t="s">
        <v>43</v>
      </c>
      <c r="C20" s="69">
        <f t="shared" ca="1" si="11"/>
        <v>2.4821428571428572</v>
      </c>
      <c r="D20" s="122" t="s">
        <v>356</v>
      </c>
      <c r="E20" s="16">
        <v>31</v>
      </c>
      <c r="F20" s="2">
        <f ca="1">$D$2-$D$1-880+56-112-112+41-112+15-112-112</f>
        <v>58</v>
      </c>
      <c r="G20" s="17" t="s">
        <v>192</v>
      </c>
      <c r="H20" s="4">
        <v>4</v>
      </c>
      <c r="I20" s="26">
        <v>6.3</v>
      </c>
      <c r="J20" s="21">
        <f>LOG(I20)*4/3</f>
        <v>1.0657873992714422</v>
      </c>
      <c r="K20" s="6">
        <f>(H20)*(H20)*(I20)</f>
        <v>100.8</v>
      </c>
      <c r="L20" s="6">
        <f>(H20+1)*(H20+1)*I20</f>
        <v>157.5</v>
      </c>
      <c r="M20" s="72">
        <v>43417</v>
      </c>
      <c r="N20" s="73">
        <f ca="1">IF((TODAY()-M20)&gt;335,1,((TODAY()-M20)^0.64)/(336^0.64))</f>
        <v>0.79980074422980452</v>
      </c>
      <c r="O20" s="18">
        <v>5.3</v>
      </c>
      <c r="P20" s="19">
        <f>O20*10+19</f>
        <v>72</v>
      </c>
      <c r="Q20" s="19">
        <v>7</v>
      </c>
      <c r="R20" s="63">
        <f>(Q20/7)^0.5</f>
        <v>1</v>
      </c>
      <c r="S20" s="63">
        <f>IF(Q20=7,1,((Q20+0.99)/7)^0.5)</f>
        <v>1</v>
      </c>
      <c r="T20" s="27">
        <v>13170</v>
      </c>
      <c r="U20" s="27">
        <f t="shared" si="1"/>
        <v>460</v>
      </c>
      <c r="V20" s="27">
        <v>1812</v>
      </c>
      <c r="W20" s="8">
        <f>T20/V20</f>
        <v>7.2682119205298017</v>
      </c>
      <c r="X20" s="20">
        <v>0</v>
      </c>
      <c r="Y20" s="21">
        <v>6</v>
      </c>
      <c r="Z20" s="20">
        <v>2</v>
      </c>
      <c r="AA20" s="21">
        <v>6</v>
      </c>
      <c r="AB20" s="20">
        <f>9+1/9</f>
        <v>9.1111111111111107</v>
      </c>
      <c r="AC20" s="21">
        <v>8.9499999999999993</v>
      </c>
      <c r="AD20" s="20">
        <v>13</v>
      </c>
      <c r="AE20" s="9">
        <f>14+8.5+23+27+14+1</f>
        <v>87.5</v>
      </c>
      <c r="AF20" s="9"/>
      <c r="AG20" s="8">
        <f t="shared" ca="1" si="2"/>
        <v>3.7273733315907451</v>
      </c>
      <c r="AH20" s="22">
        <f ca="1">(AD20+1+(LOG(I20)*4/3)+N20)*(Q20/7)^0.5</f>
        <v>15.865588143501247</v>
      </c>
      <c r="AI20" s="22">
        <f ca="1">(AD20+1+N20+(LOG(I20)*4/3))*(IF(Q20=7, (Q20/7)^0.5, ((Q20+1)/7)^0.5))</f>
        <v>15.865588143501247</v>
      </c>
      <c r="AJ20" s="22">
        <f ca="1">(Z20+N20+(LOG(I20)*4/3))</f>
        <v>3.8655881435012462</v>
      </c>
      <c r="AK20" s="68">
        <f ca="1">(Z20+N20+(LOG(I20)*4/3))*(Q20/7)^0.5</f>
        <v>3.8655881435012462</v>
      </c>
      <c r="AL20" s="68">
        <f ca="1">(Z20+N20+(LOG(I20)*4/3))*(IF(Q20=7, (Q20/7)^0.5, ((Q20+1)/7)^0.5))</f>
        <v>3.8655881435012462</v>
      </c>
      <c r="AM20" s="8">
        <f t="shared" ca="1" si="8"/>
        <v>13.650588143501245</v>
      </c>
      <c r="AN20" s="8">
        <f t="shared" ca="1" si="9"/>
        <v>0.98674705148009978</v>
      </c>
      <c r="AO20" s="8">
        <f t="shared" ca="1" si="10"/>
        <v>0.76059117004508736</v>
      </c>
      <c r="AP20" s="71">
        <f>IF(AR20=4,IF(AS20=0,0.137+0.0697,0.137+0.02),IF(AR20=3,IF(AS20=0,0.0958+0.0697,0.0958+0.02),IF(AR20=2,IF(AS20=0,0.0415+0.0697,0.0415+0.02),IF(AR20=1,IF(AS20=0,0.0294+0.0697,0.0294+0.02),IF(AR20=0,IF(AS20=0,0.0063+0.0697,0.0063+0.02))))))</f>
        <v>0.1158</v>
      </c>
      <c r="AQ20" s="19">
        <v>2</v>
      </c>
      <c r="AR20" s="19">
        <v>3</v>
      </c>
      <c r="AS20" s="19">
        <v>2</v>
      </c>
      <c r="AT20" s="27">
        <v>12710</v>
      </c>
    </row>
    <row r="21" spans="1:46" x14ac:dyDescent="0.25">
      <c r="A21" s="15" t="s">
        <v>352</v>
      </c>
      <c r="B21" s="15" t="s">
        <v>43</v>
      </c>
      <c r="C21" s="69">
        <f t="shared" ca="1" si="11"/>
        <v>3.7053571428571428</v>
      </c>
      <c r="D21" s="122" t="s">
        <v>370</v>
      </c>
      <c r="E21" s="16">
        <v>30</v>
      </c>
      <c r="F21" s="2">
        <f ca="1">$D$2-$D$1-1100+25-112-166</f>
        <v>33</v>
      </c>
      <c r="G21" s="17" t="s">
        <v>0</v>
      </c>
      <c r="H21" s="4">
        <v>3</v>
      </c>
      <c r="I21" s="26">
        <v>5.9</v>
      </c>
      <c r="J21" s="21">
        <f t="shared" si="51"/>
        <v>1.0278026821895256</v>
      </c>
      <c r="K21" s="6">
        <f t="shared" ref="K21" si="64">(H21)*(H21)*(I21)</f>
        <v>53.1</v>
      </c>
      <c r="L21" s="6">
        <f t="shared" ref="L21" si="65">(H21+1)*(H21+1)*I21</f>
        <v>94.4</v>
      </c>
      <c r="M21" s="72">
        <v>43590</v>
      </c>
      <c r="N21" s="73">
        <f ca="1">IF((TODAY()-M21)&gt;335,1,((TODAY()-M21)^0.64)/(336^0.64))</f>
        <v>0.34601748551657119</v>
      </c>
      <c r="O21" s="18">
        <v>4.9000000000000004</v>
      </c>
      <c r="P21" s="19">
        <f t="shared" si="54"/>
        <v>68</v>
      </c>
      <c r="Q21" s="25">
        <v>7</v>
      </c>
      <c r="R21" s="63">
        <f t="shared" si="55"/>
        <v>1</v>
      </c>
      <c r="S21" s="63">
        <f t="shared" si="56"/>
        <v>1</v>
      </c>
      <c r="T21" s="27">
        <v>40790</v>
      </c>
      <c r="U21" s="27">
        <f t="shared" si="1"/>
        <v>1060</v>
      </c>
      <c r="V21" s="27">
        <v>8436</v>
      </c>
      <c r="W21" s="8">
        <f t="shared" si="57"/>
        <v>4.8352299668089138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12</v>
      </c>
      <c r="AD21" s="20">
        <v>0</v>
      </c>
      <c r="AE21" s="9">
        <f>10+12+5.5+23+49+1</f>
        <v>100.5</v>
      </c>
      <c r="AF21" s="9"/>
      <c r="AG21" s="8">
        <f t="shared" ca="1" si="2"/>
        <v>3.4258968486040717</v>
      </c>
      <c r="AH21" s="22">
        <f t="shared" ref="AH21" ca="1" si="66">(AD21+1+(LOG(I21)*4/3)+N21)*(Q21/7)^0.5</f>
        <v>2.3738201677060968</v>
      </c>
      <c r="AI21" s="22">
        <f t="shared" ref="AI21" ca="1" si="67">(AD21+1+N21+(LOG(I21)*4/3))*(IF(Q21=7, (Q21/7)^0.5, ((Q21+1)/7)^0.5))</f>
        <v>2.3738201677060968</v>
      </c>
      <c r="AJ21" s="22">
        <f t="shared" ref="AJ21" ca="1" si="68">(Z21+N21+(LOG(I21)*4/3))</f>
        <v>7.3738201677060964</v>
      </c>
      <c r="AK21" s="68">
        <f t="shared" ref="AK21" ca="1" si="69">(Z21+N21+(LOG(I21)*4/3))*(Q21/7)^0.5</f>
        <v>7.3738201677060964</v>
      </c>
      <c r="AL21" s="68">
        <f t="shared" ref="AL21" ca="1" si="70">(Z21+N21+(LOG(I21)*4/3))*(IF(Q21=7, (Q21/7)^0.5, ((Q21+1)/7)^0.5))</f>
        <v>7.3738201677060964</v>
      </c>
      <c r="AM21" s="8">
        <f t="shared" ca="1" si="8"/>
        <v>4.9738201677060969</v>
      </c>
      <c r="AN21" s="8">
        <f t="shared" ca="1" si="9"/>
        <v>0.70990561341648772</v>
      </c>
      <c r="AO21" s="8">
        <f t="shared" ca="1" si="10"/>
        <v>0.29616741173942679</v>
      </c>
      <c r="AP21" s="71">
        <f t="shared" ref="AP21" si="71">IF(AR21=4,IF(AS21=0,0.137+0.0697,0.137+0.02),IF(AR21=3,IF(AS21=0,0.0958+0.0697,0.0958+0.02),IF(AR21=2,IF(AS21=0,0.0415+0.0697,0.0415+0.02),IF(AR21=1,IF(AS21=0,0.0294+0.0697,0.0294+0.02),IF(AR21=0,IF(AS21=0,0.0063+0.0697,0.0063+0.02))))))</f>
        <v>0.1158</v>
      </c>
      <c r="AQ21" s="19">
        <v>3</v>
      </c>
      <c r="AR21" s="19">
        <v>3</v>
      </c>
      <c r="AS21" s="19">
        <v>2</v>
      </c>
      <c r="AT21" s="27">
        <v>39730</v>
      </c>
    </row>
    <row r="22" spans="1:46" x14ac:dyDescent="0.25">
      <c r="V22" s="49"/>
    </row>
    <row r="24" spans="1:46" x14ac:dyDescent="0.25">
      <c r="T24" s="49"/>
      <c r="V24" s="49"/>
    </row>
    <row r="25" spans="1:46" x14ac:dyDescent="0.25">
      <c r="AF25" s="49"/>
    </row>
    <row r="28" spans="1:46" x14ac:dyDescent="0.25">
      <c r="T28" s="49"/>
      <c r="V28" s="49"/>
    </row>
  </sheetData>
  <sortState ref="A5:AT21">
    <sortCondition descending="1" ref="AF5:AF21"/>
  </sortState>
  <conditionalFormatting sqref="U2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P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20">
    <cfRule type="colorScale" priority="5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11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H4:AI21">
    <cfRule type="colorScale" priority="5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L21">
    <cfRule type="colorScale" priority="5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colorScale" priority="5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5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O21">
    <cfRule type="colorScale" priority="5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35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36">
      <colorScale>
        <cfvo type="min"/>
        <cfvo type="max"/>
        <color rgb="FFFFEF9C"/>
        <color rgb="FF63BE7B"/>
      </colorScale>
    </cfRule>
  </conditionalFormatting>
  <conditionalFormatting sqref="P4:P21">
    <cfRule type="colorScale" priority="5537">
      <colorScale>
        <cfvo type="min"/>
        <cfvo type="max"/>
        <color rgb="FFF8696B"/>
        <color rgb="FFFCFCFF"/>
      </colorScale>
    </cfRule>
  </conditionalFormatting>
  <conditionalFormatting sqref="I4:I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AT4:AT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{5C0C83BB-6994-44A6-8EDE-BA70C7E432F4}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C0C83BB-6994-44A6-8EDE-BA70C7E432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G116"/>
  <sheetViews>
    <sheetView zoomScaleNormal="100" workbookViewId="0">
      <selection activeCell="D8" sqref="D8"/>
    </sheetView>
  </sheetViews>
  <sheetFormatPr baseColWidth="10" defaultRowHeight="15" x14ac:dyDescent="0.25"/>
  <cols>
    <col min="1" max="1" width="4" bestFit="1" customWidth="1"/>
    <col min="2" max="2" width="24.7109375" customWidth="1"/>
    <col min="3" max="3" width="6.140625" bestFit="1" customWidth="1"/>
    <col min="4" max="4" width="5.42578125" bestFit="1" customWidth="1"/>
    <col min="5" max="5" width="5.5703125" bestFit="1" customWidth="1"/>
    <col min="6" max="6" width="5" bestFit="1" customWidth="1"/>
    <col min="7" max="7" width="11.85546875" bestFit="1" customWidth="1"/>
    <col min="8" max="8" width="6.140625" bestFit="1" customWidth="1"/>
    <col min="9" max="9" width="6.28515625" bestFit="1" customWidth="1"/>
    <col min="10" max="10" width="6.140625" bestFit="1" customWidth="1"/>
    <col min="11" max="11" width="6.28515625" customWidth="1"/>
    <col min="12" max="12" width="5" bestFit="1" customWidth="1"/>
    <col min="13" max="13" width="5.28515625" bestFit="1" customWidth="1"/>
    <col min="14" max="14" width="5.5703125" bestFit="1" customWidth="1"/>
    <col min="15" max="15" width="5.42578125" bestFit="1" customWidth="1"/>
    <col min="16" max="16" width="5.5703125" bestFit="1" customWidth="1"/>
    <col min="17" max="17" width="5" bestFit="1" customWidth="1"/>
    <col min="18" max="18" width="5.5703125" bestFit="1" customWidth="1"/>
    <col min="19" max="19" width="5.140625" bestFit="1" customWidth="1"/>
    <col min="20" max="22" width="5.5703125" bestFit="1" customWidth="1"/>
    <col min="23" max="23" width="4" bestFit="1" customWidth="1"/>
    <col min="24" max="24" width="5" bestFit="1" customWidth="1"/>
    <col min="25" max="25" width="5.42578125" bestFit="1" customWidth="1"/>
    <col min="26" max="26" width="5.5703125" bestFit="1" customWidth="1"/>
    <col min="27" max="27" width="5" bestFit="1" customWidth="1"/>
    <col min="28" max="28" width="4" bestFit="1" customWidth="1"/>
    <col min="29" max="29" width="7.28515625" bestFit="1" customWidth="1"/>
    <col min="30" max="30" width="6" customWidth="1"/>
    <col min="31" max="33" width="4" bestFit="1" customWidth="1"/>
    <col min="34" max="34" width="4.7109375" bestFit="1" customWidth="1"/>
    <col min="35" max="35" width="4" bestFit="1" customWidth="1"/>
    <col min="36" max="36" width="18.42578125" bestFit="1" customWidth="1"/>
    <col min="38" max="38" width="28.42578125" bestFit="1" customWidth="1"/>
    <col min="39" max="39" width="5.28515625" bestFit="1" customWidth="1"/>
    <col min="40" max="40" width="6.28515625" bestFit="1" customWidth="1"/>
    <col min="41" max="41" width="5.5703125" style="46" bestFit="1" customWidth="1"/>
    <col min="42" max="42" width="5" bestFit="1" customWidth="1"/>
    <col min="43" max="43" width="5.7109375" bestFit="1" customWidth="1"/>
    <col min="44" max="44" width="7.42578125" bestFit="1" customWidth="1"/>
    <col min="45" max="45" width="7.5703125" bestFit="1" customWidth="1"/>
    <col min="46" max="46" width="5.5703125" bestFit="1" customWidth="1"/>
    <col min="47" max="47" width="7.28515625" bestFit="1" customWidth="1"/>
    <col min="48" max="48" width="5" bestFit="1" customWidth="1"/>
    <col min="49" max="49" width="7.28515625" bestFit="1" customWidth="1"/>
    <col min="50" max="50" width="7.42578125" bestFit="1" customWidth="1"/>
    <col min="51" max="51" width="8.140625" bestFit="1" customWidth="1"/>
    <col min="52" max="52" width="5.7109375" bestFit="1" customWidth="1"/>
    <col min="53" max="53" width="7.42578125" bestFit="1" customWidth="1"/>
    <col min="54" max="55" width="5.7109375" bestFit="1" customWidth="1"/>
    <col min="56" max="56" width="11.5703125" bestFit="1" customWidth="1"/>
  </cols>
  <sheetData>
    <row r="1" spans="1:57" x14ac:dyDescent="0.25">
      <c r="A1" s="153"/>
      <c r="B1" s="154" t="s">
        <v>410</v>
      </c>
      <c r="C1" s="154"/>
      <c r="D1" s="154"/>
      <c r="E1" s="155"/>
      <c r="F1" s="154"/>
      <c r="G1" s="155"/>
      <c r="H1" s="156"/>
      <c r="I1" s="155"/>
      <c r="J1" s="155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5"/>
      <c r="Z1" s="155"/>
      <c r="AA1" s="155"/>
      <c r="AB1" s="155"/>
      <c r="AC1" s="155"/>
      <c r="AD1" s="157"/>
      <c r="AE1" s="157"/>
      <c r="AF1" s="157"/>
      <c r="AG1" s="157"/>
      <c r="AH1" s="157"/>
      <c r="AI1" s="157"/>
      <c r="AJ1" s="156"/>
      <c r="AL1" s="297" t="s">
        <v>462</v>
      </c>
      <c r="AM1" s="298"/>
      <c r="AN1" s="298"/>
      <c r="AO1" s="299"/>
      <c r="AP1" s="298"/>
      <c r="AQ1" s="298"/>
      <c r="AR1" s="298"/>
      <c r="AS1" s="298"/>
      <c r="AT1" s="298"/>
      <c r="AU1" s="298"/>
      <c r="AV1" s="298"/>
      <c r="AW1" s="298"/>
      <c r="AX1" s="298"/>
      <c r="AY1" s="298"/>
      <c r="AZ1" s="298"/>
      <c r="BA1" s="298"/>
      <c r="BB1" s="298"/>
      <c r="BC1" s="298"/>
      <c r="BD1" s="298"/>
    </row>
    <row r="2" spans="1:57" x14ac:dyDescent="0.25">
      <c r="A2" s="158"/>
      <c r="B2" s="159" t="s">
        <v>3</v>
      </c>
      <c r="C2" s="159" t="s">
        <v>411</v>
      </c>
      <c r="D2" s="159" t="s">
        <v>5</v>
      </c>
      <c r="E2" s="160" t="s">
        <v>412</v>
      </c>
      <c r="F2" s="159" t="s">
        <v>413</v>
      </c>
      <c r="G2" s="160" t="s">
        <v>414</v>
      </c>
      <c r="H2" s="161" t="s">
        <v>415</v>
      </c>
      <c r="I2" s="160" t="s">
        <v>416</v>
      </c>
      <c r="J2" s="160" t="s">
        <v>7</v>
      </c>
      <c r="K2" s="159" t="s">
        <v>27</v>
      </c>
      <c r="L2" s="159" t="s">
        <v>417</v>
      </c>
      <c r="M2" s="162" t="s">
        <v>29</v>
      </c>
      <c r="N2" s="162" t="s">
        <v>417</v>
      </c>
      <c r="O2" s="159" t="s">
        <v>68</v>
      </c>
      <c r="P2" s="159" t="s">
        <v>417</v>
      </c>
      <c r="Q2" s="162" t="s">
        <v>113</v>
      </c>
      <c r="R2" s="162" t="s">
        <v>417</v>
      </c>
      <c r="S2" s="159" t="s">
        <v>69</v>
      </c>
      <c r="T2" s="159" t="s">
        <v>417</v>
      </c>
      <c r="U2" s="162" t="s">
        <v>70</v>
      </c>
      <c r="V2" s="162" t="s">
        <v>417</v>
      </c>
      <c r="W2" s="159" t="s">
        <v>46</v>
      </c>
      <c r="X2" s="159" t="s">
        <v>417</v>
      </c>
      <c r="Y2" s="163" t="s">
        <v>418</v>
      </c>
      <c r="Z2" s="163" t="s">
        <v>101</v>
      </c>
      <c r="AA2" s="160" t="s">
        <v>419</v>
      </c>
      <c r="AB2" s="160" t="s">
        <v>46</v>
      </c>
      <c r="AC2" s="160" t="s">
        <v>193</v>
      </c>
      <c r="AD2" s="164" t="s">
        <v>420</v>
      </c>
      <c r="AE2" s="164" t="s">
        <v>421</v>
      </c>
      <c r="AF2" s="164" t="s">
        <v>422</v>
      </c>
      <c r="AG2" s="164" t="s">
        <v>423</v>
      </c>
      <c r="AH2" s="164" t="s">
        <v>424</v>
      </c>
      <c r="AI2" s="164" t="s">
        <v>425</v>
      </c>
      <c r="AJ2" s="161" t="s">
        <v>426</v>
      </c>
      <c r="AL2" s="261" t="s">
        <v>3</v>
      </c>
      <c r="AM2" s="261" t="s">
        <v>411</v>
      </c>
      <c r="AN2" s="261" t="s">
        <v>5</v>
      </c>
      <c r="AO2" s="300" t="s">
        <v>412</v>
      </c>
      <c r="AP2" s="302" t="s">
        <v>27</v>
      </c>
      <c r="AQ2" s="302" t="s">
        <v>463</v>
      </c>
      <c r="AR2" s="302" t="s">
        <v>29</v>
      </c>
      <c r="AS2" s="302" t="s">
        <v>464</v>
      </c>
      <c r="AT2" s="302" t="s">
        <v>68</v>
      </c>
      <c r="AU2" s="302" t="s">
        <v>465</v>
      </c>
      <c r="AV2" s="302" t="s">
        <v>113</v>
      </c>
      <c r="AW2" s="302" t="s">
        <v>466</v>
      </c>
      <c r="AX2" s="302" t="s">
        <v>70</v>
      </c>
      <c r="AY2" s="302" t="s">
        <v>467</v>
      </c>
      <c r="AZ2" s="302" t="s">
        <v>69</v>
      </c>
      <c r="BA2" s="302" t="s">
        <v>468</v>
      </c>
      <c r="BB2" s="302" t="s">
        <v>46</v>
      </c>
      <c r="BC2" s="302" t="s">
        <v>469</v>
      </c>
      <c r="BD2" s="302" t="s">
        <v>382</v>
      </c>
    </row>
    <row r="3" spans="1:57" x14ac:dyDescent="0.25">
      <c r="A3" s="165"/>
      <c r="B3" s="182" t="s">
        <v>430</v>
      </c>
      <c r="C3" s="183">
        <v>16</v>
      </c>
      <c r="D3" s="168">
        <f>88+B44-38</f>
        <v>50</v>
      </c>
      <c r="E3" s="169"/>
      <c r="F3" s="170">
        <f ca="1">G3-TODAY()</f>
        <v>49</v>
      </c>
      <c r="G3" s="171">
        <v>43703</v>
      </c>
      <c r="H3" s="172"/>
      <c r="I3" s="173" t="s">
        <v>431</v>
      </c>
      <c r="J3" s="172" t="s">
        <v>428</v>
      </c>
      <c r="K3" s="183"/>
      <c r="L3" s="183"/>
      <c r="M3" s="174">
        <v>5</v>
      </c>
      <c r="N3" s="175">
        <v>5.99</v>
      </c>
      <c r="O3" s="183"/>
      <c r="P3" s="179">
        <v>3.99</v>
      </c>
      <c r="Q3" s="183"/>
      <c r="R3" s="179">
        <v>2.99</v>
      </c>
      <c r="S3" s="183"/>
      <c r="T3" s="179">
        <v>2.99</v>
      </c>
      <c r="U3" s="183"/>
      <c r="V3" s="179">
        <v>3.99</v>
      </c>
      <c r="W3" s="183"/>
      <c r="X3" s="179">
        <v>4.99</v>
      </c>
      <c r="Y3" s="180">
        <f>7-(COUNTBLANK(K3)+COUNTBLANK(M3)+COUNTBLANK(O3)+COUNTBLANK(Q3)+COUNTBLANK(S3)+COUNTBLANK(U3)+COUNTBLANK(W3))</f>
        <v>1</v>
      </c>
      <c r="Z3" s="172">
        <f>COUNT(X3,T3,V3,R3,P3,N3,L3)</f>
        <v>6</v>
      </c>
      <c r="AA3" s="184"/>
      <c r="AB3" s="184"/>
      <c r="AC3" s="184"/>
      <c r="AD3" s="181"/>
      <c r="AE3" s="181"/>
      <c r="AF3" s="181">
        <v>4.5</v>
      </c>
      <c r="AG3" s="181"/>
      <c r="AH3" s="181"/>
      <c r="AI3" s="181"/>
      <c r="AJ3" s="181" t="s">
        <v>432</v>
      </c>
      <c r="AL3" s="275" t="s">
        <v>470</v>
      </c>
      <c r="AM3" s="269">
        <v>17</v>
      </c>
      <c r="AN3" s="276">
        <v>0</v>
      </c>
      <c r="AO3" s="301"/>
      <c r="AP3" s="262"/>
      <c r="AQ3" s="262"/>
      <c r="AR3" s="263">
        <v>4</v>
      </c>
      <c r="AS3" s="263">
        <v>4.99</v>
      </c>
      <c r="AT3" s="263">
        <v>5</v>
      </c>
      <c r="AU3" s="264">
        <v>5.99</v>
      </c>
      <c r="AV3" s="265">
        <v>2</v>
      </c>
      <c r="AW3" s="265">
        <v>2.99</v>
      </c>
      <c r="AX3" s="262"/>
      <c r="AY3" s="266">
        <v>3.99</v>
      </c>
      <c r="AZ3" s="265">
        <v>5</v>
      </c>
      <c r="BA3" s="267">
        <v>5.99</v>
      </c>
      <c r="BB3" s="265">
        <v>0</v>
      </c>
      <c r="BC3" s="265">
        <v>0.99</v>
      </c>
      <c r="BD3" s="268">
        <v>41367</v>
      </c>
    </row>
    <row r="4" spans="1:57" x14ac:dyDescent="0.25">
      <c r="A4" s="153"/>
      <c r="B4" s="185" t="s">
        <v>433</v>
      </c>
      <c r="C4" s="185"/>
      <c r="D4" s="185"/>
      <c r="E4" s="186"/>
      <c r="F4" s="185"/>
      <c r="G4" s="186"/>
      <c r="H4" s="187"/>
      <c r="I4" s="186"/>
      <c r="J4" s="186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6"/>
      <c r="Z4" s="186"/>
      <c r="AA4" s="186"/>
      <c r="AB4" s="186"/>
      <c r="AC4" s="186"/>
      <c r="AD4" s="188"/>
      <c r="AE4" s="188"/>
      <c r="AF4" s="188"/>
      <c r="AG4" s="188"/>
      <c r="AH4" s="188"/>
      <c r="AI4" s="188"/>
      <c r="AJ4" s="187"/>
      <c r="AL4" s="275" t="s">
        <v>471</v>
      </c>
      <c r="AM4" s="269">
        <v>17</v>
      </c>
      <c r="AN4" s="276">
        <v>0</v>
      </c>
      <c r="AO4" s="301"/>
      <c r="AP4" s="270"/>
      <c r="AQ4" s="270"/>
      <c r="AR4" s="271">
        <v>2</v>
      </c>
      <c r="AS4" s="272">
        <v>3.99</v>
      </c>
      <c r="AT4" s="264">
        <v>7</v>
      </c>
      <c r="AU4" s="264">
        <v>7</v>
      </c>
      <c r="AV4" s="263">
        <v>3</v>
      </c>
      <c r="AW4" s="263">
        <v>3.99</v>
      </c>
      <c r="AX4" s="273">
        <v>3</v>
      </c>
      <c r="AY4" s="274">
        <v>3.99</v>
      </c>
      <c r="AZ4" s="263">
        <v>4</v>
      </c>
      <c r="BA4" s="263">
        <v>4.99</v>
      </c>
      <c r="BB4" s="270"/>
      <c r="BC4" s="270"/>
      <c r="BD4" s="268">
        <v>41371</v>
      </c>
      <c r="BE4" s="165"/>
    </row>
    <row r="5" spans="1:57" x14ac:dyDescent="0.25">
      <c r="A5" s="189"/>
      <c r="B5" s="190" t="s">
        <v>434</v>
      </c>
      <c r="C5" s="190"/>
      <c r="D5" s="190"/>
      <c r="E5" s="191"/>
      <c r="F5" s="190"/>
      <c r="G5" s="192"/>
      <c r="H5" s="193"/>
      <c r="I5" s="192"/>
      <c r="J5" s="192"/>
      <c r="K5" s="194" t="s">
        <v>435</v>
      </c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2"/>
      <c r="Z5" s="192"/>
      <c r="AA5" s="192"/>
      <c r="AB5" s="192"/>
      <c r="AC5" s="192"/>
      <c r="AD5" s="195" t="s">
        <v>436</v>
      </c>
      <c r="AE5" s="195"/>
      <c r="AF5" s="195"/>
      <c r="AG5" s="195"/>
      <c r="AH5" s="195"/>
      <c r="AI5" s="195"/>
      <c r="AJ5" s="196"/>
      <c r="AL5" s="275" t="s">
        <v>472</v>
      </c>
      <c r="AM5" s="269">
        <v>19</v>
      </c>
      <c r="AN5" s="276">
        <v>1709</v>
      </c>
      <c r="AO5" s="301"/>
      <c r="AP5" s="270"/>
      <c r="AQ5" s="270"/>
      <c r="AR5" s="270"/>
      <c r="AS5" s="272">
        <v>2.99</v>
      </c>
      <c r="AT5" s="263">
        <v>6</v>
      </c>
      <c r="AU5" s="264">
        <v>6.1</v>
      </c>
      <c r="AV5" s="270"/>
      <c r="AW5" s="272">
        <v>2.99</v>
      </c>
      <c r="AX5" s="271">
        <v>2</v>
      </c>
      <c r="AY5" s="272">
        <v>3.99</v>
      </c>
      <c r="AZ5" s="265">
        <v>3</v>
      </c>
      <c r="BA5" s="265">
        <v>3.99</v>
      </c>
      <c r="BB5" s="265">
        <v>1</v>
      </c>
      <c r="BC5" s="265">
        <v>1.99</v>
      </c>
      <c r="BD5" s="268">
        <v>41391</v>
      </c>
      <c r="BE5" s="165"/>
    </row>
    <row r="6" spans="1:57" x14ac:dyDescent="0.25">
      <c r="A6" s="158"/>
      <c r="B6" s="197" t="s">
        <v>3</v>
      </c>
      <c r="C6" s="197" t="s">
        <v>411</v>
      </c>
      <c r="D6" s="197" t="s">
        <v>5</v>
      </c>
      <c r="E6" s="198" t="s">
        <v>412</v>
      </c>
      <c r="F6" s="197" t="s">
        <v>413</v>
      </c>
      <c r="G6" s="198" t="str">
        <f>G2</f>
        <v>Promoción</v>
      </c>
      <c r="H6" s="199" t="str">
        <f>H2</f>
        <v>Gen</v>
      </c>
      <c r="I6" s="198" t="str">
        <f>I2</f>
        <v>u20</v>
      </c>
      <c r="J6" s="198" t="str">
        <f>J2</f>
        <v>Lid</v>
      </c>
      <c r="K6" s="197" t="s">
        <v>27</v>
      </c>
      <c r="L6" s="197" t="str">
        <f t="shared" ref="L6:AA6" si="0">L2</f>
        <v>Pot</v>
      </c>
      <c r="M6" s="200" t="str">
        <f t="shared" si="0"/>
        <v>DEF</v>
      </c>
      <c r="N6" s="200" t="str">
        <f t="shared" si="0"/>
        <v>Pot</v>
      </c>
      <c r="O6" s="197" t="str">
        <f t="shared" si="0"/>
        <v>JUG</v>
      </c>
      <c r="P6" s="197" t="str">
        <f t="shared" si="0"/>
        <v>Pot</v>
      </c>
      <c r="Q6" s="200" t="str">
        <f t="shared" si="0"/>
        <v>LAT</v>
      </c>
      <c r="R6" s="200" t="str">
        <f t="shared" si="0"/>
        <v>Pot</v>
      </c>
      <c r="S6" s="197" t="str">
        <f t="shared" si="0"/>
        <v>PAS</v>
      </c>
      <c r="T6" s="197" t="str">
        <f t="shared" si="0"/>
        <v>Pot</v>
      </c>
      <c r="U6" s="200" t="str">
        <f t="shared" si="0"/>
        <v>ANO</v>
      </c>
      <c r="V6" s="200" t="str">
        <f t="shared" si="0"/>
        <v>Pot</v>
      </c>
      <c r="W6" s="197" t="str">
        <f t="shared" si="0"/>
        <v>BP</v>
      </c>
      <c r="X6" s="197" t="str">
        <f t="shared" si="0"/>
        <v>Pot</v>
      </c>
      <c r="Y6" s="201" t="str">
        <f t="shared" si="0"/>
        <v>HAB</v>
      </c>
      <c r="Z6" s="201" t="str">
        <f t="shared" si="0"/>
        <v>POT</v>
      </c>
      <c r="AA6" s="198" t="str">
        <f t="shared" si="0"/>
        <v>Cap</v>
      </c>
      <c r="AB6" s="198" t="s">
        <v>46</v>
      </c>
      <c r="AC6" s="198" t="str">
        <f t="shared" ref="AC6:AJ6" si="1">AC2</f>
        <v>HTMS</v>
      </c>
      <c r="AD6" s="202" t="str">
        <f t="shared" si="1"/>
        <v>PR</v>
      </c>
      <c r="AE6" s="202" t="str">
        <f t="shared" si="1"/>
        <v>DL</v>
      </c>
      <c r="AF6" s="202" t="str">
        <f t="shared" si="1"/>
        <v>DC</v>
      </c>
      <c r="AG6" s="202" t="str">
        <f t="shared" si="1"/>
        <v>In</v>
      </c>
      <c r="AH6" s="202" t="str">
        <f t="shared" si="1"/>
        <v>ExO</v>
      </c>
      <c r="AI6" s="202" t="str">
        <f t="shared" si="1"/>
        <v>DV</v>
      </c>
      <c r="AJ6" s="199" t="str">
        <f t="shared" si="1"/>
        <v>Atributs</v>
      </c>
      <c r="AL6" s="275" t="s">
        <v>473</v>
      </c>
      <c r="AM6" s="269">
        <v>17</v>
      </c>
      <c r="AN6" s="276">
        <v>0</v>
      </c>
      <c r="AO6" s="301" t="s">
        <v>474</v>
      </c>
      <c r="AP6" s="270"/>
      <c r="AQ6" s="272">
        <v>1.99</v>
      </c>
      <c r="AR6" s="270"/>
      <c r="AS6" s="272">
        <v>2.99</v>
      </c>
      <c r="AT6" s="263">
        <v>4</v>
      </c>
      <c r="AU6" s="263">
        <v>4.99</v>
      </c>
      <c r="AV6" s="277">
        <v>5</v>
      </c>
      <c r="AW6" s="303">
        <v>5.99</v>
      </c>
      <c r="AX6" s="270"/>
      <c r="AY6" s="272">
        <v>1.99</v>
      </c>
      <c r="AZ6" s="277">
        <v>5</v>
      </c>
      <c r="BA6" s="303">
        <v>5.99</v>
      </c>
      <c r="BB6" s="270"/>
      <c r="BC6" s="270"/>
      <c r="BD6" s="268">
        <v>41412</v>
      </c>
      <c r="BE6" s="165"/>
    </row>
    <row r="7" spans="1:57" x14ac:dyDescent="0.25">
      <c r="A7" s="165" t="s">
        <v>28</v>
      </c>
      <c r="B7" s="182" t="s">
        <v>437</v>
      </c>
      <c r="C7" s="183">
        <v>16</v>
      </c>
      <c r="D7" s="203">
        <f ca="1">B33-2100-6-93+31-112-29-112-112-87</f>
        <v>36</v>
      </c>
      <c r="E7" s="169"/>
      <c r="F7" s="170">
        <f t="shared" ref="F7:F12" ca="1" si="2">G7-TODAY()</f>
        <v>76</v>
      </c>
      <c r="G7" s="171">
        <v>43730</v>
      </c>
      <c r="H7" s="204"/>
      <c r="I7" s="172" t="s">
        <v>438</v>
      </c>
      <c r="J7" s="172" t="s">
        <v>428</v>
      </c>
      <c r="K7" s="183"/>
      <c r="L7" s="183"/>
      <c r="M7" s="177">
        <v>3</v>
      </c>
      <c r="N7" s="178">
        <v>3.99</v>
      </c>
      <c r="O7" s="205">
        <v>4</v>
      </c>
      <c r="P7" s="206">
        <v>5.99</v>
      </c>
      <c r="Q7" s="177">
        <v>1</v>
      </c>
      <c r="R7" s="178">
        <v>1.99</v>
      </c>
      <c r="S7" s="183"/>
      <c r="T7" s="206">
        <v>5.99</v>
      </c>
      <c r="U7" s="205">
        <v>4</v>
      </c>
      <c r="V7" s="207">
        <v>7</v>
      </c>
      <c r="W7" s="183"/>
      <c r="X7" s="183"/>
      <c r="Y7" s="180">
        <f>7-(COUNTBLANK(K7)+COUNTBLANK(M7)+COUNTBLANK(O7)+COUNTBLANK(Q7)+COUNTBLANK(S7)+COUNTBLANK(U7)+COUNTBLANK(W7))</f>
        <v>4</v>
      </c>
      <c r="Z7" s="172">
        <f>COUNT(X7,T7,V7,R7,P7,N7,L7)</f>
        <v>5</v>
      </c>
      <c r="AA7" s="184"/>
      <c r="AB7" s="184"/>
      <c r="AC7" s="184"/>
      <c r="AD7" s="181"/>
      <c r="AE7" s="181"/>
      <c r="AF7" s="181"/>
      <c r="AG7" s="181"/>
      <c r="AH7" s="181"/>
      <c r="AI7" s="181"/>
      <c r="AJ7" s="181" t="s">
        <v>432</v>
      </c>
      <c r="AL7" s="275" t="s">
        <v>475</v>
      </c>
      <c r="AM7" s="269">
        <v>17</v>
      </c>
      <c r="AN7" s="276">
        <v>1799</v>
      </c>
      <c r="AO7" s="301"/>
      <c r="AP7" s="278"/>
      <c r="AQ7" s="279">
        <v>1.99</v>
      </c>
      <c r="AR7" s="278"/>
      <c r="AS7" s="279">
        <v>2.99</v>
      </c>
      <c r="AT7" s="280">
        <v>4</v>
      </c>
      <c r="AU7" s="280">
        <v>4.99</v>
      </c>
      <c r="AV7" s="280">
        <v>5</v>
      </c>
      <c r="AW7" s="281">
        <v>5.99</v>
      </c>
      <c r="AX7" s="282">
        <v>3</v>
      </c>
      <c r="AY7" s="283">
        <v>3.99</v>
      </c>
      <c r="AZ7" s="280">
        <v>3</v>
      </c>
      <c r="BA7" s="280">
        <v>3.99</v>
      </c>
      <c r="BB7" s="278"/>
      <c r="BC7" s="278"/>
      <c r="BD7" s="304"/>
      <c r="BE7" s="165"/>
    </row>
    <row r="8" spans="1:57" x14ac:dyDescent="0.25">
      <c r="A8" s="165" t="s">
        <v>31</v>
      </c>
      <c r="B8" s="166" t="s">
        <v>674</v>
      </c>
      <c r="C8" s="167">
        <v>15</v>
      </c>
      <c r="D8" s="168">
        <f ca="1">B33-2100-6-93-112+6-36-112-112-12</f>
        <v>79</v>
      </c>
      <c r="E8" s="169" t="s">
        <v>192</v>
      </c>
      <c r="F8" s="170">
        <f t="shared" ca="1" si="2"/>
        <v>145</v>
      </c>
      <c r="G8" s="171">
        <v>43799</v>
      </c>
      <c r="H8" s="228" t="s">
        <v>453</v>
      </c>
      <c r="I8" s="204" t="s">
        <v>438</v>
      </c>
      <c r="J8" s="172" t="s">
        <v>428</v>
      </c>
      <c r="K8" s="167"/>
      <c r="L8" s="167"/>
      <c r="M8" s="167"/>
      <c r="N8" s="167"/>
      <c r="O8" s="167"/>
      <c r="P8" s="167"/>
      <c r="Q8" s="167"/>
      <c r="R8" s="167"/>
      <c r="S8" s="167"/>
      <c r="T8" s="179">
        <v>4.99</v>
      </c>
      <c r="U8" s="205">
        <v>4</v>
      </c>
      <c r="V8" s="207">
        <v>6.99</v>
      </c>
      <c r="W8" s="167"/>
      <c r="X8" s="167"/>
      <c r="Y8" s="180">
        <f t="shared" ref="Y8" si="3">7-(COUNTBLANK(K8)+COUNTBLANK(M8)+COUNTBLANK(O8)+COUNTBLANK(Q8)+COUNTBLANK(S8)+COUNTBLANK(U8)+COUNTBLANK(W8))</f>
        <v>1</v>
      </c>
      <c r="Z8" s="172">
        <f t="shared" ref="Z8" si="4">COUNT(X8,T8,V8,R8,P8,N8,L8)</f>
        <v>2</v>
      </c>
      <c r="AA8" s="172"/>
      <c r="AB8" s="172"/>
      <c r="AC8" s="172"/>
      <c r="AD8" s="181"/>
      <c r="AE8" s="181"/>
      <c r="AF8" s="181"/>
      <c r="AG8" s="181"/>
      <c r="AH8" s="181"/>
      <c r="AI8" s="181"/>
      <c r="AJ8" s="181" t="s">
        <v>445</v>
      </c>
      <c r="AL8" s="275" t="s">
        <v>480</v>
      </c>
      <c r="AM8" s="269">
        <v>17</v>
      </c>
      <c r="AN8" s="276">
        <v>1723</v>
      </c>
      <c r="AO8" s="301" t="s">
        <v>481</v>
      </c>
      <c r="AP8" s="278"/>
      <c r="AQ8" s="278"/>
      <c r="AR8" s="280">
        <v>2</v>
      </c>
      <c r="AS8" s="280">
        <v>2.99</v>
      </c>
      <c r="AT8" s="280">
        <v>5</v>
      </c>
      <c r="AU8" s="281">
        <v>5.99</v>
      </c>
      <c r="AV8" s="280">
        <v>5</v>
      </c>
      <c r="AW8" s="281">
        <v>5.99</v>
      </c>
      <c r="AX8" s="278"/>
      <c r="AY8" s="279">
        <v>2.99</v>
      </c>
      <c r="AZ8" s="280">
        <v>5</v>
      </c>
      <c r="BA8" s="281">
        <v>5.99</v>
      </c>
      <c r="BB8" s="278"/>
      <c r="BC8" s="279">
        <v>3.99</v>
      </c>
      <c r="BD8" s="305"/>
      <c r="BE8" s="165"/>
    </row>
    <row r="9" spans="1:57" x14ac:dyDescent="0.25">
      <c r="A9" s="165" t="s">
        <v>32</v>
      </c>
      <c r="B9" s="208" t="s">
        <v>439</v>
      </c>
      <c r="C9" s="167">
        <v>16</v>
      </c>
      <c r="D9" s="168">
        <f ca="1">88+B33-2254-6-112-112-112-82</f>
        <v>66</v>
      </c>
      <c r="E9" s="169"/>
      <c r="F9" s="170">
        <f t="shared" ca="1" si="2"/>
        <v>68</v>
      </c>
      <c r="G9" s="171">
        <v>43722</v>
      </c>
      <c r="H9" s="209" t="s">
        <v>440</v>
      </c>
      <c r="I9" s="173" t="s">
        <v>429</v>
      </c>
      <c r="J9" s="172" t="s">
        <v>428</v>
      </c>
      <c r="K9" s="183"/>
      <c r="L9" s="183"/>
      <c r="M9" s="183"/>
      <c r="N9" s="183"/>
      <c r="O9" s="183"/>
      <c r="P9" s="179">
        <v>4.99</v>
      </c>
      <c r="Q9" s="183"/>
      <c r="R9" s="179">
        <v>3.99</v>
      </c>
      <c r="S9" s="177">
        <v>2</v>
      </c>
      <c r="T9" s="178">
        <v>2.99</v>
      </c>
      <c r="U9" s="205">
        <v>4</v>
      </c>
      <c r="V9" s="207">
        <v>7</v>
      </c>
      <c r="W9" s="183"/>
      <c r="X9" s="183"/>
      <c r="Y9" s="180">
        <f>7-(COUNTBLANK(K9)+COUNTBLANK(M9)+COUNTBLANK(O9)+COUNTBLANK(Q9)+COUNTBLANK(S9)+COUNTBLANK(U9)+COUNTBLANK(W9))</f>
        <v>2</v>
      </c>
      <c r="Z9" s="172">
        <f>COUNT(X9,T9,V9,R9,P9,N9,L9)</f>
        <v>4</v>
      </c>
      <c r="AA9" s="184"/>
      <c r="AB9" s="184"/>
      <c r="AC9" s="184"/>
      <c r="AD9" s="181"/>
      <c r="AE9" s="181"/>
      <c r="AF9" s="181"/>
      <c r="AG9" s="181"/>
      <c r="AH9" s="181"/>
      <c r="AI9" s="181"/>
      <c r="AJ9" s="181" t="s">
        <v>432</v>
      </c>
      <c r="AL9" s="275" t="s">
        <v>476</v>
      </c>
      <c r="AM9" s="269">
        <v>17</v>
      </c>
      <c r="AN9" s="276">
        <v>1795</v>
      </c>
      <c r="AO9" s="301"/>
      <c r="AP9" s="278"/>
      <c r="AQ9" s="278"/>
      <c r="AR9" s="280">
        <v>4</v>
      </c>
      <c r="AS9" s="280">
        <v>4.99</v>
      </c>
      <c r="AT9" s="283">
        <v>6</v>
      </c>
      <c r="AU9" s="284">
        <v>6.99</v>
      </c>
      <c r="AV9" s="282">
        <v>3</v>
      </c>
      <c r="AW9" s="283">
        <v>3.99</v>
      </c>
      <c r="AX9" s="278"/>
      <c r="AY9" s="278"/>
      <c r="AZ9" s="280">
        <v>2</v>
      </c>
      <c r="BA9" s="280">
        <v>2.99</v>
      </c>
      <c r="BB9" s="278"/>
      <c r="BC9" s="285"/>
      <c r="BD9" s="304"/>
      <c r="BE9" s="165"/>
    </row>
    <row r="10" spans="1:57" x14ac:dyDescent="0.25">
      <c r="A10" s="165" t="s">
        <v>38</v>
      </c>
      <c r="B10" s="182" t="s">
        <v>444</v>
      </c>
      <c r="C10" s="167">
        <v>16</v>
      </c>
      <c r="D10" s="168">
        <f ca="1">86+B33-2516-112-112</f>
        <v>2</v>
      </c>
      <c r="E10" s="169" t="s">
        <v>192</v>
      </c>
      <c r="F10" s="170">
        <f t="shared" ca="1" si="2"/>
        <v>110</v>
      </c>
      <c r="G10" s="171">
        <v>43764</v>
      </c>
      <c r="H10" s="209" t="s">
        <v>440</v>
      </c>
      <c r="I10" s="173" t="s">
        <v>443</v>
      </c>
      <c r="J10" s="172"/>
      <c r="K10" s="172"/>
      <c r="L10" s="172"/>
      <c r="M10" s="172"/>
      <c r="N10" s="172"/>
      <c r="O10" s="172"/>
      <c r="P10" s="207">
        <v>6.99</v>
      </c>
      <c r="Q10" s="205">
        <v>3</v>
      </c>
      <c r="R10" s="179">
        <v>4.99</v>
      </c>
      <c r="S10" s="172"/>
      <c r="T10" s="179">
        <v>2.99</v>
      </c>
      <c r="U10" s="172"/>
      <c r="V10" s="172"/>
      <c r="W10" s="172"/>
      <c r="X10" s="172"/>
      <c r="Y10" s="180">
        <f>7-(COUNTBLANK(K10)+COUNTBLANK(M10)+COUNTBLANK(O10)+COUNTBLANK(Q10)+COUNTBLANK(S10)+COUNTBLANK(U10)+COUNTBLANK(W10))</f>
        <v>1</v>
      </c>
      <c r="Z10" s="172">
        <f>COUNT(X10,T10,V10,R10,P10,N10,L10)</f>
        <v>3</v>
      </c>
      <c r="AA10" s="184"/>
      <c r="AB10" s="184"/>
      <c r="AC10" s="184"/>
      <c r="AD10" s="181"/>
      <c r="AE10" s="181"/>
      <c r="AF10" s="181"/>
      <c r="AG10" s="181"/>
      <c r="AH10" s="181">
        <v>4</v>
      </c>
      <c r="AI10" s="181"/>
      <c r="AJ10" s="181" t="s">
        <v>445</v>
      </c>
      <c r="AL10" s="275" t="s">
        <v>479</v>
      </c>
      <c r="AM10" s="269">
        <v>17</v>
      </c>
      <c r="AN10" s="276">
        <v>1729</v>
      </c>
      <c r="AO10" s="301" t="s">
        <v>417</v>
      </c>
      <c r="AP10" s="278"/>
      <c r="AQ10" s="278"/>
      <c r="AR10" s="280">
        <v>6</v>
      </c>
      <c r="AS10" s="281">
        <v>6.99</v>
      </c>
      <c r="AT10" s="280">
        <v>5</v>
      </c>
      <c r="AU10" s="281">
        <v>5.99</v>
      </c>
      <c r="AV10" s="280">
        <v>3</v>
      </c>
      <c r="AW10" s="280">
        <v>3.99</v>
      </c>
      <c r="AX10" s="278"/>
      <c r="AY10" s="279">
        <v>2.99</v>
      </c>
      <c r="AZ10" s="278"/>
      <c r="BA10" s="279">
        <v>2.99</v>
      </c>
      <c r="BB10" s="278"/>
      <c r="BC10" s="279">
        <v>3.99</v>
      </c>
      <c r="BD10" s="305"/>
      <c r="BE10" s="287"/>
    </row>
    <row r="11" spans="1:57" x14ac:dyDescent="0.25">
      <c r="A11" s="165" t="s">
        <v>40</v>
      </c>
      <c r="B11" s="166" t="s">
        <v>441</v>
      </c>
      <c r="C11" s="167">
        <v>15</v>
      </c>
      <c r="D11" s="168">
        <f ca="1">B33-2100-6-116+4-112-112-113</f>
        <v>101</v>
      </c>
      <c r="E11" s="169" t="s">
        <v>442</v>
      </c>
      <c r="F11" s="170">
        <f t="shared" ca="1" si="2"/>
        <v>123</v>
      </c>
      <c r="G11" s="171">
        <v>43777</v>
      </c>
      <c r="H11" s="204"/>
      <c r="I11" s="210" t="s">
        <v>443</v>
      </c>
      <c r="J11" s="172" t="s">
        <v>428</v>
      </c>
      <c r="K11" s="167"/>
      <c r="L11" s="167"/>
      <c r="M11" s="205">
        <v>3</v>
      </c>
      <c r="N11" s="167"/>
      <c r="O11" s="167"/>
      <c r="P11" s="167"/>
      <c r="Q11" s="167"/>
      <c r="R11" s="179">
        <v>4.99</v>
      </c>
      <c r="S11" s="167"/>
      <c r="T11" s="179">
        <v>4.99</v>
      </c>
      <c r="U11" s="167"/>
      <c r="V11" s="167"/>
      <c r="W11" s="167"/>
      <c r="X11" s="167"/>
      <c r="Y11" s="180">
        <f>7-(COUNTBLANK(K11)+COUNTBLANK(M11)+COUNTBLANK(O11)+COUNTBLANK(Q11)+COUNTBLANK(S11)+COUNTBLANK(U11)+COUNTBLANK(W11))</f>
        <v>1</v>
      </c>
      <c r="Z11" s="172">
        <f>COUNT(X11,T11,V11,R11,P11,N11,L11)</f>
        <v>2</v>
      </c>
      <c r="AA11" s="172"/>
      <c r="AB11" s="172"/>
      <c r="AC11" s="172"/>
      <c r="AD11" s="181"/>
      <c r="AE11" s="181"/>
      <c r="AF11" s="181"/>
      <c r="AG11" s="181"/>
      <c r="AH11" s="181"/>
      <c r="AI11" s="181"/>
      <c r="AJ11" s="181" t="s">
        <v>432</v>
      </c>
      <c r="AL11" s="275" t="s">
        <v>477</v>
      </c>
      <c r="AM11" s="269">
        <v>17</v>
      </c>
      <c r="AN11" s="276">
        <v>1764</v>
      </c>
      <c r="AO11" s="301" t="s">
        <v>478</v>
      </c>
      <c r="AP11" s="278"/>
      <c r="AQ11" s="278"/>
      <c r="AR11" s="280">
        <v>3</v>
      </c>
      <c r="AS11" s="280">
        <v>3.99</v>
      </c>
      <c r="AT11" s="283">
        <v>5</v>
      </c>
      <c r="AU11" s="286">
        <v>5.99</v>
      </c>
      <c r="AV11" s="280">
        <v>2</v>
      </c>
      <c r="AW11" s="280">
        <v>2.99</v>
      </c>
      <c r="AX11" s="278"/>
      <c r="AY11" s="279">
        <v>3.99</v>
      </c>
      <c r="AZ11" s="283">
        <v>4</v>
      </c>
      <c r="BA11" s="283">
        <v>4.99</v>
      </c>
      <c r="BB11" s="278"/>
      <c r="BC11" s="278"/>
      <c r="BD11" s="290"/>
      <c r="BE11" s="165"/>
    </row>
    <row r="12" spans="1:57" x14ac:dyDescent="0.25">
      <c r="A12" s="153"/>
      <c r="B12" s="166" t="s">
        <v>678</v>
      </c>
      <c r="C12" s="167">
        <v>15</v>
      </c>
      <c r="D12" s="168">
        <f ca="1">B32-43400+6-112-110</f>
        <v>38</v>
      </c>
      <c r="E12" s="169"/>
      <c r="F12" s="170">
        <f t="shared" ca="1" si="2"/>
        <v>186</v>
      </c>
      <c r="G12" s="171">
        <v>43840</v>
      </c>
      <c r="H12" s="209" t="s">
        <v>440</v>
      </c>
      <c r="I12" s="204" t="s">
        <v>438</v>
      </c>
      <c r="J12" s="172" t="s">
        <v>428</v>
      </c>
      <c r="K12" s="167"/>
      <c r="L12" s="167"/>
      <c r="M12" s="167"/>
      <c r="N12" s="167"/>
      <c r="O12" s="167"/>
      <c r="P12" s="167"/>
      <c r="Q12" s="205">
        <v>3</v>
      </c>
      <c r="R12" s="206">
        <v>5.99</v>
      </c>
      <c r="S12" s="167"/>
      <c r="T12" s="167"/>
      <c r="U12" s="167"/>
      <c r="V12" s="167"/>
      <c r="W12" s="167"/>
      <c r="X12" s="167"/>
      <c r="Y12" s="180">
        <f t="shared" ref="Y12" si="5">7-(COUNTBLANK(K12)+COUNTBLANK(M12)+COUNTBLANK(O12)+COUNTBLANK(Q12)+COUNTBLANK(S12)+COUNTBLANK(U12)+COUNTBLANK(W12))</f>
        <v>1</v>
      </c>
      <c r="Z12" s="172">
        <f t="shared" ref="Z12" si="6">COUNT(X12,T12,V12,R12,P12,N12,L12)</f>
        <v>1</v>
      </c>
      <c r="AA12" s="172"/>
      <c r="AB12" s="172"/>
      <c r="AC12" s="172"/>
      <c r="AD12" s="181"/>
      <c r="AE12" s="181"/>
      <c r="AF12" s="181"/>
      <c r="AG12" s="181"/>
      <c r="AH12" s="181"/>
      <c r="AI12" s="181"/>
      <c r="AJ12" s="181" t="s">
        <v>445</v>
      </c>
      <c r="AL12" s="275" t="s">
        <v>482</v>
      </c>
      <c r="AM12" s="269">
        <v>17</v>
      </c>
      <c r="AN12" s="276">
        <v>1789</v>
      </c>
      <c r="AO12" s="301" t="s">
        <v>474</v>
      </c>
      <c r="AP12" s="278"/>
      <c r="AQ12" s="279">
        <v>1.99</v>
      </c>
      <c r="AR12" s="278"/>
      <c r="AS12" s="279">
        <v>3.99</v>
      </c>
      <c r="AT12" s="283">
        <v>5</v>
      </c>
      <c r="AU12" s="286">
        <v>5.99</v>
      </c>
      <c r="AV12" s="280">
        <v>4</v>
      </c>
      <c r="AW12" s="280">
        <v>4.99</v>
      </c>
      <c r="AX12" s="278"/>
      <c r="AY12" s="279">
        <v>3.99</v>
      </c>
      <c r="AZ12" s="278"/>
      <c r="BA12" s="279">
        <v>2.99</v>
      </c>
      <c r="BB12" s="278"/>
      <c r="BC12" s="279">
        <v>3.99</v>
      </c>
      <c r="BD12" s="305"/>
      <c r="BE12" s="165"/>
    </row>
    <row r="13" spans="1:57" x14ac:dyDescent="0.25">
      <c r="A13" s="189"/>
      <c r="B13" s="211" t="s">
        <v>446</v>
      </c>
      <c r="C13" s="211"/>
      <c r="D13" s="211"/>
      <c r="E13" s="212"/>
      <c r="F13" s="211"/>
      <c r="G13" s="212"/>
      <c r="H13" s="213"/>
      <c r="I13" s="212"/>
      <c r="J13" s="212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2"/>
      <c r="Z13" s="212"/>
      <c r="AA13" s="212"/>
      <c r="AB13" s="212"/>
      <c r="AC13" s="212"/>
      <c r="AD13" s="214"/>
      <c r="AE13" s="214"/>
      <c r="AF13" s="214"/>
      <c r="AG13" s="214"/>
      <c r="AH13" s="214"/>
      <c r="AI13" s="214"/>
      <c r="AJ13" s="213"/>
      <c r="AL13" s="275" t="s">
        <v>483</v>
      </c>
      <c r="AM13" s="269">
        <v>18</v>
      </c>
      <c r="AN13" s="276">
        <v>1781</v>
      </c>
      <c r="AO13" s="301"/>
      <c r="AP13" s="278"/>
      <c r="AQ13" s="278"/>
      <c r="AR13" s="283">
        <v>6</v>
      </c>
      <c r="AS13" s="284">
        <v>6.99</v>
      </c>
      <c r="AT13" s="280">
        <v>3</v>
      </c>
      <c r="AU13" s="280">
        <v>3.99</v>
      </c>
      <c r="AV13" s="283">
        <v>5</v>
      </c>
      <c r="AW13" s="286">
        <v>5.99</v>
      </c>
      <c r="AX13" s="279">
        <v>4</v>
      </c>
      <c r="AY13" s="288">
        <v>5.99</v>
      </c>
      <c r="AZ13" s="278"/>
      <c r="BA13" s="279">
        <v>3.99</v>
      </c>
      <c r="BB13" s="278"/>
      <c r="BC13" s="278"/>
      <c r="BD13" s="305"/>
      <c r="BE13" s="287"/>
    </row>
    <row r="14" spans="1:57" x14ac:dyDescent="0.25">
      <c r="A14" s="158"/>
      <c r="B14" s="215" t="s">
        <v>434</v>
      </c>
      <c r="C14" s="215"/>
      <c r="D14" s="215"/>
      <c r="E14" s="216"/>
      <c r="F14" s="215"/>
      <c r="G14" s="217"/>
      <c r="H14" s="218"/>
      <c r="I14" s="217"/>
      <c r="J14" s="217"/>
      <c r="K14" s="219" t="s">
        <v>435</v>
      </c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7"/>
      <c r="Z14" s="217"/>
      <c r="AA14" s="217"/>
      <c r="AB14" s="217"/>
      <c r="AC14" s="217"/>
      <c r="AD14" s="220" t="s">
        <v>436</v>
      </c>
      <c r="AE14" s="220"/>
      <c r="AF14" s="220"/>
      <c r="AG14" s="220"/>
      <c r="AH14" s="220"/>
      <c r="AI14" s="220"/>
      <c r="AJ14" s="221"/>
      <c r="AL14" s="275" t="s">
        <v>484</v>
      </c>
      <c r="AM14" s="269">
        <v>16</v>
      </c>
      <c r="AN14" s="276">
        <v>1807</v>
      </c>
      <c r="AO14" s="301" t="s">
        <v>474</v>
      </c>
      <c r="AP14" s="278"/>
      <c r="AQ14" s="278"/>
      <c r="AR14" s="289">
        <v>3</v>
      </c>
      <c r="AS14" s="280">
        <v>3.99</v>
      </c>
      <c r="AT14" s="283">
        <v>5</v>
      </c>
      <c r="AU14" s="286">
        <v>5.99</v>
      </c>
      <c r="AV14" s="280">
        <v>7</v>
      </c>
      <c r="AW14" s="281">
        <v>7</v>
      </c>
      <c r="AX14" s="278"/>
      <c r="AY14" s="279">
        <v>1.99</v>
      </c>
      <c r="AZ14" s="283">
        <v>3</v>
      </c>
      <c r="BA14" s="283">
        <v>3.99</v>
      </c>
      <c r="BB14" s="278"/>
      <c r="BC14" s="278"/>
      <c r="BD14" s="290"/>
      <c r="BE14" s="165"/>
    </row>
    <row r="15" spans="1:57" x14ac:dyDescent="0.25">
      <c r="A15" s="165" t="s">
        <v>42</v>
      </c>
      <c r="B15" s="222" t="s">
        <v>3</v>
      </c>
      <c r="C15" s="222" t="s">
        <v>411</v>
      </c>
      <c r="D15" s="222" t="s">
        <v>5</v>
      </c>
      <c r="E15" s="223" t="s">
        <v>412</v>
      </c>
      <c r="F15" s="222" t="s">
        <v>413</v>
      </c>
      <c r="G15" s="223" t="str">
        <f>G6</f>
        <v>Promoción</v>
      </c>
      <c r="H15" s="224" t="str">
        <f>H6</f>
        <v>Gen</v>
      </c>
      <c r="I15" s="223" t="str">
        <f>I6</f>
        <v>u20</v>
      </c>
      <c r="J15" s="223" t="str">
        <f>J6</f>
        <v>Lid</v>
      </c>
      <c r="K15" s="222" t="s">
        <v>27</v>
      </c>
      <c r="L15" s="222" t="str">
        <f t="shared" ref="L15:AA15" si="7">L6</f>
        <v>Pot</v>
      </c>
      <c r="M15" s="225" t="str">
        <f t="shared" si="7"/>
        <v>DEF</v>
      </c>
      <c r="N15" s="225" t="str">
        <f t="shared" si="7"/>
        <v>Pot</v>
      </c>
      <c r="O15" s="222" t="str">
        <f t="shared" si="7"/>
        <v>JUG</v>
      </c>
      <c r="P15" s="222" t="str">
        <f t="shared" si="7"/>
        <v>Pot</v>
      </c>
      <c r="Q15" s="225" t="str">
        <f t="shared" si="7"/>
        <v>LAT</v>
      </c>
      <c r="R15" s="225" t="str">
        <f t="shared" si="7"/>
        <v>Pot</v>
      </c>
      <c r="S15" s="222" t="str">
        <f t="shared" si="7"/>
        <v>PAS</v>
      </c>
      <c r="T15" s="222" t="str">
        <f t="shared" si="7"/>
        <v>Pot</v>
      </c>
      <c r="U15" s="225" t="str">
        <f t="shared" si="7"/>
        <v>ANO</v>
      </c>
      <c r="V15" s="225" t="str">
        <f t="shared" si="7"/>
        <v>Pot</v>
      </c>
      <c r="W15" s="222" t="str">
        <f t="shared" si="7"/>
        <v>BP</v>
      </c>
      <c r="X15" s="222" t="str">
        <f t="shared" si="7"/>
        <v>Pot</v>
      </c>
      <c r="Y15" s="226" t="str">
        <f t="shared" si="7"/>
        <v>HAB</v>
      </c>
      <c r="Z15" s="226" t="str">
        <f t="shared" si="7"/>
        <v>POT</v>
      </c>
      <c r="AA15" s="223" t="str">
        <f t="shared" si="7"/>
        <v>Cap</v>
      </c>
      <c r="AB15" s="223" t="s">
        <v>46</v>
      </c>
      <c r="AC15" s="223" t="str">
        <f t="shared" ref="AC15:AJ15" si="8">AC6</f>
        <v>HTMS</v>
      </c>
      <c r="AD15" s="227" t="str">
        <f t="shared" si="8"/>
        <v>PR</v>
      </c>
      <c r="AE15" s="227" t="str">
        <f t="shared" si="8"/>
        <v>DL</v>
      </c>
      <c r="AF15" s="227" t="str">
        <f t="shared" si="8"/>
        <v>DC</v>
      </c>
      <c r="AG15" s="227" t="str">
        <f t="shared" si="8"/>
        <v>In</v>
      </c>
      <c r="AH15" s="227" t="str">
        <f t="shared" si="8"/>
        <v>ExO</v>
      </c>
      <c r="AI15" s="227" t="str">
        <f t="shared" si="8"/>
        <v>DV</v>
      </c>
      <c r="AJ15" s="224" t="str">
        <f t="shared" si="8"/>
        <v>Atributs</v>
      </c>
      <c r="AL15" s="275" t="s">
        <v>485</v>
      </c>
      <c r="AM15" s="269">
        <v>18</v>
      </c>
      <c r="AN15" s="276">
        <v>1778</v>
      </c>
      <c r="AO15" s="301" t="s">
        <v>417</v>
      </c>
      <c r="AP15" s="278"/>
      <c r="AQ15" s="279">
        <v>1.99</v>
      </c>
      <c r="AR15" s="280">
        <v>2</v>
      </c>
      <c r="AS15" s="280">
        <v>2.99</v>
      </c>
      <c r="AT15" s="280">
        <v>1</v>
      </c>
      <c r="AU15" s="280">
        <v>1.99</v>
      </c>
      <c r="AV15" s="278"/>
      <c r="AW15" s="279">
        <v>1.99</v>
      </c>
      <c r="AX15" s="278"/>
      <c r="AY15" s="288">
        <v>5.99</v>
      </c>
      <c r="AZ15" s="280">
        <v>4</v>
      </c>
      <c r="BA15" s="280">
        <v>4.99</v>
      </c>
      <c r="BB15" s="280">
        <v>5</v>
      </c>
      <c r="BC15" s="281">
        <v>5.99</v>
      </c>
      <c r="BD15" s="304"/>
      <c r="BE15" s="165"/>
    </row>
    <row r="16" spans="1:57" x14ac:dyDescent="0.25">
      <c r="A16" s="165"/>
      <c r="B16" s="166" t="s">
        <v>447</v>
      </c>
      <c r="C16" s="167">
        <v>17</v>
      </c>
      <c r="D16" s="168">
        <f ca="1">B33-2100-6-93-112+6-64-112-54-112</f>
        <v>9</v>
      </c>
      <c r="E16" s="169"/>
      <c r="F16" s="170">
        <f ca="1">G16-TODAY()</f>
        <v>0</v>
      </c>
      <c r="G16" s="171">
        <f ca="1">TODAY()</f>
        <v>43654</v>
      </c>
      <c r="H16" s="172"/>
      <c r="I16" s="172" t="s">
        <v>438</v>
      </c>
      <c r="J16" s="172" t="s">
        <v>428</v>
      </c>
      <c r="K16" s="167"/>
      <c r="L16" s="167"/>
      <c r="M16" s="177">
        <v>3</v>
      </c>
      <c r="N16" s="178">
        <v>3.99</v>
      </c>
      <c r="O16" s="177">
        <v>4</v>
      </c>
      <c r="P16" s="178">
        <v>4.99</v>
      </c>
      <c r="Q16" s="205">
        <v>4</v>
      </c>
      <c r="R16" s="206">
        <v>5.99</v>
      </c>
      <c r="S16" s="205">
        <v>4</v>
      </c>
      <c r="T16" s="207">
        <v>6.99</v>
      </c>
      <c r="U16" s="205">
        <v>4</v>
      </c>
      <c r="V16" s="206">
        <v>5.99</v>
      </c>
      <c r="W16" s="167"/>
      <c r="X16" s="167"/>
      <c r="Y16" s="180">
        <f>7-(COUNTBLANK(K16)+COUNTBLANK(M16)+COUNTBLANK(O16)+COUNTBLANK(Q16)+COUNTBLANK(S16)+COUNTBLANK(U16)+COUNTBLANK(W16))</f>
        <v>5</v>
      </c>
      <c r="Z16" s="172">
        <f>COUNT(X16,T16,V16,R16,P16,N16,L16)</f>
        <v>5</v>
      </c>
      <c r="AA16" s="172">
        <v>1</v>
      </c>
      <c r="AB16" s="172"/>
      <c r="AC16" s="172"/>
      <c r="AD16" s="181"/>
      <c r="AE16" s="181"/>
      <c r="AF16" s="181"/>
      <c r="AG16" s="181"/>
      <c r="AH16" s="181">
        <v>5.5</v>
      </c>
      <c r="AI16" s="181"/>
      <c r="AJ16" s="181" t="s">
        <v>432</v>
      </c>
      <c r="AL16" s="275" t="s">
        <v>486</v>
      </c>
      <c r="AM16" s="269">
        <v>17</v>
      </c>
      <c r="AN16" s="276">
        <v>1683</v>
      </c>
      <c r="AO16" s="301"/>
      <c r="AP16" s="278"/>
      <c r="AQ16" s="278"/>
      <c r="AR16" s="283">
        <v>6</v>
      </c>
      <c r="AS16" s="284">
        <v>6.99</v>
      </c>
      <c r="AT16" s="280">
        <v>1</v>
      </c>
      <c r="AU16" s="280">
        <v>1.99</v>
      </c>
      <c r="AV16" s="280">
        <v>2</v>
      </c>
      <c r="AW16" s="280">
        <v>2.99</v>
      </c>
      <c r="AX16" s="279">
        <v>3</v>
      </c>
      <c r="AY16" s="279">
        <v>4.99</v>
      </c>
      <c r="AZ16" s="278"/>
      <c r="BA16" s="279">
        <v>2.99</v>
      </c>
      <c r="BB16" s="280">
        <v>4</v>
      </c>
      <c r="BC16" s="280">
        <v>4.99</v>
      </c>
      <c r="BD16" s="305"/>
      <c r="BE16" s="287"/>
    </row>
    <row r="17" spans="1:57" x14ac:dyDescent="0.25">
      <c r="A17" s="165" t="s">
        <v>240</v>
      </c>
      <c r="B17" s="182" t="s">
        <v>448</v>
      </c>
      <c r="C17" s="167">
        <v>16</v>
      </c>
      <c r="D17" s="168">
        <f>88+B44-40</f>
        <v>48</v>
      </c>
      <c r="E17" s="169"/>
      <c r="F17" s="170">
        <f ca="1">G17-TODAY()</f>
        <v>51</v>
      </c>
      <c r="G17" s="171">
        <v>43705</v>
      </c>
      <c r="H17" s="228"/>
      <c r="I17" s="173" t="s">
        <v>431</v>
      </c>
      <c r="J17" s="172" t="s">
        <v>428</v>
      </c>
      <c r="K17" s="183"/>
      <c r="L17" s="183"/>
      <c r="M17" s="177">
        <v>3</v>
      </c>
      <c r="N17" s="178">
        <v>3.99</v>
      </c>
      <c r="O17" s="183"/>
      <c r="P17" s="179">
        <v>4.99</v>
      </c>
      <c r="Q17" s="183"/>
      <c r="R17" s="206">
        <v>5.99</v>
      </c>
      <c r="S17" s="174">
        <v>4</v>
      </c>
      <c r="T17" s="176">
        <v>4.99</v>
      </c>
      <c r="U17" s="183"/>
      <c r="V17" s="179">
        <v>3.99</v>
      </c>
      <c r="W17" s="183"/>
      <c r="X17" s="183"/>
      <c r="Y17" s="180">
        <f>7-(COUNTBLANK(K17)+COUNTBLANK(M17)+COUNTBLANK(O17)+COUNTBLANK(Q17)+COUNTBLANK(S17)+COUNTBLANK(U17)+COUNTBLANK(W17))</f>
        <v>2</v>
      </c>
      <c r="Z17" s="172">
        <f>COUNT(X17,T17,V17,R17,P17,N17,L17)</f>
        <v>5</v>
      </c>
      <c r="AA17" s="184"/>
      <c r="AB17" s="184"/>
      <c r="AC17" s="184"/>
      <c r="AD17" s="181"/>
      <c r="AE17" s="181"/>
      <c r="AF17" s="181"/>
      <c r="AG17" s="181"/>
      <c r="AH17" s="181"/>
      <c r="AI17" s="181"/>
      <c r="AJ17" s="181"/>
      <c r="AL17" s="275" t="s">
        <v>487</v>
      </c>
      <c r="AM17" s="269">
        <v>16</v>
      </c>
      <c r="AN17" s="276">
        <v>1772</v>
      </c>
      <c r="AO17" s="301"/>
      <c r="AP17" s="278"/>
      <c r="AQ17" s="279">
        <v>1.99</v>
      </c>
      <c r="AR17" s="289">
        <v>3</v>
      </c>
      <c r="AS17" s="280">
        <v>3.99</v>
      </c>
      <c r="AT17" s="283">
        <v>4</v>
      </c>
      <c r="AU17" s="283">
        <v>4.99</v>
      </c>
      <c r="AV17" s="280">
        <v>5</v>
      </c>
      <c r="AW17" s="281">
        <v>5.99</v>
      </c>
      <c r="AX17" s="278"/>
      <c r="AY17" s="279">
        <v>4.99</v>
      </c>
      <c r="AZ17" s="280">
        <v>2</v>
      </c>
      <c r="BA17" s="280">
        <v>2.99</v>
      </c>
      <c r="BB17" s="280">
        <v>4</v>
      </c>
      <c r="BC17" s="280">
        <v>4.99</v>
      </c>
      <c r="BD17" s="305"/>
      <c r="BE17" s="287"/>
    </row>
    <row r="18" spans="1:57" x14ac:dyDescent="0.25">
      <c r="A18" s="165"/>
      <c r="B18" s="182" t="s">
        <v>449</v>
      </c>
      <c r="C18" s="183">
        <v>16</v>
      </c>
      <c r="D18" s="168">
        <f ca="1">88-444+B33-112-112-102-6+17-112-5+4-112-112-112+88-112-8+34-80-7+47-36-112-112-112-27-77-112-112-112-43-6-112-112-109-112-112</f>
        <v>80</v>
      </c>
      <c r="E18" s="169"/>
      <c r="F18" s="170">
        <f ca="1">G18-TODAY()</f>
        <v>32</v>
      </c>
      <c r="G18" s="171">
        <v>43686</v>
      </c>
      <c r="H18" s="172"/>
      <c r="I18" s="173" t="s">
        <v>429</v>
      </c>
      <c r="J18" s="172" t="s">
        <v>428</v>
      </c>
      <c r="K18" s="183"/>
      <c r="L18" s="183"/>
      <c r="M18" s="177">
        <v>4</v>
      </c>
      <c r="N18" s="178">
        <v>4.99</v>
      </c>
      <c r="O18" s="174">
        <v>2</v>
      </c>
      <c r="P18" s="176">
        <v>2.99</v>
      </c>
      <c r="Q18" s="183"/>
      <c r="R18" s="179">
        <v>3.99</v>
      </c>
      <c r="S18" s="183"/>
      <c r="T18" s="179">
        <v>2.99</v>
      </c>
      <c r="U18" s="183"/>
      <c r="V18" s="206">
        <v>5.99</v>
      </c>
      <c r="W18" s="183"/>
      <c r="X18" s="183"/>
      <c r="Y18" s="180">
        <f>7-(COUNTBLANK(K18)+COUNTBLANK(M18)+COUNTBLANK(O18)+COUNTBLANK(Q18)+COUNTBLANK(S18)+COUNTBLANK(U18)+COUNTBLANK(W18))</f>
        <v>2</v>
      </c>
      <c r="Z18" s="172">
        <f>COUNT(X18,T18,V18,R18,P18,N18,L18)</f>
        <v>5</v>
      </c>
      <c r="AA18" s="184"/>
      <c r="AB18" s="184"/>
      <c r="AC18" s="184"/>
      <c r="AD18" s="181"/>
      <c r="AE18" s="181"/>
      <c r="AF18" s="181"/>
      <c r="AG18" s="181">
        <v>3.5</v>
      </c>
      <c r="AH18" s="181"/>
      <c r="AI18" s="181"/>
      <c r="AJ18" s="181" t="s">
        <v>432</v>
      </c>
      <c r="AL18" s="275" t="s">
        <v>488</v>
      </c>
      <c r="AM18" s="269">
        <v>17</v>
      </c>
      <c r="AN18" s="276">
        <v>1733</v>
      </c>
      <c r="AO18" s="301" t="s">
        <v>489</v>
      </c>
      <c r="AP18" s="278"/>
      <c r="AQ18" s="279">
        <v>1.99</v>
      </c>
      <c r="AR18" s="283">
        <v>4</v>
      </c>
      <c r="AS18" s="283">
        <v>4.99</v>
      </c>
      <c r="AT18" s="283">
        <v>3</v>
      </c>
      <c r="AU18" s="283">
        <v>3.99</v>
      </c>
      <c r="AV18" s="283">
        <v>6</v>
      </c>
      <c r="AW18" s="284">
        <v>6.99</v>
      </c>
      <c r="AX18" s="278"/>
      <c r="AY18" s="279">
        <v>4.99</v>
      </c>
      <c r="AZ18" s="278"/>
      <c r="BA18" s="279">
        <v>2.99</v>
      </c>
      <c r="BB18" s="278"/>
      <c r="BC18" s="279">
        <v>4.99</v>
      </c>
      <c r="BD18" s="305"/>
      <c r="BE18" s="165"/>
    </row>
    <row r="19" spans="1:57" x14ac:dyDescent="0.25">
      <c r="A19" s="158"/>
      <c r="B19" s="182" t="s">
        <v>450</v>
      </c>
      <c r="C19" s="167">
        <v>16</v>
      </c>
      <c r="D19" s="168">
        <f ca="1">B33-2100-6-116+4-112-112-6-112</f>
        <v>96</v>
      </c>
      <c r="E19" s="169"/>
      <c r="F19" s="170">
        <f ca="1">G19-TODAY()</f>
        <v>16</v>
      </c>
      <c r="G19" s="171">
        <v>43670</v>
      </c>
      <c r="H19" s="209" t="s">
        <v>440</v>
      </c>
      <c r="I19" s="173" t="s">
        <v>429</v>
      </c>
      <c r="J19" s="172" t="s">
        <v>428</v>
      </c>
      <c r="K19" s="183"/>
      <c r="L19" s="183"/>
      <c r="M19" s="183"/>
      <c r="N19" s="179">
        <v>2.99</v>
      </c>
      <c r="O19" s="174">
        <v>4</v>
      </c>
      <c r="P19" s="176">
        <v>4.99</v>
      </c>
      <c r="Q19" s="183"/>
      <c r="R19" s="179">
        <v>4.99</v>
      </c>
      <c r="S19" s="205">
        <v>4</v>
      </c>
      <c r="T19" s="206">
        <v>5.99</v>
      </c>
      <c r="U19" s="177">
        <v>2</v>
      </c>
      <c r="V19" s="178">
        <v>2.99</v>
      </c>
      <c r="W19" s="183"/>
      <c r="X19" s="183"/>
      <c r="Y19" s="180">
        <f>7-(COUNTBLANK(K19)+COUNTBLANK(M19)+COUNTBLANK(O19)+COUNTBLANK(Q19)+COUNTBLANK(S19)+COUNTBLANK(U19)+COUNTBLANK(W19))</f>
        <v>3</v>
      </c>
      <c r="Z19" s="172">
        <f>COUNT(X19,T19,V19,R19,P19,N19,L19)</f>
        <v>5</v>
      </c>
      <c r="AA19" s="184"/>
      <c r="AB19" s="184">
        <v>5</v>
      </c>
      <c r="AC19" s="184"/>
      <c r="AD19" s="181"/>
      <c r="AE19" s="181"/>
      <c r="AF19" s="181"/>
      <c r="AG19" s="181"/>
      <c r="AH19" s="181">
        <v>4.5</v>
      </c>
      <c r="AI19" s="181"/>
      <c r="AJ19" s="181" t="s">
        <v>432</v>
      </c>
      <c r="AL19" s="275" t="s">
        <v>490</v>
      </c>
      <c r="AM19" s="269">
        <v>17</v>
      </c>
      <c r="AN19" s="276">
        <v>1665</v>
      </c>
      <c r="AO19" s="301"/>
      <c r="AP19" s="283">
        <v>1</v>
      </c>
      <c r="AQ19" s="283">
        <v>1.99</v>
      </c>
      <c r="AR19" s="283">
        <v>2</v>
      </c>
      <c r="AS19" s="283">
        <v>2.99</v>
      </c>
      <c r="AT19" s="280">
        <v>5</v>
      </c>
      <c r="AU19" s="281">
        <v>5.99</v>
      </c>
      <c r="AV19" s="280">
        <v>3</v>
      </c>
      <c r="AW19" s="280">
        <v>3.99</v>
      </c>
      <c r="AX19" s="278"/>
      <c r="AY19" s="279">
        <v>4.99</v>
      </c>
      <c r="AZ19" s="280">
        <v>2</v>
      </c>
      <c r="BA19" s="280">
        <v>2.99</v>
      </c>
      <c r="BB19" s="278"/>
      <c r="BC19" s="279">
        <v>2.99</v>
      </c>
      <c r="BD19" s="305"/>
      <c r="BE19" s="165"/>
    </row>
    <row r="20" spans="1:57" x14ac:dyDescent="0.25">
      <c r="A20" s="165"/>
      <c r="B20" s="229" t="s">
        <v>434</v>
      </c>
      <c r="C20" s="229"/>
      <c r="D20" s="229"/>
      <c r="E20" s="230"/>
      <c r="F20" s="229"/>
      <c r="G20" s="231"/>
      <c r="H20" s="232"/>
      <c r="I20" s="231"/>
      <c r="J20" s="231"/>
      <c r="K20" s="233" t="s">
        <v>435</v>
      </c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1"/>
      <c r="Z20" s="231"/>
      <c r="AA20" s="231"/>
      <c r="AB20" s="231"/>
      <c r="AC20" s="231"/>
      <c r="AD20" s="234" t="s">
        <v>436</v>
      </c>
      <c r="AE20" s="234"/>
      <c r="AF20" s="234"/>
      <c r="AG20" s="234"/>
      <c r="AH20" s="234"/>
      <c r="AI20" s="234"/>
      <c r="AJ20" s="235"/>
      <c r="AL20" s="275" t="s">
        <v>491</v>
      </c>
      <c r="AM20" s="269">
        <v>17</v>
      </c>
      <c r="AN20" s="276">
        <v>1585</v>
      </c>
      <c r="AO20" s="301" t="s">
        <v>478</v>
      </c>
      <c r="AP20" s="290"/>
      <c r="AQ20" s="290"/>
      <c r="AR20" s="280">
        <v>4</v>
      </c>
      <c r="AS20" s="280">
        <v>4.99</v>
      </c>
      <c r="AT20" s="290"/>
      <c r="AU20" s="279">
        <v>2.99</v>
      </c>
      <c r="AV20" s="283">
        <v>5</v>
      </c>
      <c r="AW20" s="286">
        <v>5.99</v>
      </c>
      <c r="AX20" s="290"/>
      <c r="AY20" s="279">
        <v>1.99</v>
      </c>
      <c r="AZ20" s="290"/>
      <c r="BA20" s="279">
        <v>3.99</v>
      </c>
      <c r="BB20" s="290"/>
      <c r="BC20" s="279">
        <v>2.99</v>
      </c>
      <c r="BD20" s="290"/>
      <c r="BE20" s="165"/>
    </row>
    <row r="21" spans="1:57" x14ac:dyDescent="0.25">
      <c r="A21" s="165"/>
      <c r="B21" s="236" t="s">
        <v>3</v>
      </c>
      <c r="C21" s="236" t="s">
        <v>411</v>
      </c>
      <c r="D21" s="236" t="s">
        <v>5</v>
      </c>
      <c r="E21" s="237" t="s">
        <v>412</v>
      </c>
      <c r="F21" s="236" t="s">
        <v>413</v>
      </c>
      <c r="G21" s="237" t="str">
        <f>G15</f>
        <v>Promoción</v>
      </c>
      <c r="H21" s="238" t="str">
        <f>H15</f>
        <v>Gen</v>
      </c>
      <c r="I21" s="237" t="str">
        <f>I15</f>
        <v>u20</v>
      </c>
      <c r="J21" s="237" t="str">
        <f>J15</f>
        <v>Lid</v>
      </c>
      <c r="K21" s="236" t="s">
        <v>27</v>
      </c>
      <c r="L21" s="236" t="str">
        <f t="shared" ref="L21:AA21" si="9">L15</f>
        <v>Pot</v>
      </c>
      <c r="M21" s="239" t="str">
        <f t="shared" si="9"/>
        <v>DEF</v>
      </c>
      <c r="N21" s="239" t="str">
        <f t="shared" si="9"/>
        <v>Pot</v>
      </c>
      <c r="O21" s="236" t="str">
        <f t="shared" si="9"/>
        <v>JUG</v>
      </c>
      <c r="P21" s="236" t="str">
        <f t="shared" si="9"/>
        <v>Pot</v>
      </c>
      <c r="Q21" s="239" t="str">
        <f t="shared" si="9"/>
        <v>LAT</v>
      </c>
      <c r="R21" s="239" t="str">
        <f t="shared" si="9"/>
        <v>Pot</v>
      </c>
      <c r="S21" s="236" t="str">
        <f t="shared" si="9"/>
        <v>PAS</v>
      </c>
      <c r="T21" s="236" t="str">
        <f t="shared" si="9"/>
        <v>Pot</v>
      </c>
      <c r="U21" s="239" t="str">
        <f t="shared" si="9"/>
        <v>ANO</v>
      </c>
      <c r="V21" s="239" t="str">
        <f t="shared" si="9"/>
        <v>Pot</v>
      </c>
      <c r="W21" s="236" t="str">
        <f t="shared" si="9"/>
        <v>BP</v>
      </c>
      <c r="X21" s="236" t="str">
        <f t="shared" si="9"/>
        <v>Pot</v>
      </c>
      <c r="Y21" s="240" t="str">
        <f t="shared" si="9"/>
        <v>HAB</v>
      </c>
      <c r="Z21" s="240" t="str">
        <f t="shared" si="9"/>
        <v>POT</v>
      </c>
      <c r="AA21" s="237" t="str">
        <f t="shared" si="9"/>
        <v>Cap</v>
      </c>
      <c r="AB21" s="237" t="s">
        <v>46</v>
      </c>
      <c r="AC21" s="237" t="str">
        <f t="shared" ref="AC21:AJ21" si="10">AC15</f>
        <v>HTMS</v>
      </c>
      <c r="AD21" s="241" t="str">
        <f t="shared" si="10"/>
        <v>PR</v>
      </c>
      <c r="AE21" s="241" t="str">
        <f t="shared" si="10"/>
        <v>DL</v>
      </c>
      <c r="AF21" s="241" t="str">
        <f t="shared" si="10"/>
        <v>DC</v>
      </c>
      <c r="AG21" s="241" t="str">
        <f t="shared" si="10"/>
        <v>In</v>
      </c>
      <c r="AH21" s="241" t="str">
        <f t="shared" si="10"/>
        <v>ExO</v>
      </c>
      <c r="AI21" s="241" t="str">
        <f t="shared" si="10"/>
        <v>DV</v>
      </c>
      <c r="AJ21" s="238" t="str">
        <f t="shared" si="10"/>
        <v>Atributs</v>
      </c>
      <c r="AL21" s="275" t="s">
        <v>492</v>
      </c>
      <c r="AM21" s="269">
        <v>16</v>
      </c>
      <c r="AN21" s="276">
        <v>1687</v>
      </c>
      <c r="AO21" s="301" t="s">
        <v>481</v>
      </c>
      <c r="AP21" s="290"/>
      <c r="AQ21" s="279">
        <v>1.99</v>
      </c>
      <c r="AR21" s="283">
        <v>5</v>
      </c>
      <c r="AS21" s="286">
        <v>5.99</v>
      </c>
      <c r="AT21" s="280">
        <v>5</v>
      </c>
      <c r="AU21" s="281">
        <v>5.99</v>
      </c>
      <c r="AV21" s="290"/>
      <c r="AW21" s="279">
        <v>3.99</v>
      </c>
      <c r="AX21" s="290"/>
      <c r="AY21" s="279">
        <v>4.99</v>
      </c>
      <c r="AZ21" s="280">
        <v>2</v>
      </c>
      <c r="BA21" s="280">
        <v>2.99</v>
      </c>
      <c r="BB21" s="290"/>
      <c r="BC21" s="279">
        <v>4.99</v>
      </c>
      <c r="BD21" s="290"/>
      <c r="BE21" s="165"/>
    </row>
    <row r="22" spans="1:57" x14ac:dyDescent="0.25">
      <c r="A22" s="165" t="s">
        <v>37</v>
      </c>
      <c r="B22" s="243" t="s">
        <v>451</v>
      </c>
      <c r="C22" s="167">
        <v>17</v>
      </c>
      <c r="D22" s="168">
        <f ca="1">B33-2150+2-112+7-112-78-112</f>
        <v>101</v>
      </c>
      <c r="E22" s="169" t="s">
        <v>101</v>
      </c>
      <c r="F22" s="170">
        <f t="shared" ref="F22:F28" ca="1" si="11">G22-TODAY()</f>
        <v>0</v>
      </c>
      <c r="G22" s="171">
        <f ca="1">TODAY()</f>
        <v>43654</v>
      </c>
      <c r="H22" s="209" t="s">
        <v>440</v>
      </c>
      <c r="I22" s="204" t="s">
        <v>438</v>
      </c>
      <c r="J22" s="172" t="s">
        <v>428</v>
      </c>
      <c r="K22" s="167"/>
      <c r="L22" s="179">
        <v>1.99</v>
      </c>
      <c r="M22" s="167"/>
      <c r="N22" s="179">
        <v>3.99</v>
      </c>
      <c r="O22" s="177">
        <v>2</v>
      </c>
      <c r="P22" s="178">
        <v>2.99</v>
      </c>
      <c r="Q22" s="205">
        <v>4</v>
      </c>
      <c r="R22" s="207">
        <v>6.99</v>
      </c>
      <c r="S22" s="174">
        <v>4</v>
      </c>
      <c r="T22" s="176">
        <v>4.99</v>
      </c>
      <c r="U22" s="167"/>
      <c r="V22" s="179">
        <v>3.99</v>
      </c>
      <c r="W22" s="167"/>
      <c r="X22" s="167"/>
      <c r="Y22" s="180">
        <f t="shared" ref="Y22:Y28" si="12">7-(COUNTBLANK(K22)+COUNTBLANK(M22)+COUNTBLANK(O22)+COUNTBLANK(Q22)+COUNTBLANK(S22)+COUNTBLANK(U22)+COUNTBLANK(W22))</f>
        <v>3</v>
      </c>
      <c r="Z22" s="172">
        <f t="shared" ref="Z22:Z28" si="13">COUNT(X22,T22,V22,R22,P22,N22,L22)</f>
        <v>6</v>
      </c>
      <c r="AA22" s="172"/>
      <c r="AB22" s="172"/>
      <c r="AC22" s="172"/>
      <c r="AD22" s="181"/>
      <c r="AE22" s="181">
        <v>3.5</v>
      </c>
      <c r="AF22" s="181"/>
      <c r="AG22" s="181"/>
      <c r="AH22" s="181"/>
      <c r="AI22" s="181"/>
      <c r="AJ22" s="181" t="s">
        <v>432</v>
      </c>
      <c r="AL22" s="275" t="s">
        <v>493</v>
      </c>
      <c r="AM22" s="269">
        <v>18</v>
      </c>
      <c r="AN22" s="276">
        <v>1648</v>
      </c>
      <c r="AO22" s="301" t="s">
        <v>474</v>
      </c>
      <c r="AP22" s="290"/>
      <c r="AQ22" s="279">
        <v>2.99</v>
      </c>
      <c r="AR22" s="283">
        <v>4</v>
      </c>
      <c r="AS22" s="283">
        <v>4.99</v>
      </c>
      <c r="AT22" s="279">
        <v>3</v>
      </c>
      <c r="AU22" s="279">
        <v>4.99</v>
      </c>
      <c r="AV22" s="280">
        <v>1</v>
      </c>
      <c r="AW22" s="280">
        <v>1.99</v>
      </c>
      <c r="AX22" s="290"/>
      <c r="AY22" s="279">
        <v>1.99</v>
      </c>
      <c r="AZ22" s="290"/>
      <c r="BA22" s="279">
        <v>4.99</v>
      </c>
      <c r="BB22" s="280">
        <v>4</v>
      </c>
      <c r="BC22" s="280">
        <v>4.99</v>
      </c>
      <c r="BD22" s="290"/>
      <c r="BE22" s="165"/>
    </row>
    <row r="23" spans="1:57" x14ac:dyDescent="0.25">
      <c r="A23" s="165" t="s">
        <v>38</v>
      </c>
      <c r="B23" s="208" t="s">
        <v>452</v>
      </c>
      <c r="C23" s="167">
        <v>17</v>
      </c>
      <c r="D23" s="168">
        <f ca="1">B33-2150+2-112+7-112-72-112</f>
        <v>107</v>
      </c>
      <c r="E23" s="169"/>
      <c r="F23" s="170">
        <f t="shared" ca="1" si="11"/>
        <v>0</v>
      </c>
      <c r="G23" s="171">
        <f ca="1">TODAY()</f>
        <v>43654</v>
      </c>
      <c r="H23" s="228" t="s">
        <v>453</v>
      </c>
      <c r="I23" s="204" t="s">
        <v>438</v>
      </c>
      <c r="J23" s="172" t="s">
        <v>428</v>
      </c>
      <c r="K23" s="167"/>
      <c r="L23" s="179">
        <v>1.99</v>
      </c>
      <c r="M23" s="177">
        <v>2</v>
      </c>
      <c r="N23" s="178">
        <v>2.99</v>
      </c>
      <c r="O23" s="174">
        <v>3</v>
      </c>
      <c r="P23" s="176">
        <v>3.99</v>
      </c>
      <c r="Q23" s="177">
        <v>4</v>
      </c>
      <c r="R23" s="178">
        <v>4.99</v>
      </c>
      <c r="S23" s="183"/>
      <c r="T23" s="207">
        <v>6.99</v>
      </c>
      <c r="U23" s="177">
        <v>2</v>
      </c>
      <c r="V23" s="178">
        <v>2.99</v>
      </c>
      <c r="W23" s="167"/>
      <c r="X23" s="167"/>
      <c r="Y23" s="180">
        <f t="shared" si="12"/>
        <v>4</v>
      </c>
      <c r="Z23" s="172">
        <f t="shared" si="13"/>
        <v>6</v>
      </c>
      <c r="AA23" s="172"/>
      <c r="AB23" s="172"/>
      <c r="AC23" s="172"/>
      <c r="AD23" s="181"/>
      <c r="AE23" s="181">
        <v>2</v>
      </c>
      <c r="AF23" s="181">
        <v>3</v>
      </c>
      <c r="AG23" s="181">
        <v>5</v>
      </c>
      <c r="AH23" s="181">
        <v>5.5</v>
      </c>
      <c r="AI23" s="181">
        <v>4.5</v>
      </c>
      <c r="AJ23" s="181" t="s">
        <v>445</v>
      </c>
      <c r="AL23" s="275" t="s">
        <v>494</v>
      </c>
      <c r="AM23" s="269">
        <v>19</v>
      </c>
      <c r="AN23" s="276">
        <v>1525</v>
      </c>
      <c r="AO23" s="301"/>
      <c r="AP23" s="278"/>
      <c r="AQ23" s="279">
        <v>0.99</v>
      </c>
      <c r="AR23" s="280">
        <v>4</v>
      </c>
      <c r="AS23" s="280">
        <v>4.99</v>
      </c>
      <c r="AT23" s="278"/>
      <c r="AU23" s="279">
        <v>2.99</v>
      </c>
      <c r="AV23" s="283">
        <v>4</v>
      </c>
      <c r="AW23" s="283">
        <v>4.99</v>
      </c>
      <c r="AX23" s="278"/>
      <c r="AY23" s="279">
        <v>2.99</v>
      </c>
      <c r="AZ23" s="278"/>
      <c r="BA23" s="279">
        <v>4.99</v>
      </c>
      <c r="BB23" s="280">
        <v>4</v>
      </c>
      <c r="BC23" s="280">
        <v>4.99</v>
      </c>
      <c r="BD23" s="290"/>
      <c r="BE23" s="165"/>
    </row>
    <row r="24" spans="1:57" x14ac:dyDescent="0.25">
      <c r="A24" s="165" t="s">
        <v>454</v>
      </c>
      <c r="B24" s="182" t="s">
        <v>455</v>
      </c>
      <c r="C24" s="167">
        <v>17</v>
      </c>
      <c r="D24" s="168">
        <f ca="1">88+B33-2516-112-112</f>
        <v>4</v>
      </c>
      <c r="E24" s="169"/>
      <c r="F24" s="170">
        <f t="shared" ca="1" si="11"/>
        <v>-4</v>
      </c>
      <c r="G24" s="171">
        <v>43650</v>
      </c>
      <c r="H24" s="209" t="s">
        <v>440</v>
      </c>
      <c r="I24" s="173" t="s">
        <v>429</v>
      </c>
      <c r="J24" s="172" t="s">
        <v>428</v>
      </c>
      <c r="K24" s="205">
        <v>3</v>
      </c>
      <c r="L24" s="179">
        <v>4.99</v>
      </c>
      <c r="M24" s="205">
        <v>3</v>
      </c>
      <c r="N24" s="179">
        <v>4.99</v>
      </c>
      <c r="O24" s="183"/>
      <c r="P24" s="179">
        <v>0.99</v>
      </c>
      <c r="Q24" s="183"/>
      <c r="R24" s="179">
        <v>1.99</v>
      </c>
      <c r="S24" s="183"/>
      <c r="T24" s="179">
        <v>1.99</v>
      </c>
      <c r="U24" s="183"/>
      <c r="V24" s="179">
        <v>0.99</v>
      </c>
      <c r="W24" s="183"/>
      <c r="X24" s="183"/>
      <c r="Y24" s="180">
        <f t="shared" si="12"/>
        <v>2</v>
      </c>
      <c r="Z24" s="172">
        <f t="shared" si="13"/>
        <v>6</v>
      </c>
      <c r="AA24" s="184"/>
      <c r="AB24" s="184"/>
      <c r="AC24" s="184"/>
      <c r="AD24" s="181"/>
      <c r="AE24" s="181"/>
      <c r="AF24" s="181"/>
      <c r="AG24" s="181"/>
      <c r="AH24" s="181"/>
      <c r="AI24" s="181">
        <v>6.5</v>
      </c>
      <c r="AJ24" s="181" t="s">
        <v>432</v>
      </c>
      <c r="AL24" s="275" t="s">
        <v>495</v>
      </c>
      <c r="AM24" s="269">
        <v>16</v>
      </c>
      <c r="AN24" s="276">
        <v>-624</v>
      </c>
      <c r="AO24" s="301"/>
      <c r="AP24" s="290"/>
      <c r="AQ24" s="290"/>
      <c r="AR24" s="280">
        <v>2</v>
      </c>
      <c r="AS24" s="280">
        <v>2.99</v>
      </c>
      <c r="AT24" s="280">
        <v>5</v>
      </c>
      <c r="AU24" s="281">
        <v>5.99</v>
      </c>
      <c r="AV24" s="283">
        <v>6</v>
      </c>
      <c r="AW24" s="284">
        <v>6.99</v>
      </c>
      <c r="AX24" s="283">
        <v>4</v>
      </c>
      <c r="AY24" s="283">
        <v>4.99</v>
      </c>
      <c r="AZ24" s="280">
        <v>4</v>
      </c>
      <c r="BA24" s="280">
        <v>4.99</v>
      </c>
      <c r="BB24" s="280">
        <v>3</v>
      </c>
      <c r="BC24" s="280">
        <v>3.99</v>
      </c>
      <c r="BD24" s="290"/>
      <c r="BE24" s="165"/>
    </row>
    <row r="25" spans="1:57" x14ac:dyDescent="0.25">
      <c r="A25" s="165" t="s">
        <v>37</v>
      </c>
      <c r="B25" s="208" t="s">
        <v>456</v>
      </c>
      <c r="C25" s="183">
        <v>17</v>
      </c>
      <c r="D25" s="168">
        <f ca="1">B32-43400+6-15-112-112</f>
        <v>21</v>
      </c>
      <c r="E25" s="169"/>
      <c r="F25" s="170">
        <f t="shared" ca="1" si="11"/>
        <v>0</v>
      </c>
      <c r="G25" s="171">
        <f ca="1">TODAY()</f>
        <v>43654</v>
      </c>
      <c r="H25" s="172"/>
      <c r="I25" s="172" t="s">
        <v>438</v>
      </c>
      <c r="J25" s="172" t="s">
        <v>428</v>
      </c>
      <c r="K25" s="183"/>
      <c r="L25" s="183"/>
      <c r="M25" s="205">
        <v>2</v>
      </c>
      <c r="N25" s="183"/>
      <c r="O25" s="183"/>
      <c r="P25" s="179">
        <v>2.99</v>
      </c>
      <c r="Q25" s="177">
        <v>3</v>
      </c>
      <c r="R25" s="178">
        <v>3.99</v>
      </c>
      <c r="S25" s="183"/>
      <c r="T25" s="179">
        <v>2.99</v>
      </c>
      <c r="U25" s="183"/>
      <c r="V25" s="179">
        <v>4.99</v>
      </c>
      <c r="W25" s="183"/>
      <c r="X25" s="183"/>
      <c r="Y25" s="180">
        <f t="shared" si="12"/>
        <v>2</v>
      </c>
      <c r="Z25" s="172">
        <f t="shared" si="13"/>
        <v>4</v>
      </c>
      <c r="AA25" s="184"/>
      <c r="AB25" s="184"/>
      <c r="AC25" s="184"/>
      <c r="AD25" s="181"/>
      <c r="AE25" s="181"/>
      <c r="AF25" s="181"/>
      <c r="AG25" s="181"/>
      <c r="AH25" s="181"/>
      <c r="AI25" s="181"/>
      <c r="AJ25" s="181" t="s">
        <v>432</v>
      </c>
      <c r="AL25" s="275" t="s">
        <v>496</v>
      </c>
      <c r="AM25" s="269">
        <v>16</v>
      </c>
      <c r="AN25" s="276">
        <v>1596</v>
      </c>
      <c r="AO25" s="301"/>
      <c r="AP25" s="290"/>
      <c r="AQ25" s="290"/>
      <c r="AR25" s="283">
        <v>1</v>
      </c>
      <c r="AS25" s="283">
        <v>1.99</v>
      </c>
      <c r="AT25" s="280">
        <v>6</v>
      </c>
      <c r="AU25" s="281">
        <v>6.99</v>
      </c>
      <c r="AV25" s="280">
        <v>3</v>
      </c>
      <c r="AW25" s="280">
        <v>3.99</v>
      </c>
      <c r="AX25" s="280">
        <v>3</v>
      </c>
      <c r="AY25" s="280">
        <v>3.99</v>
      </c>
      <c r="AZ25" s="280">
        <v>4</v>
      </c>
      <c r="BA25" s="280">
        <v>4.99</v>
      </c>
      <c r="BB25" s="290"/>
      <c r="BC25" s="279">
        <v>4.99</v>
      </c>
      <c r="BD25" s="290"/>
      <c r="BE25" s="165"/>
    </row>
    <row r="26" spans="1:57" x14ac:dyDescent="0.25">
      <c r="A26" s="165" t="s">
        <v>35</v>
      </c>
      <c r="B26" s="208" t="s">
        <v>457</v>
      </c>
      <c r="C26" s="183">
        <v>17</v>
      </c>
      <c r="D26" s="168">
        <f ca="1">B32-43400+6-112-112</f>
        <v>36</v>
      </c>
      <c r="E26" s="169"/>
      <c r="F26" s="170">
        <f t="shared" ca="1" si="11"/>
        <v>0</v>
      </c>
      <c r="G26" s="171">
        <f ca="1">TODAY()</f>
        <v>43654</v>
      </c>
      <c r="H26" s="204" t="s">
        <v>440</v>
      </c>
      <c r="I26" s="172" t="s">
        <v>438</v>
      </c>
      <c r="J26" s="172" t="s">
        <v>428</v>
      </c>
      <c r="K26" s="183"/>
      <c r="L26" s="179">
        <v>1.99</v>
      </c>
      <c r="M26" s="177">
        <v>2</v>
      </c>
      <c r="N26" s="178">
        <v>2.99</v>
      </c>
      <c r="O26" s="183"/>
      <c r="P26" s="179">
        <v>4.99</v>
      </c>
      <c r="Q26" s="177">
        <v>4</v>
      </c>
      <c r="R26" s="178">
        <v>4.99</v>
      </c>
      <c r="S26" s="183"/>
      <c r="T26" s="179">
        <v>4.99</v>
      </c>
      <c r="U26" s="183"/>
      <c r="V26" s="179">
        <v>3.99</v>
      </c>
      <c r="W26" s="183"/>
      <c r="X26" s="183"/>
      <c r="Y26" s="180">
        <f t="shared" si="12"/>
        <v>2</v>
      </c>
      <c r="Z26" s="172">
        <f t="shared" si="13"/>
        <v>6</v>
      </c>
      <c r="AA26" s="184"/>
      <c r="AB26" s="184"/>
      <c r="AC26" s="184"/>
      <c r="AD26" s="181"/>
      <c r="AE26" s="181"/>
      <c r="AF26" s="181">
        <v>3</v>
      </c>
      <c r="AG26" s="181">
        <v>4.5</v>
      </c>
      <c r="AH26" s="181">
        <v>4.5</v>
      </c>
      <c r="AI26" s="181">
        <v>5</v>
      </c>
      <c r="AJ26" s="181" t="s">
        <v>445</v>
      </c>
      <c r="AL26" s="275" t="s">
        <v>497</v>
      </c>
      <c r="AM26" s="269">
        <v>16</v>
      </c>
      <c r="AN26" s="276">
        <v>1566</v>
      </c>
      <c r="AO26" s="301" t="s">
        <v>474</v>
      </c>
      <c r="AP26" s="290"/>
      <c r="AQ26" s="290"/>
      <c r="AR26" s="279">
        <v>2</v>
      </c>
      <c r="AS26" s="290"/>
      <c r="AT26" s="283">
        <v>4</v>
      </c>
      <c r="AU26" s="283">
        <v>4.99</v>
      </c>
      <c r="AV26" s="280">
        <v>4</v>
      </c>
      <c r="AW26" s="280">
        <v>4.99</v>
      </c>
      <c r="AX26" s="283">
        <v>6</v>
      </c>
      <c r="AY26" s="284">
        <v>6.99</v>
      </c>
      <c r="AZ26" s="280">
        <v>4</v>
      </c>
      <c r="BA26" s="280">
        <v>4.99</v>
      </c>
      <c r="BB26" s="290"/>
      <c r="BC26" s="279">
        <v>3.99</v>
      </c>
      <c r="BD26" s="290"/>
      <c r="BE26" s="165"/>
    </row>
    <row r="27" spans="1:57" x14ac:dyDescent="0.25">
      <c r="A27" s="165" t="s">
        <v>45</v>
      </c>
      <c r="B27" s="208" t="s">
        <v>458</v>
      </c>
      <c r="C27" s="183">
        <v>17</v>
      </c>
      <c r="D27" s="168">
        <f ca="1">B33-2100-6-93-112+6-36-112-112</f>
        <v>91</v>
      </c>
      <c r="E27" s="169"/>
      <c r="F27" s="170">
        <f t="shared" ca="1" si="11"/>
        <v>0</v>
      </c>
      <c r="G27" s="171">
        <f ca="1">TODAY()</f>
        <v>43654</v>
      </c>
      <c r="H27" s="204" t="s">
        <v>459</v>
      </c>
      <c r="I27" s="172" t="s">
        <v>438</v>
      </c>
      <c r="J27" s="172" t="s">
        <v>428</v>
      </c>
      <c r="K27" s="183"/>
      <c r="L27" s="183"/>
      <c r="M27" s="183"/>
      <c r="N27" s="179">
        <v>2.99</v>
      </c>
      <c r="O27" s="183"/>
      <c r="P27" s="179">
        <v>3.99</v>
      </c>
      <c r="Q27" s="174">
        <v>4</v>
      </c>
      <c r="R27" s="176">
        <v>4.99</v>
      </c>
      <c r="S27" s="177">
        <v>2</v>
      </c>
      <c r="T27" s="178">
        <v>2.99</v>
      </c>
      <c r="U27" s="183"/>
      <c r="V27" s="179">
        <v>2.99</v>
      </c>
      <c r="W27" s="183"/>
      <c r="X27" s="183"/>
      <c r="Y27" s="180">
        <f t="shared" si="12"/>
        <v>2</v>
      </c>
      <c r="Z27" s="172">
        <f t="shared" si="13"/>
        <v>5</v>
      </c>
      <c r="AA27" s="184"/>
      <c r="AB27" s="184"/>
      <c r="AC27" s="184"/>
      <c r="AD27" s="181">
        <v>1</v>
      </c>
      <c r="AE27" s="181"/>
      <c r="AF27" s="181">
        <v>3.5</v>
      </c>
      <c r="AG27" s="181">
        <v>4</v>
      </c>
      <c r="AH27" s="181">
        <v>4</v>
      </c>
      <c r="AI27" s="181"/>
      <c r="AJ27" s="181" t="s">
        <v>432</v>
      </c>
      <c r="AL27" s="275" t="s">
        <v>498</v>
      </c>
      <c r="AM27" s="269">
        <v>19</v>
      </c>
      <c r="AN27" s="276">
        <v>1449</v>
      </c>
      <c r="AO27" s="301" t="s">
        <v>481</v>
      </c>
      <c r="AP27" s="278"/>
      <c r="AQ27" s="279">
        <v>1.99</v>
      </c>
      <c r="AR27" s="280">
        <v>4</v>
      </c>
      <c r="AS27" s="280">
        <v>4.99</v>
      </c>
      <c r="AT27" s="280">
        <v>2</v>
      </c>
      <c r="AU27" s="280">
        <v>2.99</v>
      </c>
      <c r="AV27" s="280">
        <v>4</v>
      </c>
      <c r="AW27" s="280">
        <v>4.99</v>
      </c>
      <c r="AX27" s="283">
        <v>3</v>
      </c>
      <c r="AY27" s="283">
        <v>3.99</v>
      </c>
      <c r="AZ27" s="279">
        <v>5</v>
      </c>
      <c r="BA27" s="291">
        <v>6.99</v>
      </c>
      <c r="BB27" s="289">
        <v>0</v>
      </c>
      <c r="BC27" s="280">
        <v>0.99</v>
      </c>
      <c r="BD27" s="304"/>
      <c r="BE27" s="165"/>
    </row>
    <row r="28" spans="1:57" x14ac:dyDescent="0.25">
      <c r="A28" s="165" t="s">
        <v>39</v>
      </c>
      <c r="B28" s="243" t="s">
        <v>460</v>
      </c>
      <c r="C28" s="167">
        <v>18</v>
      </c>
      <c r="D28" s="244">
        <f ca="1">B33-2158+4-112-23-112-112-112</f>
        <v>31</v>
      </c>
      <c r="E28" s="169" t="s">
        <v>101</v>
      </c>
      <c r="F28" s="170">
        <f t="shared" ca="1" si="11"/>
        <v>0</v>
      </c>
      <c r="G28" s="171">
        <f ca="1">TODAY()</f>
        <v>43654</v>
      </c>
      <c r="H28" s="204" t="s">
        <v>440</v>
      </c>
      <c r="I28" s="172" t="s">
        <v>438</v>
      </c>
      <c r="J28" s="172" t="s">
        <v>428</v>
      </c>
      <c r="K28" s="167"/>
      <c r="L28" s="179">
        <v>1.99</v>
      </c>
      <c r="M28" s="177">
        <v>4</v>
      </c>
      <c r="N28" s="178">
        <v>4.99</v>
      </c>
      <c r="O28" s="167"/>
      <c r="P28" s="179">
        <v>1.99</v>
      </c>
      <c r="Q28" s="177">
        <v>3</v>
      </c>
      <c r="R28" s="178">
        <v>3.99</v>
      </c>
      <c r="S28" s="167"/>
      <c r="T28" s="206">
        <v>5.99</v>
      </c>
      <c r="U28" s="177">
        <v>3</v>
      </c>
      <c r="V28" s="178">
        <v>3.99</v>
      </c>
      <c r="W28" s="167"/>
      <c r="X28" s="167"/>
      <c r="Y28" s="180">
        <f t="shared" si="12"/>
        <v>3</v>
      </c>
      <c r="Z28" s="172">
        <f t="shared" si="13"/>
        <v>6</v>
      </c>
      <c r="AA28" s="172"/>
      <c r="AB28" s="172"/>
      <c r="AC28" s="172"/>
      <c r="AD28" s="181">
        <v>2</v>
      </c>
      <c r="AE28" s="181">
        <v>3.5</v>
      </c>
      <c r="AF28" s="181">
        <v>4</v>
      </c>
      <c r="AG28" s="181">
        <v>3.5</v>
      </c>
      <c r="AH28" s="181">
        <v>4.5</v>
      </c>
      <c r="AI28" s="181"/>
      <c r="AJ28" s="181" t="s">
        <v>445</v>
      </c>
      <c r="AL28" s="275" t="s">
        <v>499</v>
      </c>
      <c r="AM28" s="269">
        <v>16</v>
      </c>
      <c r="AN28" s="276">
        <v>1524</v>
      </c>
      <c r="AO28" s="301"/>
      <c r="AP28" s="278"/>
      <c r="AQ28" s="279">
        <v>1.99</v>
      </c>
      <c r="AR28" s="278"/>
      <c r="AS28" s="279">
        <v>2.99</v>
      </c>
      <c r="AT28" s="280">
        <v>4</v>
      </c>
      <c r="AU28" s="280">
        <v>4.99</v>
      </c>
      <c r="AV28" s="280">
        <v>1</v>
      </c>
      <c r="AW28" s="280">
        <v>1.99</v>
      </c>
      <c r="AX28" s="283">
        <v>6</v>
      </c>
      <c r="AY28" s="284">
        <v>6.99</v>
      </c>
      <c r="AZ28" s="280">
        <v>3</v>
      </c>
      <c r="BA28" s="280">
        <v>3.99</v>
      </c>
      <c r="BB28" s="278"/>
      <c r="BC28" s="278"/>
      <c r="BD28" s="304"/>
      <c r="BE28" s="165"/>
    </row>
    <row r="29" spans="1:57" x14ac:dyDescent="0.25">
      <c r="A29" s="165"/>
      <c r="B29" s="167"/>
      <c r="C29" s="167"/>
      <c r="D29" s="167"/>
      <c r="E29" s="245"/>
      <c r="F29" s="167"/>
      <c r="G29" s="245"/>
      <c r="H29" s="246"/>
      <c r="I29" s="245"/>
      <c r="J29" s="245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245"/>
      <c r="Z29" s="245"/>
      <c r="AA29" s="245"/>
      <c r="AB29" s="245"/>
      <c r="AC29" s="245"/>
      <c r="AD29" s="247"/>
      <c r="AE29" s="247"/>
      <c r="AF29" s="247"/>
      <c r="AG29" s="247"/>
      <c r="AH29" s="247"/>
      <c r="AI29" s="247"/>
      <c r="AJ29" s="246"/>
      <c r="AL29" s="275" t="s">
        <v>500</v>
      </c>
      <c r="AM29" s="269">
        <v>18</v>
      </c>
      <c r="AN29" s="276">
        <v>1507</v>
      </c>
      <c r="AO29" s="301" t="s">
        <v>417</v>
      </c>
      <c r="AP29" s="292"/>
      <c r="AQ29" s="279">
        <v>1.99</v>
      </c>
      <c r="AR29" s="292"/>
      <c r="AS29" s="279">
        <v>1.99</v>
      </c>
      <c r="AT29" s="279">
        <v>5</v>
      </c>
      <c r="AU29" s="291">
        <v>6.99</v>
      </c>
      <c r="AV29" s="280">
        <v>2</v>
      </c>
      <c r="AW29" s="280">
        <v>2.99</v>
      </c>
      <c r="AX29" s="280">
        <v>2</v>
      </c>
      <c r="AY29" s="280">
        <v>2.99</v>
      </c>
      <c r="AZ29" s="280">
        <v>4</v>
      </c>
      <c r="BA29" s="280">
        <v>4.99</v>
      </c>
      <c r="BB29" s="280">
        <v>4</v>
      </c>
      <c r="BC29" s="280">
        <v>4.99</v>
      </c>
      <c r="BD29" s="306"/>
      <c r="BE29" s="293"/>
    </row>
    <row r="30" spans="1:57" x14ac:dyDescent="0.25">
      <c r="A30" s="165"/>
      <c r="B30" s="183"/>
      <c r="C30" s="183"/>
      <c r="D30" s="203"/>
      <c r="E30" s="184"/>
      <c r="F30" s="183"/>
      <c r="G30" s="184"/>
      <c r="H30" s="209"/>
      <c r="I30" s="184"/>
      <c r="J30" s="184"/>
      <c r="K30" s="165"/>
      <c r="L30" s="165"/>
      <c r="M30" s="165"/>
      <c r="N30" s="165"/>
      <c r="O30" s="165"/>
      <c r="P30" s="165"/>
      <c r="Q30" s="183"/>
      <c r="R30" s="183"/>
      <c r="S30" s="183"/>
      <c r="T30" s="183"/>
      <c r="U30" s="183"/>
      <c r="V30" s="183"/>
      <c r="W30" s="183"/>
      <c r="X30" s="183"/>
      <c r="Y30" s="184"/>
      <c r="Z30" s="184"/>
      <c r="AA30" s="184"/>
      <c r="AB30" s="184"/>
      <c r="AC30" s="184"/>
      <c r="AD30" s="242"/>
      <c r="AE30" s="242"/>
      <c r="AF30" s="242"/>
      <c r="AG30" s="242"/>
      <c r="AH30" s="248"/>
      <c r="AI30" s="248"/>
      <c r="AJ30" s="249"/>
      <c r="AL30" s="275" t="s">
        <v>501</v>
      </c>
      <c r="AM30" s="269">
        <v>19</v>
      </c>
      <c r="AN30" s="276">
        <v>1392</v>
      </c>
      <c r="AO30" s="301" t="s">
        <v>502</v>
      </c>
      <c r="AP30" s="290"/>
      <c r="AQ30" s="279">
        <v>1.99</v>
      </c>
      <c r="AR30" s="279">
        <v>4</v>
      </c>
      <c r="AS30" s="288">
        <v>5.99</v>
      </c>
      <c r="AT30" s="283">
        <v>4</v>
      </c>
      <c r="AU30" s="283">
        <v>4.99</v>
      </c>
      <c r="AV30" s="280">
        <v>1</v>
      </c>
      <c r="AW30" s="280">
        <v>1.99</v>
      </c>
      <c r="AX30" s="280">
        <v>5</v>
      </c>
      <c r="AY30" s="280">
        <v>5.99</v>
      </c>
      <c r="AZ30" s="280">
        <v>2</v>
      </c>
      <c r="BA30" s="280">
        <v>2.99</v>
      </c>
      <c r="BB30" s="290"/>
      <c r="BC30" s="290"/>
      <c r="BD30" s="290"/>
      <c r="BE30" s="165"/>
    </row>
    <row r="31" spans="1:57" x14ac:dyDescent="0.25">
      <c r="A31" s="165"/>
      <c r="B31" s="250" t="s">
        <v>461</v>
      </c>
      <c r="C31" s="183"/>
      <c r="D31" s="183"/>
      <c r="E31" s="184"/>
      <c r="F31" s="183"/>
      <c r="G31" s="184"/>
      <c r="H31" s="442"/>
      <c r="I31" s="442"/>
      <c r="J31" s="442"/>
      <c r="K31" s="442"/>
      <c r="L31" s="442"/>
      <c r="M31" s="442"/>
      <c r="N31" s="442"/>
      <c r="O31" s="442"/>
      <c r="P31" s="165"/>
      <c r="Q31" s="167"/>
      <c r="R31" s="167"/>
      <c r="S31" s="183"/>
      <c r="T31" s="183"/>
      <c r="U31" s="183"/>
      <c r="V31" s="183"/>
      <c r="W31" s="183"/>
      <c r="X31" s="183"/>
      <c r="Y31" s="184"/>
      <c r="Z31" s="184"/>
      <c r="AA31" s="184"/>
      <c r="AB31" s="184"/>
      <c r="AC31" s="184"/>
      <c r="AD31" s="242"/>
      <c r="AE31" s="242"/>
      <c r="AF31" s="251"/>
      <c r="AG31" s="251"/>
      <c r="AH31" s="242"/>
      <c r="AI31" s="242"/>
      <c r="AJ31" s="209"/>
      <c r="AL31" s="275" t="s">
        <v>503</v>
      </c>
      <c r="AM31" s="269">
        <v>18</v>
      </c>
      <c r="AN31" s="276">
        <v>1470</v>
      </c>
      <c r="AO31" s="301"/>
      <c r="AP31" s="290"/>
      <c r="AQ31" s="279">
        <v>1.99</v>
      </c>
      <c r="AR31" s="280">
        <v>3</v>
      </c>
      <c r="AS31" s="280">
        <v>3.99</v>
      </c>
      <c r="AT31" s="280">
        <v>3</v>
      </c>
      <c r="AU31" s="280">
        <v>3.99</v>
      </c>
      <c r="AV31" s="283">
        <v>6</v>
      </c>
      <c r="AW31" s="284">
        <v>6.99</v>
      </c>
      <c r="AX31" s="280">
        <v>2</v>
      </c>
      <c r="AY31" s="280">
        <v>2.99</v>
      </c>
      <c r="AZ31" s="280">
        <v>4</v>
      </c>
      <c r="BA31" s="280">
        <v>4.99</v>
      </c>
      <c r="BB31" s="290"/>
      <c r="BC31" s="279">
        <v>3.99</v>
      </c>
      <c r="BD31" s="294" t="s">
        <v>504</v>
      </c>
    </row>
    <row r="32" spans="1:57" x14ac:dyDescent="0.25">
      <c r="A32" s="252"/>
      <c r="B32" s="253">
        <f ca="1">TODAY()</f>
        <v>43654</v>
      </c>
      <c r="C32" s="183"/>
      <c r="D32" s="183"/>
      <c r="E32" s="254"/>
      <c r="F32" s="183"/>
      <c r="G32" s="255"/>
      <c r="H32" s="256"/>
      <c r="I32" s="255"/>
      <c r="J32" s="255"/>
      <c r="K32" s="183"/>
      <c r="L32" s="183"/>
      <c r="M32" s="183"/>
      <c r="N32" s="183"/>
      <c r="O32" s="183"/>
      <c r="P32" s="183"/>
      <c r="Q32" s="167"/>
      <c r="R32" s="167"/>
      <c r="S32" s="183"/>
      <c r="T32" s="183"/>
      <c r="U32" s="183"/>
      <c r="V32" s="183"/>
      <c r="W32" s="255"/>
      <c r="X32" s="255"/>
      <c r="Y32" s="255"/>
      <c r="Z32" s="255"/>
      <c r="AA32" s="255"/>
      <c r="AB32" s="255"/>
      <c r="AC32" s="255"/>
      <c r="AD32" s="242"/>
      <c r="AE32" s="242"/>
      <c r="AF32" s="242"/>
      <c r="AG32" s="242"/>
      <c r="AH32" s="242"/>
      <c r="AI32" s="242"/>
      <c r="AJ32" s="209"/>
      <c r="AL32" s="275" t="s">
        <v>505</v>
      </c>
      <c r="AM32" s="269">
        <v>17</v>
      </c>
      <c r="AN32" s="276">
        <v>1357</v>
      </c>
      <c r="AO32" s="301" t="s">
        <v>478</v>
      </c>
      <c r="AP32" s="290"/>
      <c r="AQ32" s="290"/>
      <c r="AR32" s="290"/>
      <c r="AS32" s="279">
        <v>2.99</v>
      </c>
      <c r="AT32" s="283">
        <v>5</v>
      </c>
      <c r="AU32" s="286">
        <v>5.99</v>
      </c>
      <c r="AV32" s="283">
        <v>6</v>
      </c>
      <c r="AW32" s="284">
        <v>6.99</v>
      </c>
      <c r="AX32" s="280">
        <v>3</v>
      </c>
      <c r="AY32" s="280">
        <v>3.99</v>
      </c>
      <c r="AZ32" s="280">
        <v>3</v>
      </c>
      <c r="BA32" s="280">
        <v>3.99</v>
      </c>
      <c r="BB32" s="290"/>
      <c r="BC32" s="279">
        <v>2.99</v>
      </c>
      <c r="BD32" s="294">
        <v>42287</v>
      </c>
    </row>
    <row r="33" spans="1:56" x14ac:dyDescent="0.25">
      <c r="A33" s="165"/>
      <c r="B33" s="203">
        <f ca="1">411+B36</f>
        <v>2656</v>
      </c>
      <c r="C33" s="183"/>
      <c r="D33" s="183"/>
      <c r="E33" s="184"/>
      <c r="F33" s="183"/>
      <c r="G33" s="255"/>
      <c r="H33" s="256"/>
      <c r="I33" s="255"/>
      <c r="J33" s="255"/>
      <c r="K33" s="183"/>
      <c r="L33" s="183"/>
      <c r="M33" s="183"/>
      <c r="N33" s="183"/>
      <c r="O33" s="183"/>
      <c r="P33" s="183"/>
      <c r="Q33" s="167"/>
      <c r="R33" s="167"/>
      <c r="S33" s="183"/>
      <c r="T33" s="183"/>
      <c r="U33" s="183"/>
      <c r="V33" s="183"/>
      <c r="W33" s="183"/>
      <c r="X33" s="255"/>
      <c r="Y33" s="255"/>
      <c r="Z33" s="255"/>
      <c r="AA33" s="255"/>
      <c r="AB33" s="255"/>
      <c r="AC33" s="255"/>
      <c r="AD33" s="257"/>
      <c r="AE33" s="257"/>
      <c r="AF33" s="242"/>
      <c r="AG33" s="242"/>
      <c r="AH33" s="242"/>
      <c r="AI33" s="242"/>
      <c r="AJ33" s="209"/>
      <c r="AL33" s="275" t="s">
        <v>506</v>
      </c>
      <c r="AM33" s="269">
        <v>17</v>
      </c>
      <c r="AN33" s="276">
        <v>1358</v>
      </c>
      <c r="AO33" s="301" t="s">
        <v>481</v>
      </c>
      <c r="AP33" s="290"/>
      <c r="AQ33" s="290"/>
      <c r="AR33" s="283">
        <v>4</v>
      </c>
      <c r="AS33" s="283">
        <v>4.99</v>
      </c>
      <c r="AT33" s="283">
        <v>5</v>
      </c>
      <c r="AU33" s="286">
        <v>5.99</v>
      </c>
      <c r="AV33" s="280">
        <v>2</v>
      </c>
      <c r="AW33" s="280">
        <v>2.99</v>
      </c>
      <c r="AX33" s="280">
        <v>3</v>
      </c>
      <c r="AY33" s="280">
        <v>3.99</v>
      </c>
      <c r="AZ33" s="280">
        <v>3</v>
      </c>
      <c r="BA33" s="280">
        <v>3.99</v>
      </c>
      <c r="BB33" s="280">
        <v>3</v>
      </c>
      <c r="BC33" s="280">
        <v>3.99</v>
      </c>
      <c r="BD33" s="294" t="s">
        <v>504</v>
      </c>
    </row>
    <row r="34" spans="1:56" x14ac:dyDescent="0.25">
      <c r="A34" s="165"/>
      <c r="B34" s="183"/>
      <c r="C34" s="183"/>
      <c r="D34" s="183"/>
      <c r="E34" s="184"/>
      <c r="F34" s="183"/>
      <c r="G34" s="184"/>
      <c r="H34" s="209"/>
      <c r="I34" s="184"/>
      <c r="J34" s="184"/>
      <c r="K34" s="183"/>
      <c r="L34" s="183"/>
      <c r="M34" s="183"/>
      <c r="N34" s="183"/>
      <c r="O34" s="183"/>
      <c r="P34" s="183"/>
      <c r="Q34" s="167"/>
      <c r="R34" s="167"/>
      <c r="S34" s="183"/>
      <c r="T34" s="183"/>
      <c r="U34" s="167"/>
      <c r="V34" s="183"/>
      <c r="W34" s="183"/>
      <c r="X34" s="183"/>
      <c r="Y34" s="184"/>
      <c r="Z34" s="184"/>
      <c r="AA34" s="184"/>
      <c r="AB34" s="184"/>
      <c r="AC34" s="184"/>
      <c r="AD34" s="242"/>
      <c r="AE34" s="242"/>
      <c r="AF34" s="247"/>
      <c r="AG34" s="247"/>
      <c r="AH34" s="242"/>
      <c r="AI34" s="242"/>
      <c r="AJ34" s="209"/>
      <c r="AL34" s="275" t="s">
        <v>507</v>
      </c>
      <c r="AM34" s="269">
        <v>17</v>
      </c>
      <c r="AN34" s="276">
        <v>1417</v>
      </c>
      <c r="AO34" s="301" t="s">
        <v>489</v>
      </c>
      <c r="AP34" s="278"/>
      <c r="AQ34" s="278"/>
      <c r="AR34" s="278"/>
      <c r="AS34" s="279">
        <v>2.99</v>
      </c>
      <c r="AT34" s="283">
        <v>5</v>
      </c>
      <c r="AU34" s="286">
        <v>5.99</v>
      </c>
      <c r="AV34" s="280">
        <v>3</v>
      </c>
      <c r="AW34" s="280">
        <v>3.99</v>
      </c>
      <c r="AX34" s="280">
        <v>3</v>
      </c>
      <c r="AY34" s="280">
        <v>3.99</v>
      </c>
      <c r="AZ34" s="278"/>
      <c r="BA34" s="279">
        <v>4.99</v>
      </c>
      <c r="BB34" s="278"/>
      <c r="BC34" s="279">
        <v>3.99</v>
      </c>
      <c r="BD34" s="294" t="s">
        <v>504</v>
      </c>
    </row>
    <row r="35" spans="1:56" x14ac:dyDescent="0.25">
      <c r="A35" s="165"/>
      <c r="B35" s="258">
        <v>41409</v>
      </c>
      <c r="C35" s="183"/>
      <c r="D35" s="183"/>
      <c r="E35" s="184"/>
      <c r="F35" s="183"/>
      <c r="G35" s="184"/>
      <c r="H35" s="209"/>
      <c r="I35" s="184"/>
      <c r="J35" s="184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4"/>
      <c r="Z35" s="184"/>
      <c r="AA35" s="184"/>
      <c r="AB35" s="184"/>
      <c r="AC35" s="184"/>
      <c r="AD35" s="242"/>
      <c r="AE35" s="242"/>
      <c r="AF35" s="242"/>
      <c r="AG35" s="242"/>
      <c r="AH35" s="242"/>
      <c r="AI35" s="242"/>
      <c r="AJ35" s="209"/>
      <c r="AL35" s="275" t="s">
        <v>508</v>
      </c>
      <c r="AM35" s="269">
        <v>17</v>
      </c>
      <c r="AN35" s="276">
        <v>1296</v>
      </c>
      <c r="AO35" s="301"/>
      <c r="AP35" s="290"/>
      <c r="AQ35" s="279">
        <v>1.99</v>
      </c>
      <c r="AR35" s="290"/>
      <c r="AS35" s="279">
        <v>2.99</v>
      </c>
      <c r="AT35" s="280">
        <v>6</v>
      </c>
      <c r="AU35" s="281">
        <v>6.99</v>
      </c>
      <c r="AV35" s="280">
        <v>3</v>
      </c>
      <c r="AW35" s="280">
        <v>3.99</v>
      </c>
      <c r="AX35" s="283">
        <v>5</v>
      </c>
      <c r="AY35" s="286">
        <v>5.99</v>
      </c>
      <c r="AZ35" s="280">
        <v>4</v>
      </c>
      <c r="BA35" s="280">
        <v>4.99</v>
      </c>
      <c r="BB35" s="280">
        <v>1</v>
      </c>
      <c r="BC35" s="280">
        <v>1.99</v>
      </c>
      <c r="BD35" s="294">
        <v>42348</v>
      </c>
    </row>
    <row r="36" spans="1:56" x14ac:dyDescent="0.25">
      <c r="A36" s="165"/>
      <c r="B36" s="259">
        <f ca="1">B32-B35</f>
        <v>2245</v>
      </c>
      <c r="C36" s="183"/>
      <c r="D36" s="203"/>
      <c r="E36" s="184"/>
      <c r="F36" s="183"/>
      <c r="G36" s="260"/>
      <c r="H36" s="209"/>
      <c r="I36" s="184"/>
      <c r="J36" s="184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4"/>
      <c r="Z36" s="184"/>
      <c r="AA36" s="184"/>
      <c r="AB36" s="184"/>
      <c r="AC36" s="184"/>
      <c r="AD36" s="242"/>
      <c r="AE36" s="242"/>
      <c r="AF36" s="242"/>
      <c r="AG36" s="242"/>
      <c r="AH36" s="242"/>
      <c r="AI36" s="242"/>
      <c r="AJ36" s="209"/>
      <c r="AL36" s="275" t="s">
        <v>509</v>
      </c>
      <c r="AM36" s="269">
        <v>17</v>
      </c>
      <c r="AN36" s="276">
        <v>1312</v>
      </c>
      <c r="AO36" s="301" t="s">
        <v>502</v>
      </c>
      <c r="AP36" s="290"/>
      <c r="AQ36" s="279">
        <v>1.99</v>
      </c>
      <c r="AR36" s="283">
        <v>2</v>
      </c>
      <c r="AS36" s="283">
        <v>2.99</v>
      </c>
      <c r="AT36" s="283">
        <v>6</v>
      </c>
      <c r="AU36" s="284">
        <v>6.99</v>
      </c>
      <c r="AV36" s="290"/>
      <c r="AW36" s="290">
        <v>2.99</v>
      </c>
      <c r="AX36" s="279">
        <v>3</v>
      </c>
      <c r="AY36" s="290">
        <v>3.99</v>
      </c>
      <c r="AZ36" s="280">
        <v>4</v>
      </c>
      <c r="BA36" s="280">
        <v>4.99</v>
      </c>
      <c r="BB36" s="290"/>
      <c r="BC36" s="290"/>
      <c r="BD36" s="294">
        <v>42358</v>
      </c>
    </row>
    <row r="37" spans="1:56" x14ac:dyDescent="0.25">
      <c r="A37" s="165"/>
      <c r="B37" s="183"/>
      <c r="C37" s="183"/>
      <c r="D37" s="183"/>
      <c r="E37" s="184"/>
      <c r="F37" s="183"/>
      <c r="G37" s="184"/>
      <c r="H37" s="209"/>
      <c r="I37" s="184"/>
      <c r="J37" s="184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4"/>
      <c r="Z37" s="184"/>
      <c r="AA37" s="184"/>
      <c r="AB37" s="184"/>
      <c r="AC37" s="184"/>
      <c r="AD37" s="242"/>
      <c r="AE37" s="242"/>
      <c r="AF37" s="242"/>
      <c r="AG37" s="242"/>
      <c r="AH37" s="242"/>
      <c r="AI37" s="242"/>
      <c r="AJ37" s="209"/>
      <c r="AL37" s="275" t="s">
        <v>510</v>
      </c>
      <c r="AM37" s="269">
        <v>17</v>
      </c>
      <c r="AN37" s="276">
        <v>1277</v>
      </c>
      <c r="AO37" s="301"/>
      <c r="AP37" s="290"/>
      <c r="AQ37" s="290"/>
      <c r="AR37" s="290"/>
      <c r="AS37" s="279">
        <v>2.99</v>
      </c>
      <c r="AT37" s="283">
        <v>5</v>
      </c>
      <c r="AU37" s="286">
        <v>5.99</v>
      </c>
      <c r="AV37" s="290"/>
      <c r="AW37" s="279">
        <v>3.99</v>
      </c>
      <c r="AX37" s="283">
        <v>5</v>
      </c>
      <c r="AY37" s="286">
        <v>5.99</v>
      </c>
      <c r="AZ37" s="283">
        <v>5</v>
      </c>
      <c r="BA37" s="286">
        <v>5.99</v>
      </c>
      <c r="BB37" s="290"/>
      <c r="BC37" s="290"/>
      <c r="BD37" s="294">
        <v>42369</v>
      </c>
    </row>
    <row r="38" spans="1:56" x14ac:dyDescent="0.25">
      <c r="A38" s="165"/>
      <c r="B38" s="183"/>
      <c r="C38" s="183"/>
      <c r="D38" s="183"/>
      <c r="E38" s="184"/>
      <c r="F38" s="183"/>
      <c r="G38" s="184"/>
      <c r="H38" s="209"/>
      <c r="I38" s="184"/>
      <c r="J38" s="184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4"/>
      <c r="Z38" s="184"/>
      <c r="AA38" s="184"/>
      <c r="AB38" s="184"/>
      <c r="AC38" s="184"/>
      <c r="AD38" s="242"/>
      <c r="AE38" s="242"/>
      <c r="AF38" s="242"/>
      <c r="AG38" s="242"/>
      <c r="AH38" s="242"/>
      <c r="AI38" s="242"/>
      <c r="AJ38" s="209"/>
      <c r="AL38" s="275" t="s">
        <v>511</v>
      </c>
      <c r="AM38" s="269">
        <v>18</v>
      </c>
      <c r="AN38" s="276">
        <v>1366</v>
      </c>
      <c r="AO38" s="301"/>
      <c r="AP38" s="278"/>
      <c r="AQ38" s="279">
        <v>0.99</v>
      </c>
      <c r="AR38" s="279">
        <v>4</v>
      </c>
      <c r="AS38" s="291">
        <v>6.99</v>
      </c>
      <c r="AT38" s="283">
        <v>5</v>
      </c>
      <c r="AU38" s="286">
        <v>5.99</v>
      </c>
      <c r="AV38" s="278"/>
      <c r="AW38" s="279">
        <v>3.99</v>
      </c>
      <c r="AX38" s="280">
        <v>3</v>
      </c>
      <c r="AY38" s="280">
        <v>3.99</v>
      </c>
      <c r="AZ38" s="280">
        <v>6</v>
      </c>
      <c r="BA38" s="281">
        <v>6.99</v>
      </c>
      <c r="BB38" s="278"/>
      <c r="BC38" s="279">
        <v>4.99</v>
      </c>
      <c r="BD38" s="294" t="s">
        <v>504</v>
      </c>
    </row>
    <row r="39" spans="1:56" x14ac:dyDescent="0.25">
      <c r="A39" s="165"/>
      <c r="B39" s="183"/>
      <c r="C39" s="183"/>
      <c r="D39" s="183"/>
      <c r="E39" s="184"/>
      <c r="F39" s="183"/>
      <c r="G39" s="184"/>
      <c r="H39" s="209"/>
      <c r="I39" s="184"/>
      <c r="J39" s="184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4"/>
      <c r="Z39" s="184"/>
      <c r="AA39" s="184"/>
      <c r="AB39" s="184"/>
      <c r="AC39" s="184"/>
      <c r="AD39" s="242"/>
      <c r="AE39" s="242"/>
      <c r="AF39" s="242"/>
      <c r="AG39" s="242"/>
      <c r="AH39" s="242"/>
      <c r="AI39" s="242"/>
      <c r="AJ39" s="209"/>
      <c r="AL39" s="275" t="s">
        <v>512</v>
      </c>
      <c r="AM39" s="269">
        <v>17</v>
      </c>
      <c r="AN39" s="276">
        <v>1283</v>
      </c>
      <c r="AO39" s="301"/>
      <c r="AP39" s="290"/>
      <c r="AQ39" s="279">
        <v>1.99</v>
      </c>
      <c r="AR39" s="283">
        <v>4</v>
      </c>
      <c r="AS39" s="283">
        <v>4.99</v>
      </c>
      <c r="AT39" s="280">
        <v>2</v>
      </c>
      <c r="AU39" s="280">
        <v>2.99</v>
      </c>
      <c r="AV39" s="280">
        <v>3</v>
      </c>
      <c r="AW39" s="280">
        <v>3.99</v>
      </c>
      <c r="AX39" s="283">
        <v>6</v>
      </c>
      <c r="AY39" s="284">
        <v>6.99</v>
      </c>
      <c r="AZ39" s="280">
        <v>3</v>
      </c>
      <c r="BA39" s="280">
        <v>3.99</v>
      </c>
      <c r="BB39" s="290"/>
      <c r="BC39" s="279">
        <v>2.99</v>
      </c>
      <c r="BD39" s="294">
        <v>42361</v>
      </c>
    </row>
    <row r="40" spans="1:56" x14ac:dyDescent="0.25">
      <c r="AL40" s="275" t="s">
        <v>513</v>
      </c>
      <c r="AM40" s="269">
        <v>16</v>
      </c>
      <c r="AN40" s="276">
        <v>1347</v>
      </c>
      <c r="AO40" s="301"/>
      <c r="AP40" s="290"/>
      <c r="AQ40" s="290"/>
      <c r="AR40" s="279">
        <v>4</v>
      </c>
      <c r="AS40" s="288">
        <v>5.99</v>
      </c>
      <c r="AT40" s="283">
        <v>2</v>
      </c>
      <c r="AU40" s="283">
        <v>2.99</v>
      </c>
      <c r="AV40" s="280">
        <v>4</v>
      </c>
      <c r="AW40" s="280">
        <v>4.99</v>
      </c>
      <c r="AX40" s="283">
        <v>6</v>
      </c>
      <c r="AY40" s="284">
        <v>6.99</v>
      </c>
      <c r="AZ40" s="280">
        <v>4</v>
      </c>
      <c r="BA40" s="280">
        <v>4.99</v>
      </c>
      <c r="BB40" s="290"/>
      <c r="BC40" s="290"/>
      <c r="BD40" s="294">
        <v>42409</v>
      </c>
    </row>
    <row r="41" spans="1:56" x14ac:dyDescent="0.25">
      <c r="AL41" s="275" t="s">
        <v>514</v>
      </c>
      <c r="AM41" s="269">
        <v>17</v>
      </c>
      <c r="AN41" s="276">
        <v>1269</v>
      </c>
      <c r="AO41" s="301" t="s">
        <v>481</v>
      </c>
      <c r="AP41" s="278"/>
      <c r="AQ41" s="279">
        <v>1.99</v>
      </c>
      <c r="AR41" s="283">
        <v>5</v>
      </c>
      <c r="AS41" s="286">
        <v>5.99</v>
      </c>
      <c r="AT41" s="280">
        <v>5</v>
      </c>
      <c r="AU41" s="281">
        <v>5.99</v>
      </c>
      <c r="AV41" s="283">
        <v>3</v>
      </c>
      <c r="AW41" s="283">
        <v>3.99</v>
      </c>
      <c r="AX41" s="280">
        <v>2</v>
      </c>
      <c r="AY41" s="280">
        <v>2.99</v>
      </c>
      <c r="AZ41" s="280">
        <v>2</v>
      </c>
      <c r="BA41" s="280">
        <v>2.99</v>
      </c>
      <c r="BB41" s="278"/>
      <c r="BC41" s="278"/>
      <c r="BD41" s="294">
        <v>42375</v>
      </c>
    </row>
    <row r="42" spans="1:56" x14ac:dyDescent="0.25">
      <c r="AL42" s="275" t="s">
        <v>515</v>
      </c>
      <c r="AM42" s="269">
        <v>17</v>
      </c>
      <c r="AN42" s="276">
        <v>1213</v>
      </c>
      <c r="AO42" s="301" t="s">
        <v>481</v>
      </c>
      <c r="AP42" s="290"/>
      <c r="AQ42" s="290"/>
      <c r="AR42" s="290"/>
      <c r="AS42" s="279">
        <v>2.99</v>
      </c>
      <c r="AT42" s="283">
        <v>5</v>
      </c>
      <c r="AU42" s="286">
        <v>5.99</v>
      </c>
      <c r="AV42" s="290"/>
      <c r="AW42" s="279">
        <v>2.99</v>
      </c>
      <c r="AX42" s="283">
        <v>3</v>
      </c>
      <c r="AY42" s="290">
        <v>3.99</v>
      </c>
      <c r="AZ42" s="283">
        <v>6</v>
      </c>
      <c r="BA42" s="284">
        <v>6.99</v>
      </c>
      <c r="BB42" s="280">
        <v>2</v>
      </c>
      <c r="BC42" s="280">
        <v>2.99</v>
      </c>
      <c r="BD42" s="294">
        <v>42431</v>
      </c>
    </row>
    <row r="43" spans="1:56" x14ac:dyDescent="0.25">
      <c r="AL43" s="275" t="s">
        <v>516</v>
      </c>
      <c r="AM43" s="269">
        <v>17</v>
      </c>
      <c r="AN43" s="276">
        <v>1214</v>
      </c>
      <c r="AO43" s="301"/>
      <c r="AP43" s="290"/>
      <c r="AQ43" s="279">
        <v>1.99</v>
      </c>
      <c r="AR43" s="283">
        <v>4</v>
      </c>
      <c r="AS43" s="283">
        <v>4.99</v>
      </c>
      <c r="AT43" s="280">
        <v>5</v>
      </c>
      <c r="AU43" s="281">
        <v>5.99</v>
      </c>
      <c r="AV43" s="290"/>
      <c r="AW43" s="279">
        <v>4.99</v>
      </c>
      <c r="AX43" s="283">
        <v>5</v>
      </c>
      <c r="AY43" s="286">
        <v>5.99</v>
      </c>
      <c r="AZ43" s="280">
        <v>3</v>
      </c>
      <c r="BA43" s="280">
        <v>3.99</v>
      </c>
      <c r="BB43" s="280">
        <v>2</v>
      </c>
      <c r="BC43" s="280">
        <v>2.99</v>
      </c>
      <c r="BD43" s="294">
        <v>42430</v>
      </c>
    </row>
    <row r="44" spans="1:56" x14ac:dyDescent="0.25">
      <c r="AL44" s="275" t="s">
        <v>517</v>
      </c>
      <c r="AM44" s="269">
        <v>17</v>
      </c>
      <c r="AN44" s="276">
        <v>1221</v>
      </c>
      <c r="AO44" s="301"/>
      <c r="AP44" s="290"/>
      <c r="AQ44" s="290"/>
      <c r="AR44" s="280">
        <v>3</v>
      </c>
      <c r="AS44" s="280">
        <v>3.99</v>
      </c>
      <c r="AT44" s="283">
        <v>4</v>
      </c>
      <c r="AU44" s="283">
        <v>4.99</v>
      </c>
      <c r="AV44" s="283">
        <v>4</v>
      </c>
      <c r="AW44" s="283">
        <v>4.99</v>
      </c>
      <c r="AX44" s="290"/>
      <c r="AY44" s="279">
        <v>4.99</v>
      </c>
      <c r="AZ44" s="283">
        <v>5</v>
      </c>
      <c r="BA44" s="286">
        <v>5.99</v>
      </c>
      <c r="BB44" s="280">
        <v>1</v>
      </c>
      <c r="BC44" s="280">
        <v>1.99</v>
      </c>
      <c r="BD44" s="294">
        <v>42516</v>
      </c>
    </row>
    <row r="45" spans="1:56" x14ac:dyDescent="0.25">
      <c r="AL45" s="275" t="s">
        <v>518</v>
      </c>
      <c r="AM45" s="269">
        <v>16</v>
      </c>
      <c r="AN45" s="276">
        <v>1228</v>
      </c>
      <c r="AO45" s="301" t="s">
        <v>478</v>
      </c>
      <c r="AP45" s="290"/>
      <c r="AQ45" s="279">
        <v>1.99</v>
      </c>
      <c r="AR45" s="283">
        <v>5</v>
      </c>
      <c r="AS45" s="286">
        <v>5.99</v>
      </c>
      <c r="AT45" s="283">
        <v>5</v>
      </c>
      <c r="AU45" s="286">
        <v>5.99</v>
      </c>
      <c r="AV45" s="283">
        <v>3</v>
      </c>
      <c r="AW45" s="283">
        <v>3.99</v>
      </c>
      <c r="AX45" s="283">
        <v>3</v>
      </c>
      <c r="AY45" s="283">
        <v>3.99</v>
      </c>
      <c r="AZ45" s="280">
        <v>1</v>
      </c>
      <c r="BA45" s="280">
        <v>1.99</v>
      </c>
      <c r="BB45" s="290"/>
      <c r="BC45" s="290"/>
      <c r="BD45" s="294">
        <v>42528</v>
      </c>
    </row>
    <row r="46" spans="1:56" x14ac:dyDescent="0.25">
      <c r="AL46" s="275" t="s">
        <v>519</v>
      </c>
      <c r="AM46" s="269">
        <v>18</v>
      </c>
      <c r="AN46" s="276">
        <v>1205</v>
      </c>
      <c r="AO46" s="301"/>
      <c r="AP46" s="290"/>
      <c r="AQ46" s="290"/>
      <c r="AR46" s="283">
        <v>6</v>
      </c>
      <c r="AS46" s="284">
        <v>6.99</v>
      </c>
      <c r="AT46" s="280">
        <v>4</v>
      </c>
      <c r="AU46" s="280">
        <v>4.99</v>
      </c>
      <c r="AV46" s="290"/>
      <c r="AW46" s="279">
        <v>2.99</v>
      </c>
      <c r="AX46" s="283">
        <v>3</v>
      </c>
      <c r="AY46" s="283">
        <v>3.99</v>
      </c>
      <c r="AZ46" s="280">
        <v>2</v>
      </c>
      <c r="BA46" s="280">
        <v>2.99</v>
      </c>
      <c r="BB46" s="280">
        <v>2</v>
      </c>
      <c r="BC46" s="280">
        <v>2.99</v>
      </c>
      <c r="BD46" s="294">
        <v>42327</v>
      </c>
    </row>
    <row r="47" spans="1:56" x14ac:dyDescent="0.25">
      <c r="AL47" s="275" t="s">
        <v>520</v>
      </c>
      <c r="AM47" s="269">
        <v>17</v>
      </c>
      <c r="AN47" s="276">
        <v>1042</v>
      </c>
      <c r="AO47" s="301"/>
      <c r="AP47" s="290"/>
      <c r="AQ47" s="290"/>
      <c r="AR47" s="280">
        <v>4</v>
      </c>
      <c r="AS47" s="280">
        <v>4.99</v>
      </c>
      <c r="AT47" s="280">
        <v>5</v>
      </c>
      <c r="AU47" s="281">
        <v>5.99</v>
      </c>
      <c r="AV47" s="290"/>
      <c r="AW47" s="279">
        <v>2.99</v>
      </c>
      <c r="AX47" s="290"/>
      <c r="AY47" s="279">
        <v>3.99</v>
      </c>
      <c r="AZ47" s="280">
        <v>3</v>
      </c>
      <c r="BA47" s="280">
        <v>3.99</v>
      </c>
      <c r="BB47" s="290"/>
      <c r="BC47" s="290"/>
      <c r="BD47" s="294">
        <v>42602</v>
      </c>
    </row>
    <row r="48" spans="1:56" x14ac:dyDescent="0.25">
      <c r="AL48" s="275" t="s">
        <v>521</v>
      </c>
      <c r="AM48" s="269">
        <v>19</v>
      </c>
      <c r="AN48" s="276">
        <v>1021</v>
      </c>
      <c r="AO48" s="301"/>
      <c r="AP48" s="290"/>
      <c r="AQ48" s="290"/>
      <c r="AR48" s="280">
        <v>4</v>
      </c>
      <c r="AS48" s="280">
        <v>4.99</v>
      </c>
      <c r="AT48" s="283">
        <v>4</v>
      </c>
      <c r="AU48" s="283">
        <v>4.99</v>
      </c>
      <c r="AV48" s="290"/>
      <c r="AW48" s="279">
        <v>4.99</v>
      </c>
      <c r="AX48" s="279">
        <v>3</v>
      </c>
      <c r="AY48" s="279">
        <v>4.99</v>
      </c>
      <c r="AZ48" s="280">
        <v>2</v>
      </c>
      <c r="BA48" s="280">
        <v>2.99</v>
      </c>
      <c r="BB48" s="290"/>
      <c r="BC48" s="279">
        <v>2.99</v>
      </c>
      <c r="BD48" s="294">
        <v>42429</v>
      </c>
    </row>
    <row r="49" spans="38:56" x14ac:dyDescent="0.25">
      <c r="AL49" s="275" t="s">
        <v>522</v>
      </c>
      <c r="AM49" s="269">
        <v>18</v>
      </c>
      <c r="AN49" s="276">
        <v>1127</v>
      </c>
      <c r="AO49" s="301"/>
      <c r="AP49" s="290"/>
      <c r="AQ49" s="290"/>
      <c r="AR49" s="280">
        <v>4</v>
      </c>
      <c r="AS49" s="280">
        <v>4.99</v>
      </c>
      <c r="AT49" s="280">
        <v>4</v>
      </c>
      <c r="AU49" s="280">
        <v>4.99</v>
      </c>
      <c r="AV49" s="290"/>
      <c r="AW49" s="279">
        <v>3.99</v>
      </c>
      <c r="AX49" s="279">
        <v>4</v>
      </c>
      <c r="AY49" s="288">
        <v>5.99</v>
      </c>
      <c r="AZ49" s="280">
        <v>4</v>
      </c>
      <c r="BA49" s="280">
        <v>4.99</v>
      </c>
      <c r="BB49" s="290"/>
      <c r="BC49" s="291">
        <v>6.99</v>
      </c>
      <c r="BD49" s="294">
        <v>42405</v>
      </c>
    </row>
    <row r="50" spans="38:56" x14ac:dyDescent="0.25">
      <c r="AL50" s="275" t="s">
        <v>523</v>
      </c>
      <c r="AM50" s="269">
        <v>17</v>
      </c>
      <c r="AN50" s="276">
        <v>1013</v>
      </c>
      <c r="AO50" s="301"/>
      <c r="AP50" s="290"/>
      <c r="AQ50" s="279">
        <v>1.99</v>
      </c>
      <c r="AR50" s="280">
        <v>6</v>
      </c>
      <c r="AS50" s="281">
        <v>6.99</v>
      </c>
      <c r="AT50" s="283">
        <v>4</v>
      </c>
      <c r="AU50" s="283">
        <v>4.99</v>
      </c>
      <c r="AV50" s="280">
        <v>3</v>
      </c>
      <c r="AW50" s="280">
        <v>3.99</v>
      </c>
      <c r="AX50" s="290"/>
      <c r="AY50" s="290"/>
      <c r="AZ50" s="280">
        <v>4</v>
      </c>
      <c r="BA50" s="280">
        <v>4.99</v>
      </c>
      <c r="BB50" s="290"/>
      <c r="BC50" s="279">
        <v>3.99</v>
      </c>
      <c r="BD50" s="294">
        <v>42631</v>
      </c>
    </row>
    <row r="51" spans="38:56" x14ac:dyDescent="0.25">
      <c r="AL51" s="275" t="s">
        <v>524</v>
      </c>
      <c r="AM51" s="269">
        <v>18</v>
      </c>
      <c r="AN51" s="276">
        <v>1024</v>
      </c>
      <c r="AO51" s="301" t="s">
        <v>417</v>
      </c>
      <c r="AP51" s="290"/>
      <c r="AQ51" s="290">
        <v>1.99</v>
      </c>
      <c r="AR51" s="280">
        <v>4</v>
      </c>
      <c r="AS51" s="280">
        <v>4.99</v>
      </c>
      <c r="AT51" s="283">
        <v>3</v>
      </c>
      <c r="AU51" s="283">
        <v>3.99</v>
      </c>
      <c r="AV51" s="290"/>
      <c r="AW51" s="291">
        <v>6.99</v>
      </c>
      <c r="AX51" s="290"/>
      <c r="AY51" s="290">
        <v>5.99</v>
      </c>
      <c r="AZ51" s="290"/>
      <c r="BA51" s="279">
        <v>2.99</v>
      </c>
      <c r="BB51" s="290"/>
      <c r="BC51" s="290"/>
      <c r="BD51" s="294">
        <v>42610</v>
      </c>
    </row>
    <row r="52" spans="38:56" x14ac:dyDescent="0.25">
      <c r="AL52" s="275" t="s">
        <v>525</v>
      </c>
      <c r="AM52" s="269">
        <v>18</v>
      </c>
      <c r="AN52" s="276">
        <v>1049</v>
      </c>
      <c r="AO52" s="301"/>
      <c r="AP52" s="290"/>
      <c r="AQ52" s="279">
        <v>0.99</v>
      </c>
      <c r="AR52" s="280">
        <v>1</v>
      </c>
      <c r="AS52" s="280">
        <v>1.99</v>
      </c>
      <c r="AT52" s="283">
        <v>6</v>
      </c>
      <c r="AU52" s="284">
        <v>6.99</v>
      </c>
      <c r="AV52" s="283">
        <v>4</v>
      </c>
      <c r="AW52" s="283">
        <v>4.99</v>
      </c>
      <c r="AX52" s="290"/>
      <c r="AY52" s="279">
        <v>4.99</v>
      </c>
      <c r="AZ52" s="280">
        <v>4</v>
      </c>
      <c r="BA52" s="280">
        <v>4.99</v>
      </c>
      <c r="BB52" s="290"/>
      <c r="BC52" s="279">
        <v>1.99</v>
      </c>
      <c r="BD52" s="294">
        <v>42597</v>
      </c>
    </row>
    <row r="53" spans="38:56" x14ac:dyDescent="0.25">
      <c r="AL53" s="275" t="s">
        <v>526</v>
      </c>
      <c r="AM53" s="269">
        <v>17</v>
      </c>
      <c r="AN53" s="276">
        <v>1042</v>
      </c>
      <c r="AO53" s="301"/>
      <c r="AP53" s="290"/>
      <c r="AQ53" s="279">
        <v>1.99</v>
      </c>
      <c r="AR53" s="279">
        <v>2</v>
      </c>
      <c r="AS53" s="279">
        <v>3.99</v>
      </c>
      <c r="AT53" s="280">
        <v>5</v>
      </c>
      <c r="AU53" s="281">
        <v>5.99</v>
      </c>
      <c r="AV53" s="290"/>
      <c r="AW53" s="279">
        <v>2.99</v>
      </c>
      <c r="AX53" s="290"/>
      <c r="AY53" s="279">
        <v>3.99</v>
      </c>
      <c r="AZ53" s="283">
        <v>5</v>
      </c>
      <c r="BA53" s="286">
        <v>5.99</v>
      </c>
      <c r="BB53" s="290"/>
      <c r="BC53" s="290"/>
      <c r="BD53" s="294">
        <v>42667</v>
      </c>
    </row>
    <row r="54" spans="38:56" x14ac:dyDescent="0.25">
      <c r="AL54" s="275" t="s">
        <v>527</v>
      </c>
      <c r="AM54" s="269">
        <v>18</v>
      </c>
      <c r="AN54" s="276">
        <v>1049</v>
      </c>
      <c r="AO54" s="301"/>
      <c r="AP54" s="279">
        <v>4</v>
      </c>
      <c r="AQ54" s="291">
        <v>6.99</v>
      </c>
      <c r="AR54" s="280">
        <v>4</v>
      </c>
      <c r="AS54" s="280">
        <v>4.99</v>
      </c>
      <c r="AT54" s="290"/>
      <c r="AU54" s="279">
        <v>0.99</v>
      </c>
      <c r="AV54" s="290"/>
      <c r="AW54" s="279">
        <v>1.99</v>
      </c>
      <c r="AX54" s="283">
        <v>1</v>
      </c>
      <c r="AY54" s="283">
        <v>1.99</v>
      </c>
      <c r="AZ54" s="280">
        <v>1</v>
      </c>
      <c r="BA54" s="280">
        <v>1.99</v>
      </c>
      <c r="BB54" s="280">
        <v>2</v>
      </c>
      <c r="BC54" s="280">
        <v>2.99</v>
      </c>
      <c r="BD54" s="294">
        <v>42483</v>
      </c>
    </row>
    <row r="55" spans="38:56" x14ac:dyDescent="0.25">
      <c r="AL55" s="275" t="s">
        <v>528</v>
      </c>
      <c r="AM55" s="269">
        <v>17</v>
      </c>
      <c r="AN55" s="276">
        <v>911</v>
      </c>
      <c r="AO55" s="301"/>
      <c r="AP55" s="290"/>
      <c r="AQ55" s="279">
        <v>1.99</v>
      </c>
      <c r="AR55" s="283">
        <v>4</v>
      </c>
      <c r="AS55" s="283">
        <v>4.99</v>
      </c>
      <c r="AT55" s="283">
        <v>6</v>
      </c>
      <c r="AU55" s="284">
        <v>6.99</v>
      </c>
      <c r="AV55" s="280">
        <v>5</v>
      </c>
      <c r="AW55" s="281">
        <v>5.99</v>
      </c>
      <c r="AX55" s="283">
        <v>4</v>
      </c>
      <c r="AY55" s="283">
        <v>4.99</v>
      </c>
      <c r="AZ55" s="280">
        <v>3</v>
      </c>
      <c r="BA55" s="280">
        <v>3.99</v>
      </c>
      <c r="BB55" s="290"/>
      <c r="BC55" s="290"/>
      <c r="BD55" s="294">
        <v>42733</v>
      </c>
    </row>
    <row r="56" spans="38:56" x14ac:dyDescent="0.25">
      <c r="AL56" s="275" t="s">
        <v>529</v>
      </c>
      <c r="AM56" s="269">
        <v>17</v>
      </c>
      <c r="AN56" s="276">
        <v>914</v>
      </c>
      <c r="AO56" s="301" t="s">
        <v>474</v>
      </c>
      <c r="AP56" s="290"/>
      <c r="AQ56" s="279">
        <v>1.99</v>
      </c>
      <c r="AR56" s="290"/>
      <c r="AS56" s="290">
        <v>4.99</v>
      </c>
      <c r="AT56" s="283">
        <v>5</v>
      </c>
      <c r="AU56" s="286">
        <v>5.99</v>
      </c>
      <c r="AV56" s="283">
        <v>2</v>
      </c>
      <c r="AW56" s="283">
        <v>2.99</v>
      </c>
      <c r="AX56" s="290"/>
      <c r="AY56" s="290"/>
      <c r="AZ56" s="280">
        <v>2</v>
      </c>
      <c r="BA56" s="280">
        <v>2.99</v>
      </c>
      <c r="BB56" s="290"/>
      <c r="BC56" s="290"/>
      <c r="BD56" s="294">
        <v>42737</v>
      </c>
    </row>
    <row r="57" spans="38:56" x14ac:dyDescent="0.25">
      <c r="AL57" s="275" t="s">
        <v>530</v>
      </c>
      <c r="AM57" s="269">
        <v>17</v>
      </c>
      <c r="AN57" s="276">
        <v>954</v>
      </c>
      <c r="AO57" s="301"/>
      <c r="AP57" s="290"/>
      <c r="AQ57" s="290"/>
      <c r="AR57" s="283">
        <v>5</v>
      </c>
      <c r="AS57" s="286">
        <v>5.99</v>
      </c>
      <c r="AT57" s="280">
        <v>2</v>
      </c>
      <c r="AU57" s="280">
        <v>2.99</v>
      </c>
      <c r="AV57" s="280">
        <v>3</v>
      </c>
      <c r="AW57" s="280">
        <v>3.99</v>
      </c>
      <c r="AX57" s="279">
        <v>2</v>
      </c>
      <c r="AY57" s="279">
        <v>3.99</v>
      </c>
      <c r="AZ57" s="280">
        <v>2</v>
      </c>
      <c r="BA57" s="280">
        <v>2.99</v>
      </c>
      <c r="BB57" s="290"/>
      <c r="BC57" s="290"/>
      <c r="BD57" s="294">
        <v>42690</v>
      </c>
    </row>
    <row r="58" spans="38:56" x14ac:dyDescent="0.25">
      <c r="AL58" s="275" t="s">
        <v>531</v>
      </c>
      <c r="AM58" s="269">
        <v>19</v>
      </c>
      <c r="AN58" s="276">
        <v>909</v>
      </c>
      <c r="AO58" s="301" t="s">
        <v>489</v>
      </c>
      <c r="AP58" s="290"/>
      <c r="AQ58" s="279">
        <v>1.99</v>
      </c>
      <c r="AR58" s="280">
        <v>2</v>
      </c>
      <c r="AS58" s="280">
        <v>2.99</v>
      </c>
      <c r="AT58" s="280">
        <v>5</v>
      </c>
      <c r="AU58" s="281">
        <v>5.99</v>
      </c>
      <c r="AV58" s="290"/>
      <c r="AW58" s="279">
        <v>2.99</v>
      </c>
      <c r="AX58" s="279">
        <v>4</v>
      </c>
      <c r="AY58" s="291">
        <v>7</v>
      </c>
      <c r="AZ58" s="280">
        <v>1</v>
      </c>
      <c r="BA58" s="280">
        <v>1.99</v>
      </c>
      <c r="BB58" s="290"/>
      <c r="BC58" s="290"/>
      <c r="BD58" s="294">
        <v>42654</v>
      </c>
    </row>
    <row r="59" spans="38:56" x14ac:dyDescent="0.25">
      <c r="AL59" s="275" t="s">
        <v>532</v>
      </c>
      <c r="AM59" s="269">
        <v>16</v>
      </c>
      <c r="AN59" s="276">
        <v>992</v>
      </c>
      <c r="AO59" s="301"/>
      <c r="AP59" s="290"/>
      <c r="AQ59" s="279">
        <v>1.99</v>
      </c>
      <c r="AR59" s="283">
        <v>2</v>
      </c>
      <c r="AS59" s="283">
        <v>2.99</v>
      </c>
      <c r="AT59" s="283">
        <v>4</v>
      </c>
      <c r="AU59" s="283">
        <v>4.99</v>
      </c>
      <c r="AV59" s="280">
        <v>4</v>
      </c>
      <c r="AW59" s="280">
        <v>4.99</v>
      </c>
      <c r="AX59" s="283">
        <v>5</v>
      </c>
      <c r="AY59" s="286">
        <v>5.99</v>
      </c>
      <c r="AZ59" s="280">
        <v>3</v>
      </c>
      <c r="BA59" s="280">
        <v>3.99</v>
      </c>
      <c r="BB59" s="290"/>
      <c r="BC59" s="290"/>
      <c r="BD59" s="294">
        <v>42764</v>
      </c>
    </row>
    <row r="60" spans="38:56" x14ac:dyDescent="0.25">
      <c r="AL60" s="275" t="s">
        <v>533</v>
      </c>
      <c r="AM60" s="269">
        <v>16</v>
      </c>
      <c r="AN60" s="276">
        <v>980</v>
      </c>
      <c r="AO60" s="301"/>
      <c r="AP60" s="290"/>
      <c r="AQ60" s="279">
        <v>1.99</v>
      </c>
      <c r="AR60" s="280">
        <v>3</v>
      </c>
      <c r="AS60" s="280">
        <v>3.99</v>
      </c>
      <c r="AT60" s="283">
        <v>6</v>
      </c>
      <c r="AU60" s="284">
        <v>6.99</v>
      </c>
      <c r="AV60" s="280">
        <v>2</v>
      </c>
      <c r="AW60" s="280">
        <v>2.99</v>
      </c>
      <c r="AX60" s="290"/>
      <c r="AY60" s="279">
        <v>2.99</v>
      </c>
      <c r="AZ60" s="280">
        <v>4</v>
      </c>
      <c r="BA60" s="280">
        <v>4.99</v>
      </c>
      <c r="BB60" s="290"/>
      <c r="BC60" s="279">
        <v>3.99</v>
      </c>
      <c r="BD60" s="294">
        <v>42776</v>
      </c>
    </row>
    <row r="61" spans="38:56" x14ac:dyDescent="0.25">
      <c r="AL61" s="275" t="s">
        <v>534</v>
      </c>
      <c r="AM61" s="269">
        <v>17</v>
      </c>
      <c r="AN61" s="276">
        <v>936</v>
      </c>
      <c r="AO61" s="301"/>
      <c r="AP61" s="290"/>
      <c r="AQ61" s="279">
        <v>1.99</v>
      </c>
      <c r="AR61" s="283">
        <v>5</v>
      </c>
      <c r="AS61" s="286">
        <v>5.99</v>
      </c>
      <c r="AT61" s="283">
        <v>3</v>
      </c>
      <c r="AU61" s="283">
        <v>3.99</v>
      </c>
      <c r="AV61" s="290"/>
      <c r="AW61" s="279">
        <v>2.99</v>
      </c>
      <c r="AX61" s="283">
        <v>4</v>
      </c>
      <c r="AY61" s="283">
        <v>4.99</v>
      </c>
      <c r="AZ61" s="290"/>
      <c r="BA61" s="288">
        <v>5.99</v>
      </c>
      <c r="BB61" s="290"/>
      <c r="BC61" s="279">
        <v>2.99</v>
      </c>
      <c r="BD61" s="294">
        <v>42754</v>
      </c>
    </row>
    <row r="62" spans="38:56" x14ac:dyDescent="0.25">
      <c r="AL62" s="275" t="s">
        <v>535</v>
      </c>
      <c r="AM62" s="269">
        <v>17</v>
      </c>
      <c r="AN62" s="276">
        <v>840</v>
      </c>
      <c r="AO62" s="301"/>
      <c r="AP62" s="290"/>
      <c r="AQ62" s="279">
        <v>1.99</v>
      </c>
      <c r="AR62" s="279">
        <v>6</v>
      </c>
      <c r="AS62" s="291">
        <v>7</v>
      </c>
      <c r="AT62" s="290"/>
      <c r="AU62" s="279">
        <v>2.99</v>
      </c>
      <c r="AV62" s="283">
        <v>5</v>
      </c>
      <c r="AW62" s="286">
        <v>5.99</v>
      </c>
      <c r="AX62" s="283">
        <v>3</v>
      </c>
      <c r="AY62" s="283">
        <v>3.99</v>
      </c>
      <c r="AZ62" s="280">
        <v>3</v>
      </c>
      <c r="BA62" s="280">
        <v>3.99</v>
      </c>
      <c r="BB62" s="290"/>
      <c r="BC62" s="279">
        <v>3.99</v>
      </c>
      <c r="BD62" s="294">
        <v>42804</v>
      </c>
    </row>
    <row r="63" spans="38:56" x14ac:dyDescent="0.25">
      <c r="AL63" s="275" t="s">
        <v>536</v>
      </c>
      <c r="AM63" s="269">
        <v>16</v>
      </c>
      <c r="AN63" s="276">
        <v>944</v>
      </c>
      <c r="AO63" s="301"/>
      <c r="AP63" s="290"/>
      <c r="AQ63" s="290">
        <v>1.99</v>
      </c>
      <c r="AR63" s="280">
        <v>2</v>
      </c>
      <c r="AS63" s="280">
        <v>2.99</v>
      </c>
      <c r="AT63" s="283">
        <v>5</v>
      </c>
      <c r="AU63" s="286">
        <v>5.99</v>
      </c>
      <c r="AV63" s="280">
        <v>4</v>
      </c>
      <c r="AW63" s="280">
        <v>4.99</v>
      </c>
      <c r="AX63" s="280">
        <v>3</v>
      </c>
      <c r="AY63" s="280">
        <v>3.99</v>
      </c>
      <c r="AZ63" s="280">
        <v>3</v>
      </c>
      <c r="BA63" s="280">
        <v>3.99</v>
      </c>
      <c r="BB63" s="290"/>
      <c r="BC63" s="290">
        <v>4.99</v>
      </c>
      <c r="BD63" s="294">
        <v>42812</v>
      </c>
    </row>
    <row r="64" spans="38:56" x14ac:dyDescent="0.25">
      <c r="AL64" s="275" t="s">
        <v>537</v>
      </c>
      <c r="AM64" s="269">
        <v>17</v>
      </c>
      <c r="AN64" s="276">
        <v>887</v>
      </c>
      <c r="AO64" s="301"/>
      <c r="AP64" s="290"/>
      <c r="AQ64" s="290"/>
      <c r="AR64" s="280">
        <v>4</v>
      </c>
      <c r="AS64" s="280">
        <v>4.99</v>
      </c>
      <c r="AT64" s="283">
        <v>4</v>
      </c>
      <c r="AU64" s="283">
        <v>4.99</v>
      </c>
      <c r="AV64" s="290"/>
      <c r="AW64" s="279">
        <v>4.99</v>
      </c>
      <c r="AX64" s="279">
        <v>5</v>
      </c>
      <c r="AY64" s="291">
        <v>6.99</v>
      </c>
      <c r="AZ64" s="280">
        <v>3</v>
      </c>
      <c r="BA64" s="280">
        <v>3.99</v>
      </c>
      <c r="BB64" s="290"/>
      <c r="BC64" s="290"/>
      <c r="BD64" s="294">
        <v>42779</v>
      </c>
    </row>
    <row r="65" spans="38:59" x14ac:dyDescent="0.25">
      <c r="AL65" s="275" t="s">
        <v>538</v>
      </c>
      <c r="AM65" s="269">
        <v>17</v>
      </c>
      <c r="AN65" s="276">
        <v>804</v>
      </c>
      <c r="AO65" s="301" t="s">
        <v>474</v>
      </c>
      <c r="AP65" s="290"/>
      <c r="AQ65" s="290"/>
      <c r="AR65" s="280">
        <v>2</v>
      </c>
      <c r="AS65" s="280">
        <v>2.99</v>
      </c>
      <c r="AT65" s="283">
        <v>4</v>
      </c>
      <c r="AU65" s="283">
        <v>4.99</v>
      </c>
      <c r="AV65" s="280">
        <v>3</v>
      </c>
      <c r="AW65" s="280">
        <v>3.99</v>
      </c>
      <c r="AX65" s="283">
        <v>6</v>
      </c>
      <c r="AY65" s="284">
        <v>6.99</v>
      </c>
      <c r="AZ65" s="280">
        <v>3</v>
      </c>
      <c r="BA65" s="280">
        <v>3.99</v>
      </c>
      <c r="BB65" s="290"/>
      <c r="BC65" s="279">
        <v>2.99</v>
      </c>
      <c r="BD65" s="294">
        <v>42840</v>
      </c>
    </row>
    <row r="66" spans="38:59" x14ac:dyDescent="0.25">
      <c r="AL66" s="275" t="s">
        <v>539</v>
      </c>
      <c r="AM66" s="269">
        <v>17</v>
      </c>
      <c r="AN66" s="276">
        <v>886</v>
      </c>
      <c r="AO66" s="301"/>
      <c r="AP66" s="290"/>
      <c r="AQ66" s="290"/>
      <c r="AR66" s="283">
        <v>4</v>
      </c>
      <c r="AS66" s="283">
        <v>4.99</v>
      </c>
      <c r="AT66" s="283">
        <v>4</v>
      </c>
      <c r="AU66" s="283">
        <v>4.99</v>
      </c>
      <c r="AV66" s="279">
        <v>5</v>
      </c>
      <c r="AW66" s="291">
        <v>6.99</v>
      </c>
      <c r="AX66" s="290"/>
      <c r="AY66" s="279">
        <v>3.99</v>
      </c>
      <c r="AZ66" s="280">
        <v>3</v>
      </c>
      <c r="BA66" s="280">
        <v>3.99</v>
      </c>
      <c r="BB66" s="290"/>
      <c r="BC66" s="290"/>
      <c r="BD66" s="294">
        <v>42828</v>
      </c>
    </row>
    <row r="67" spans="38:59" x14ac:dyDescent="0.25">
      <c r="AL67" s="275" t="s">
        <v>540</v>
      </c>
      <c r="AM67" s="269">
        <v>17</v>
      </c>
      <c r="AN67" s="276">
        <v>785</v>
      </c>
      <c r="AO67" s="301"/>
      <c r="AP67" s="290"/>
      <c r="AQ67" s="290"/>
      <c r="AR67" s="283">
        <v>4</v>
      </c>
      <c r="AS67" s="283">
        <v>4.99</v>
      </c>
      <c r="AT67" s="283">
        <v>5</v>
      </c>
      <c r="AU67" s="286">
        <v>5.99</v>
      </c>
      <c r="AV67" s="290"/>
      <c r="AW67" s="290"/>
      <c r="AX67" s="290"/>
      <c r="AY67" s="290"/>
      <c r="AZ67" s="290"/>
      <c r="BA67" s="279">
        <v>4.99</v>
      </c>
      <c r="BB67" s="290"/>
      <c r="BC67" s="290"/>
      <c r="BD67" s="294">
        <v>42863</v>
      </c>
    </row>
    <row r="68" spans="38:59" x14ac:dyDescent="0.25">
      <c r="AL68" s="275" t="s">
        <v>541</v>
      </c>
      <c r="AM68" s="269">
        <v>16</v>
      </c>
      <c r="AN68" s="276">
        <v>883</v>
      </c>
      <c r="AO68" s="301" t="s">
        <v>474</v>
      </c>
      <c r="AP68" s="290"/>
      <c r="AQ68" s="290"/>
      <c r="AR68" s="283">
        <v>4</v>
      </c>
      <c r="AS68" s="283">
        <v>4.99</v>
      </c>
      <c r="AT68" s="283">
        <v>3</v>
      </c>
      <c r="AU68" s="283">
        <v>3.99</v>
      </c>
      <c r="AV68" s="290"/>
      <c r="AW68" s="279">
        <v>2.99</v>
      </c>
      <c r="AX68" s="283">
        <v>5</v>
      </c>
      <c r="AY68" s="286">
        <v>5.99</v>
      </c>
      <c r="AZ68" s="283">
        <v>5</v>
      </c>
      <c r="BA68" s="286">
        <v>5.99</v>
      </c>
      <c r="BB68" s="290"/>
      <c r="BC68" s="290"/>
      <c r="BD68" s="294">
        <v>42873</v>
      </c>
    </row>
    <row r="69" spans="38:59" x14ac:dyDescent="0.25">
      <c r="AL69" s="275" t="s">
        <v>542</v>
      </c>
      <c r="AM69" s="269">
        <v>17</v>
      </c>
      <c r="AN69" s="276">
        <v>787</v>
      </c>
      <c r="AO69" s="301" t="s">
        <v>543</v>
      </c>
      <c r="AP69" s="290"/>
      <c r="AQ69" s="279">
        <v>1.99</v>
      </c>
      <c r="AR69" s="283">
        <v>4</v>
      </c>
      <c r="AS69" s="283">
        <v>4.99</v>
      </c>
      <c r="AT69" s="279">
        <v>6</v>
      </c>
      <c r="AU69" s="291">
        <v>7</v>
      </c>
      <c r="AV69" s="290"/>
      <c r="AW69" s="279">
        <v>3.99</v>
      </c>
      <c r="AX69" s="283">
        <v>3</v>
      </c>
      <c r="AY69" s="283">
        <v>3.99</v>
      </c>
      <c r="AZ69" s="280">
        <v>2</v>
      </c>
      <c r="BA69" s="280">
        <v>2.99</v>
      </c>
      <c r="BB69" s="290"/>
      <c r="BC69" s="290"/>
      <c r="BD69" s="294">
        <v>42886</v>
      </c>
    </row>
    <row r="70" spans="38:59" x14ac:dyDescent="0.25">
      <c r="AL70" s="275" t="s">
        <v>544</v>
      </c>
      <c r="AM70" s="269">
        <v>17</v>
      </c>
      <c r="AN70" s="276">
        <v>812</v>
      </c>
      <c r="AO70" s="301" t="s">
        <v>417</v>
      </c>
      <c r="AP70" s="290"/>
      <c r="AQ70" s="290"/>
      <c r="AR70" s="290"/>
      <c r="AS70" s="279">
        <v>4.99</v>
      </c>
      <c r="AT70" s="283">
        <v>5</v>
      </c>
      <c r="AU70" s="286">
        <v>5.99</v>
      </c>
      <c r="AV70" s="290"/>
      <c r="AW70" s="279">
        <v>2.99</v>
      </c>
      <c r="AX70" s="290"/>
      <c r="AY70" s="290">
        <v>2.99</v>
      </c>
      <c r="AZ70" s="279">
        <v>4</v>
      </c>
      <c r="BA70" s="288">
        <v>5.99</v>
      </c>
      <c r="BB70" s="290"/>
      <c r="BC70" s="290"/>
      <c r="BD70" s="294">
        <v>42912</v>
      </c>
    </row>
    <row r="71" spans="38:59" x14ac:dyDescent="0.25">
      <c r="AL71" s="275" t="s">
        <v>545</v>
      </c>
      <c r="AM71" s="269">
        <v>17</v>
      </c>
      <c r="AN71" s="276">
        <v>-1523</v>
      </c>
      <c r="AO71" s="301" t="s">
        <v>481</v>
      </c>
      <c r="AP71" s="290"/>
      <c r="AQ71" s="279">
        <v>1.99</v>
      </c>
      <c r="AR71" s="280">
        <v>4</v>
      </c>
      <c r="AS71" s="280">
        <v>4.99</v>
      </c>
      <c r="AT71" s="290"/>
      <c r="AU71" s="290"/>
      <c r="AV71" s="290"/>
      <c r="AW71" s="279">
        <v>1.99</v>
      </c>
      <c r="AX71" s="283">
        <v>6</v>
      </c>
      <c r="AY71" s="284">
        <v>6.99</v>
      </c>
      <c r="AZ71" s="280">
        <v>3</v>
      </c>
      <c r="BA71" s="280">
        <v>3.99</v>
      </c>
      <c r="BB71" s="290"/>
      <c r="BC71" s="279">
        <v>2.99</v>
      </c>
      <c r="BD71" s="294">
        <v>45167</v>
      </c>
    </row>
    <row r="72" spans="38:59" x14ac:dyDescent="0.25">
      <c r="AL72" s="275" t="s">
        <v>546</v>
      </c>
      <c r="AM72" s="269">
        <v>18</v>
      </c>
      <c r="AN72" s="276">
        <v>793</v>
      </c>
      <c r="AO72" s="301"/>
      <c r="AP72" s="290"/>
      <c r="AQ72" s="288">
        <v>5.99</v>
      </c>
      <c r="AR72" s="283">
        <v>4</v>
      </c>
      <c r="AS72" s="283">
        <v>4.99</v>
      </c>
      <c r="AT72" s="280">
        <v>1</v>
      </c>
      <c r="AU72" s="280">
        <v>1.99</v>
      </c>
      <c r="AV72" s="280">
        <v>0</v>
      </c>
      <c r="AW72" s="280">
        <v>0.99</v>
      </c>
      <c r="AX72" s="280">
        <v>0</v>
      </c>
      <c r="AY72" s="280">
        <v>0.99</v>
      </c>
      <c r="AZ72" s="280">
        <v>0</v>
      </c>
      <c r="BA72" s="280">
        <v>0.99</v>
      </c>
      <c r="BB72" s="290"/>
      <c r="BC72" s="290"/>
      <c r="BD72" s="294">
        <v>42739</v>
      </c>
    </row>
    <row r="73" spans="38:59" x14ac:dyDescent="0.25">
      <c r="AL73" s="275" t="s">
        <v>547</v>
      </c>
      <c r="AM73" s="269">
        <v>18</v>
      </c>
      <c r="AN73" s="276">
        <v>770</v>
      </c>
      <c r="AO73" s="301" t="s">
        <v>481</v>
      </c>
      <c r="AP73" s="290"/>
      <c r="AQ73" s="290"/>
      <c r="AR73" s="280">
        <v>3</v>
      </c>
      <c r="AS73" s="280">
        <v>3.99</v>
      </c>
      <c r="AT73" s="283">
        <v>5</v>
      </c>
      <c r="AU73" s="286">
        <v>5.99</v>
      </c>
      <c r="AV73" s="290"/>
      <c r="AW73" s="291">
        <v>6.99</v>
      </c>
      <c r="AX73" s="279">
        <v>2</v>
      </c>
      <c r="AY73" s="290"/>
      <c r="AZ73" s="280">
        <v>3</v>
      </c>
      <c r="BA73" s="280">
        <v>3.99</v>
      </c>
      <c r="BB73" s="290"/>
      <c r="BC73" s="290"/>
      <c r="BD73" s="294">
        <v>42835</v>
      </c>
    </row>
    <row r="74" spans="38:59" x14ac:dyDescent="0.25">
      <c r="AL74" s="275" t="s">
        <v>548</v>
      </c>
      <c r="AM74" s="269">
        <v>16</v>
      </c>
      <c r="AN74" s="276">
        <v>778</v>
      </c>
      <c r="AO74" s="301"/>
      <c r="AP74" s="290"/>
      <c r="AQ74" s="290"/>
      <c r="AR74" s="290"/>
      <c r="AS74" s="279">
        <v>2.99</v>
      </c>
      <c r="AT74" s="283">
        <v>3</v>
      </c>
      <c r="AU74" s="290">
        <v>3.99</v>
      </c>
      <c r="AV74" s="290"/>
      <c r="AW74" s="279">
        <v>3.99</v>
      </c>
      <c r="AX74" s="283">
        <v>6</v>
      </c>
      <c r="AY74" s="284">
        <v>6.99</v>
      </c>
      <c r="AZ74" s="280">
        <v>4</v>
      </c>
      <c r="BA74" s="280">
        <v>4.99</v>
      </c>
      <c r="BB74" s="290"/>
      <c r="BC74" s="290"/>
      <c r="BD74" s="294">
        <v>42978</v>
      </c>
    </row>
    <row r="75" spans="38:59" x14ac:dyDescent="0.25">
      <c r="AL75" s="275" t="s">
        <v>549</v>
      </c>
      <c r="AM75" s="269">
        <v>16</v>
      </c>
      <c r="AN75" s="276">
        <v>745</v>
      </c>
      <c r="AO75" s="301" t="s">
        <v>481</v>
      </c>
      <c r="AP75" s="290"/>
      <c r="AQ75" s="279">
        <v>1.99</v>
      </c>
      <c r="AR75" s="290"/>
      <c r="AS75" s="279">
        <v>2.99</v>
      </c>
      <c r="AT75" s="280">
        <v>3</v>
      </c>
      <c r="AU75" s="280">
        <v>3.99</v>
      </c>
      <c r="AV75" s="283">
        <v>3</v>
      </c>
      <c r="AW75" s="296">
        <v>3.99</v>
      </c>
      <c r="AX75" s="283">
        <v>5</v>
      </c>
      <c r="AY75" s="286">
        <v>5.99</v>
      </c>
      <c r="AZ75" s="283">
        <v>6</v>
      </c>
      <c r="BA75" s="284">
        <v>6.99</v>
      </c>
      <c r="BB75" s="290"/>
      <c r="BC75" s="290"/>
      <c r="BD75" s="294">
        <v>43011</v>
      </c>
    </row>
    <row r="76" spans="38:59" x14ac:dyDescent="0.25">
      <c r="AL76" s="275" t="s">
        <v>550</v>
      </c>
      <c r="AM76" s="269">
        <v>16</v>
      </c>
      <c r="AN76" s="276">
        <v>725</v>
      </c>
      <c r="AO76" s="301"/>
      <c r="AP76" s="290"/>
      <c r="AQ76" s="290"/>
      <c r="AR76" s="290"/>
      <c r="AS76" s="279">
        <v>3.99</v>
      </c>
      <c r="AT76" s="283">
        <v>3</v>
      </c>
      <c r="AU76" s="283">
        <v>3.99</v>
      </c>
      <c r="AV76" s="283">
        <v>6</v>
      </c>
      <c r="AW76" s="284">
        <v>6.99</v>
      </c>
      <c r="AX76" s="280">
        <v>1</v>
      </c>
      <c r="AY76" s="280">
        <v>1.99</v>
      </c>
      <c r="AZ76" s="279">
        <v>4</v>
      </c>
      <c r="BA76" s="288">
        <v>5.99</v>
      </c>
      <c r="BB76" s="290"/>
      <c r="BC76" s="279">
        <v>2.99</v>
      </c>
      <c r="BD76" s="294">
        <v>43031</v>
      </c>
    </row>
    <row r="77" spans="38:59" x14ac:dyDescent="0.25">
      <c r="AL77" s="275" t="s">
        <v>551</v>
      </c>
      <c r="AM77" s="269">
        <v>18</v>
      </c>
      <c r="AN77" s="276">
        <v>706</v>
      </c>
      <c r="AO77" s="301"/>
      <c r="AP77" s="290"/>
      <c r="AQ77" s="279">
        <v>1.99</v>
      </c>
      <c r="AR77" s="279">
        <v>3</v>
      </c>
      <c r="AS77" s="279">
        <v>4.99</v>
      </c>
      <c r="AT77" s="280">
        <v>3</v>
      </c>
      <c r="AU77" s="280">
        <v>3.99</v>
      </c>
      <c r="AV77" s="279">
        <v>5</v>
      </c>
      <c r="AW77" s="291">
        <v>6.99</v>
      </c>
      <c r="AX77" s="280">
        <v>2</v>
      </c>
      <c r="AY77" s="280">
        <v>2.99</v>
      </c>
      <c r="AZ77" s="290"/>
      <c r="BA77" s="279">
        <v>2.99</v>
      </c>
      <c r="BB77" s="290"/>
      <c r="BC77" s="290">
        <v>3.99</v>
      </c>
      <c r="BD77" s="294">
        <v>42928</v>
      </c>
    </row>
    <row r="78" spans="38:59" x14ac:dyDescent="0.25">
      <c r="AL78" s="275" t="s">
        <v>552</v>
      </c>
      <c r="AM78" s="269">
        <v>17</v>
      </c>
      <c r="AN78" s="276">
        <v>585</v>
      </c>
      <c r="AO78" s="301"/>
      <c r="AP78" s="290"/>
      <c r="AQ78" s="279">
        <v>1.99</v>
      </c>
      <c r="AR78" s="290"/>
      <c r="AS78" s="279">
        <v>3.99</v>
      </c>
      <c r="AT78" s="279">
        <v>6</v>
      </c>
      <c r="AU78" s="291">
        <v>7</v>
      </c>
      <c r="AV78" s="283">
        <v>6</v>
      </c>
      <c r="AW78" s="284">
        <v>6.99</v>
      </c>
      <c r="AX78" s="283">
        <v>2</v>
      </c>
      <c r="AY78" s="283">
        <v>2.99</v>
      </c>
      <c r="AZ78" s="280">
        <v>4</v>
      </c>
      <c r="BA78" s="280">
        <v>4.99</v>
      </c>
      <c r="BB78" s="290"/>
      <c r="BC78" s="279">
        <v>4.99</v>
      </c>
      <c r="BD78" s="294">
        <v>43059</v>
      </c>
    </row>
    <row r="79" spans="38:59" x14ac:dyDescent="0.25">
      <c r="AL79" s="275" t="s">
        <v>553</v>
      </c>
      <c r="AM79" s="269">
        <v>16</v>
      </c>
      <c r="AN79" s="276">
        <v>656</v>
      </c>
      <c r="AO79" s="301"/>
      <c r="AP79" s="290"/>
      <c r="AQ79" s="279">
        <v>1.99</v>
      </c>
      <c r="AR79" s="280">
        <v>2</v>
      </c>
      <c r="AS79" s="280">
        <v>2.99</v>
      </c>
      <c r="AT79" s="280">
        <v>4</v>
      </c>
      <c r="AU79" s="280">
        <v>4.99</v>
      </c>
      <c r="AV79" s="283">
        <v>3</v>
      </c>
      <c r="AW79" s="283">
        <v>3.99</v>
      </c>
      <c r="AX79" s="283">
        <v>5</v>
      </c>
      <c r="AY79" s="286">
        <v>5.99</v>
      </c>
      <c r="AZ79" s="280">
        <v>1</v>
      </c>
      <c r="BA79" s="280">
        <v>1.99</v>
      </c>
      <c r="BB79" s="290"/>
      <c r="BC79" s="290"/>
      <c r="BD79" s="294">
        <v>43100</v>
      </c>
      <c r="BE79" s="165"/>
      <c r="BF79" s="165"/>
      <c r="BG79" s="165"/>
    </row>
    <row r="80" spans="38:59" x14ac:dyDescent="0.25">
      <c r="AL80" s="275" t="s">
        <v>554</v>
      </c>
      <c r="AM80" s="269">
        <v>17</v>
      </c>
      <c r="AN80" s="276">
        <v>535</v>
      </c>
      <c r="AO80" s="301"/>
      <c r="AP80" s="290"/>
      <c r="AQ80" s="290"/>
      <c r="AR80" s="290"/>
      <c r="AS80" s="279">
        <v>2.99</v>
      </c>
      <c r="AT80" s="283">
        <v>6</v>
      </c>
      <c r="AU80" s="284">
        <v>6.6</v>
      </c>
      <c r="AV80" s="283">
        <v>5</v>
      </c>
      <c r="AW80" s="286">
        <v>5.99</v>
      </c>
      <c r="AX80" s="283">
        <v>4</v>
      </c>
      <c r="AY80" s="283">
        <v>4.99</v>
      </c>
      <c r="AZ80" s="290"/>
      <c r="BA80" s="279">
        <v>2.99</v>
      </c>
      <c r="BB80" s="290"/>
      <c r="BC80" s="290"/>
      <c r="BD80" s="294">
        <v>43109</v>
      </c>
      <c r="BE80" s="165"/>
      <c r="BF80" s="165"/>
      <c r="BG80" s="165"/>
    </row>
    <row r="81" spans="38:59" x14ac:dyDescent="0.25">
      <c r="AL81" s="275" t="s">
        <v>555</v>
      </c>
      <c r="AM81" s="269">
        <v>16</v>
      </c>
      <c r="AN81" s="276">
        <v>581</v>
      </c>
      <c r="AO81" s="301" t="s">
        <v>556</v>
      </c>
      <c r="AP81" s="290"/>
      <c r="AQ81" s="290"/>
      <c r="AR81" s="290"/>
      <c r="AS81" s="279">
        <v>3.99</v>
      </c>
      <c r="AT81" s="280">
        <v>4</v>
      </c>
      <c r="AU81" s="280">
        <v>4.99</v>
      </c>
      <c r="AV81" s="290"/>
      <c r="AW81" s="288">
        <v>5.99</v>
      </c>
      <c r="AX81" s="283">
        <v>1</v>
      </c>
      <c r="AY81" s="283">
        <v>1.99</v>
      </c>
      <c r="AZ81" s="290"/>
      <c r="BA81" s="279">
        <v>3.99</v>
      </c>
      <c r="BB81" s="290"/>
      <c r="BC81" s="290"/>
      <c r="BD81" s="294">
        <v>43175</v>
      </c>
      <c r="BE81" s="165"/>
      <c r="BF81" s="165"/>
      <c r="BG81" s="165"/>
    </row>
    <row r="82" spans="38:59" x14ac:dyDescent="0.25">
      <c r="AL82" s="275" t="s">
        <v>557</v>
      </c>
      <c r="AM82" s="269">
        <v>17</v>
      </c>
      <c r="AN82" s="276">
        <v>473</v>
      </c>
      <c r="AO82" s="301" t="s">
        <v>556</v>
      </c>
      <c r="AP82" s="290"/>
      <c r="AQ82" s="279">
        <v>0.99</v>
      </c>
      <c r="AR82" s="280">
        <v>3</v>
      </c>
      <c r="AS82" s="280">
        <v>3.99</v>
      </c>
      <c r="AT82" s="280">
        <v>5</v>
      </c>
      <c r="AU82" s="280">
        <v>5.99</v>
      </c>
      <c r="AV82" s="290"/>
      <c r="AW82" s="279">
        <v>2.99</v>
      </c>
      <c r="AX82" s="290"/>
      <c r="AY82" s="290"/>
      <c r="AZ82" s="280">
        <v>2</v>
      </c>
      <c r="BA82" s="280">
        <v>2.99</v>
      </c>
      <c r="BB82" s="290"/>
      <c r="BC82" s="290"/>
      <c r="BD82" s="294">
        <v>43192</v>
      </c>
      <c r="BE82" s="165"/>
      <c r="BF82" s="165"/>
      <c r="BG82" s="165"/>
    </row>
    <row r="83" spans="38:59" x14ac:dyDescent="0.25">
      <c r="AL83" s="275" t="s">
        <v>558</v>
      </c>
      <c r="AM83" s="269">
        <v>18</v>
      </c>
      <c r="AN83" s="276">
        <v>539</v>
      </c>
      <c r="AO83" s="301"/>
      <c r="AP83" s="290"/>
      <c r="AQ83" s="279">
        <v>1.99</v>
      </c>
      <c r="AR83" s="280">
        <v>3</v>
      </c>
      <c r="AS83" s="280">
        <v>3.99</v>
      </c>
      <c r="AT83" s="280">
        <v>4</v>
      </c>
      <c r="AU83" s="280">
        <v>4.99</v>
      </c>
      <c r="AV83" s="280">
        <v>2</v>
      </c>
      <c r="AW83" s="280">
        <v>2.99</v>
      </c>
      <c r="AX83" s="280">
        <v>4</v>
      </c>
      <c r="AY83" s="280">
        <v>4.99</v>
      </c>
      <c r="AZ83" s="283">
        <v>4</v>
      </c>
      <c r="BA83" s="283">
        <v>4.99</v>
      </c>
      <c r="BB83" s="290"/>
      <c r="BC83" s="279">
        <v>2.99</v>
      </c>
      <c r="BD83" s="294">
        <v>42919</v>
      </c>
      <c r="BE83" s="165"/>
      <c r="BF83" s="165"/>
      <c r="BG83" s="165"/>
    </row>
    <row r="84" spans="38:59" x14ac:dyDescent="0.25">
      <c r="AL84" s="275" t="s">
        <v>559</v>
      </c>
      <c r="AM84" s="269">
        <v>18</v>
      </c>
      <c r="AN84" s="276">
        <v>539</v>
      </c>
      <c r="AO84" s="301" t="s">
        <v>101</v>
      </c>
      <c r="AP84" s="290"/>
      <c r="AQ84" s="279">
        <v>0.99</v>
      </c>
      <c r="AR84" s="283">
        <v>3</v>
      </c>
      <c r="AS84" s="283">
        <v>3.99</v>
      </c>
      <c r="AT84" s="283">
        <v>3</v>
      </c>
      <c r="AU84" s="283">
        <v>3.99</v>
      </c>
      <c r="AV84" s="283">
        <v>3</v>
      </c>
      <c r="AW84" s="283">
        <v>3.99</v>
      </c>
      <c r="AX84" s="279">
        <v>4</v>
      </c>
      <c r="AY84" s="291">
        <v>7</v>
      </c>
      <c r="AZ84" s="290"/>
      <c r="BA84" s="288">
        <v>5.99</v>
      </c>
      <c r="BB84" s="290"/>
      <c r="BC84" s="279">
        <v>1.99</v>
      </c>
      <c r="BD84" s="294">
        <v>43067</v>
      </c>
      <c r="BE84" s="165"/>
      <c r="BF84" s="165"/>
      <c r="BG84" s="165"/>
    </row>
    <row r="85" spans="38:59" x14ac:dyDescent="0.25">
      <c r="AL85" s="275" t="s">
        <v>560</v>
      </c>
      <c r="AM85" s="269">
        <v>18</v>
      </c>
      <c r="AN85" s="276">
        <v>-1718</v>
      </c>
      <c r="AO85" s="301" t="s">
        <v>474</v>
      </c>
      <c r="AP85" s="290"/>
      <c r="AQ85" s="279">
        <v>1.99</v>
      </c>
      <c r="AR85" s="280">
        <v>2</v>
      </c>
      <c r="AS85" s="280">
        <v>2.99</v>
      </c>
      <c r="AT85" s="280">
        <v>4</v>
      </c>
      <c r="AU85" s="280">
        <v>4.99</v>
      </c>
      <c r="AV85" s="290"/>
      <c r="AW85" s="279">
        <v>3.99</v>
      </c>
      <c r="AX85" s="279">
        <v>2</v>
      </c>
      <c r="AY85" s="279">
        <v>3.99</v>
      </c>
      <c r="AZ85" s="290"/>
      <c r="BA85" s="279">
        <v>2.99</v>
      </c>
      <c r="BB85" s="290"/>
      <c r="BC85" s="290"/>
      <c r="BD85" s="294">
        <v>45250</v>
      </c>
      <c r="BE85" s="165"/>
      <c r="BF85" s="165"/>
      <c r="BG85" s="165"/>
    </row>
    <row r="86" spans="38:59" x14ac:dyDescent="0.25">
      <c r="AL86" s="275" t="s">
        <v>561</v>
      </c>
      <c r="AM86" s="269">
        <v>17</v>
      </c>
      <c r="AN86" s="276">
        <v>423</v>
      </c>
      <c r="AO86" s="301"/>
      <c r="AP86" s="290"/>
      <c r="AQ86" s="279">
        <v>1.99</v>
      </c>
      <c r="AR86" s="283">
        <v>4</v>
      </c>
      <c r="AS86" s="283">
        <v>4.99</v>
      </c>
      <c r="AT86" s="280">
        <v>3</v>
      </c>
      <c r="AU86" s="280">
        <v>3.99</v>
      </c>
      <c r="AV86" s="279">
        <v>5</v>
      </c>
      <c r="AW86" s="291">
        <v>6.99</v>
      </c>
      <c r="AX86" s="280">
        <v>1</v>
      </c>
      <c r="AY86" s="280">
        <v>1.99</v>
      </c>
      <c r="AZ86" s="280">
        <v>1</v>
      </c>
      <c r="BA86" s="280">
        <v>1.99</v>
      </c>
      <c r="BB86" s="290"/>
      <c r="BC86" s="290"/>
      <c r="BD86" s="294">
        <v>43221</v>
      </c>
      <c r="BE86" s="165"/>
      <c r="BF86" s="165"/>
      <c r="BG86" s="165"/>
    </row>
    <row r="87" spans="38:59" x14ac:dyDescent="0.25">
      <c r="AL87" s="275" t="s">
        <v>562</v>
      </c>
      <c r="AM87" s="269">
        <v>18</v>
      </c>
      <c r="AN87" s="276">
        <v>413</v>
      </c>
      <c r="AO87" s="301"/>
      <c r="AP87" s="290"/>
      <c r="AQ87" s="279">
        <v>0.99</v>
      </c>
      <c r="AR87" s="283">
        <v>6</v>
      </c>
      <c r="AS87" s="284">
        <v>6.99</v>
      </c>
      <c r="AT87" s="283">
        <v>4</v>
      </c>
      <c r="AU87" s="283">
        <v>4.99</v>
      </c>
      <c r="AV87" s="279">
        <v>4</v>
      </c>
      <c r="AW87" s="288">
        <v>5.99</v>
      </c>
      <c r="AX87" s="290"/>
      <c r="AY87" s="279">
        <v>3.99</v>
      </c>
      <c r="AZ87" s="290"/>
      <c r="BA87" s="279">
        <v>4.99</v>
      </c>
      <c r="BB87" s="290"/>
      <c r="BC87" s="279">
        <v>2.99</v>
      </c>
      <c r="BD87" s="294">
        <v>43143</v>
      </c>
      <c r="BE87" s="165"/>
      <c r="BF87" s="165"/>
      <c r="BG87" s="165"/>
    </row>
    <row r="88" spans="38:59" x14ac:dyDescent="0.25">
      <c r="AL88" s="275" t="s">
        <v>563</v>
      </c>
      <c r="AM88" s="269">
        <v>16</v>
      </c>
      <c r="AN88" s="276">
        <v>467</v>
      </c>
      <c r="AO88" s="301" t="s">
        <v>0</v>
      </c>
      <c r="AP88" s="290"/>
      <c r="AQ88" s="279">
        <v>0.99</v>
      </c>
      <c r="AR88" s="283">
        <v>7</v>
      </c>
      <c r="AS88" s="284">
        <v>7</v>
      </c>
      <c r="AT88" s="283">
        <v>4</v>
      </c>
      <c r="AU88" s="283">
        <v>4.99</v>
      </c>
      <c r="AV88" s="283">
        <v>4</v>
      </c>
      <c r="AW88" s="283">
        <v>4.99</v>
      </c>
      <c r="AX88" s="280">
        <v>3</v>
      </c>
      <c r="AY88" s="280">
        <v>3.99</v>
      </c>
      <c r="AZ88" s="290"/>
      <c r="BA88" s="279">
        <v>2.99</v>
      </c>
      <c r="BB88" s="290"/>
      <c r="BC88" s="279">
        <v>3.99</v>
      </c>
      <c r="BD88" s="294">
        <v>43289</v>
      </c>
      <c r="BE88" s="165"/>
      <c r="BF88" s="165"/>
      <c r="BG88" s="165"/>
    </row>
    <row r="89" spans="38:59" x14ac:dyDescent="0.25">
      <c r="AL89" s="275" t="s">
        <v>564</v>
      </c>
      <c r="AM89" s="269">
        <v>16</v>
      </c>
      <c r="AN89" s="276">
        <v>386</v>
      </c>
      <c r="AO89" s="301"/>
      <c r="AP89" s="290"/>
      <c r="AQ89" s="290"/>
      <c r="AR89" s="279">
        <v>3</v>
      </c>
      <c r="AS89" s="290"/>
      <c r="AT89" s="290"/>
      <c r="AU89" s="290"/>
      <c r="AV89" s="290"/>
      <c r="AW89" s="279">
        <v>3.99</v>
      </c>
      <c r="AX89" s="279">
        <v>4</v>
      </c>
      <c r="AY89" s="291">
        <v>6.99</v>
      </c>
      <c r="AZ89" s="290"/>
      <c r="BA89" s="279">
        <v>4.99</v>
      </c>
      <c r="BB89" s="290"/>
      <c r="BC89" s="290"/>
      <c r="BD89" s="294">
        <v>43370</v>
      </c>
      <c r="BE89" s="165"/>
      <c r="BF89" s="165"/>
      <c r="BG89" s="165"/>
    </row>
    <row r="90" spans="38:59" x14ac:dyDescent="0.25">
      <c r="AL90" s="275" t="s">
        <v>565</v>
      </c>
      <c r="AM90" s="269">
        <v>16</v>
      </c>
      <c r="AN90" s="276">
        <v>429</v>
      </c>
      <c r="AO90" s="301"/>
      <c r="AP90" s="290"/>
      <c r="AQ90" s="279">
        <v>1.99</v>
      </c>
      <c r="AR90" s="280">
        <v>4</v>
      </c>
      <c r="AS90" s="280">
        <v>4.99</v>
      </c>
      <c r="AT90" s="290"/>
      <c r="AU90" s="279">
        <v>4.99</v>
      </c>
      <c r="AV90" s="283">
        <v>5</v>
      </c>
      <c r="AW90" s="286">
        <v>5.99</v>
      </c>
      <c r="AX90" s="290"/>
      <c r="AY90" s="279">
        <v>2.99</v>
      </c>
      <c r="AZ90" s="290"/>
      <c r="BA90" s="279">
        <v>3.99</v>
      </c>
      <c r="BB90" s="290"/>
      <c r="BC90" s="290"/>
      <c r="BD90" s="294">
        <v>43327</v>
      </c>
      <c r="BE90" s="165"/>
      <c r="BF90" s="165"/>
      <c r="BG90" s="165"/>
    </row>
    <row r="91" spans="38:59" x14ac:dyDescent="0.25">
      <c r="AL91" s="275" t="s">
        <v>190</v>
      </c>
      <c r="AM91" s="269">
        <v>17</v>
      </c>
      <c r="AN91" s="276">
        <v>211</v>
      </c>
      <c r="AO91" s="301" t="s">
        <v>44</v>
      </c>
      <c r="AP91" s="290"/>
      <c r="AQ91" s="279">
        <v>1.99</v>
      </c>
      <c r="AR91" s="307">
        <v>2</v>
      </c>
      <c r="AS91" s="280">
        <v>2.99</v>
      </c>
      <c r="AT91" s="308" t="s">
        <v>566</v>
      </c>
      <c r="AU91" s="309">
        <v>5.99</v>
      </c>
      <c r="AV91" s="308">
        <v>5.5</v>
      </c>
      <c r="AW91" s="309">
        <v>5.5</v>
      </c>
      <c r="AX91" s="308">
        <v>4.4000000000000004</v>
      </c>
      <c r="AY91" s="280">
        <v>4.4000000000000004</v>
      </c>
      <c r="AZ91" s="308">
        <v>3</v>
      </c>
      <c r="BA91" s="280">
        <v>3.99</v>
      </c>
      <c r="BB91" s="290"/>
      <c r="BC91" s="290"/>
      <c r="BD91" s="294">
        <v>43433</v>
      </c>
      <c r="BE91" s="165"/>
      <c r="BF91" s="165"/>
      <c r="BG91" s="165"/>
    </row>
    <row r="92" spans="38:59" x14ac:dyDescent="0.25">
      <c r="AL92" s="275" t="s">
        <v>567</v>
      </c>
      <c r="AM92" s="269">
        <v>17</v>
      </c>
      <c r="AN92" s="276">
        <v>172</v>
      </c>
      <c r="AO92" s="301"/>
      <c r="AP92" s="290"/>
      <c r="AQ92" s="279">
        <v>0.99</v>
      </c>
      <c r="AR92" s="290"/>
      <c r="AS92" s="279">
        <v>3.99</v>
      </c>
      <c r="AT92" s="307">
        <v>2</v>
      </c>
      <c r="AU92" s="280">
        <v>2.99</v>
      </c>
      <c r="AV92" s="310">
        <v>5</v>
      </c>
      <c r="AW92" s="291">
        <v>6.99</v>
      </c>
      <c r="AX92" s="308">
        <v>5</v>
      </c>
      <c r="AY92" s="281">
        <v>5.99</v>
      </c>
      <c r="AZ92" s="311">
        <v>6</v>
      </c>
      <c r="BA92" s="284">
        <v>6.99</v>
      </c>
      <c r="BB92" s="308">
        <v>4</v>
      </c>
      <c r="BC92" s="280">
        <v>4.99</v>
      </c>
      <c r="BD92" s="294">
        <v>43472</v>
      </c>
      <c r="BE92" s="165"/>
      <c r="BF92" s="165"/>
      <c r="BG92" s="165"/>
    </row>
    <row r="93" spans="38:59" x14ac:dyDescent="0.25">
      <c r="AL93" s="275" t="s">
        <v>568</v>
      </c>
      <c r="AM93" s="269">
        <v>16</v>
      </c>
      <c r="AN93" s="276">
        <v>271</v>
      </c>
      <c r="AO93" s="301"/>
      <c r="AP93" s="290"/>
      <c r="AQ93" s="279">
        <v>1.99</v>
      </c>
      <c r="AR93" s="308">
        <v>5.0999999999999996</v>
      </c>
      <c r="AS93" s="281">
        <v>5.99</v>
      </c>
      <c r="AT93" s="311">
        <v>6.5</v>
      </c>
      <c r="AU93" s="284">
        <v>6.99</v>
      </c>
      <c r="AV93" s="308">
        <v>3</v>
      </c>
      <c r="AW93" s="280">
        <v>3.99</v>
      </c>
      <c r="AX93" s="307">
        <v>2</v>
      </c>
      <c r="AY93" s="280">
        <v>2.99</v>
      </c>
      <c r="AZ93" s="308">
        <v>3</v>
      </c>
      <c r="BA93" s="280">
        <v>3.99</v>
      </c>
      <c r="BB93" s="290"/>
      <c r="BC93" s="290"/>
      <c r="BD93" s="294">
        <v>43485</v>
      </c>
      <c r="BE93" s="165"/>
      <c r="BF93" s="165"/>
      <c r="BG93" s="165"/>
    </row>
    <row r="94" spans="38:59" x14ac:dyDescent="0.25">
      <c r="AL94" s="275" t="s">
        <v>569</v>
      </c>
      <c r="AM94" s="269">
        <v>18</v>
      </c>
      <c r="AN94" s="276">
        <v>257</v>
      </c>
      <c r="AO94" s="301"/>
      <c r="AP94" s="290"/>
      <c r="AQ94" s="279">
        <v>1.99</v>
      </c>
      <c r="AR94" s="290"/>
      <c r="AS94" s="279">
        <v>4.99</v>
      </c>
      <c r="AT94" s="310">
        <v>5</v>
      </c>
      <c r="AU94" s="291">
        <v>6.99</v>
      </c>
      <c r="AV94" s="290"/>
      <c r="AW94" s="279">
        <v>2.99</v>
      </c>
      <c r="AX94" s="308">
        <v>3</v>
      </c>
      <c r="AY94" s="280">
        <v>3.99</v>
      </c>
      <c r="AZ94" s="290"/>
      <c r="BA94" s="291">
        <v>6.99</v>
      </c>
      <c r="BB94" s="307">
        <v>2</v>
      </c>
      <c r="BC94" s="280">
        <v>2.99</v>
      </c>
      <c r="BD94" s="294">
        <v>43644</v>
      </c>
      <c r="BE94" s="165"/>
      <c r="BF94" s="165"/>
      <c r="BG94" s="165"/>
    </row>
    <row r="95" spans="38:59" x14ac:dyDescent="0.25">
      <c r="AL95" s="275" t="s">
        <v>570</v>
      </c>
      <c r="AM95" s="269">
        <v>19</v>
      </c>
      <c r="AN95" s="276">
        <v>148</v>
      </c>
      <c r="AO95" s="301"/>
      <c r="AP95" s="290"/>
      <c r="AQ95" s="279">
        <v>1.99</v>
      </c>
      <c r="AR95" s="308">
        <v>4</v>
      </c>
      <c r="AS95" s="280">
        <v>4.99</v>
      </c>
      <c r="AT95" s="290"/>
      <c r="AU95" s="279">
        <v>4.99</v>
      </c>
      <c r="AV95" s="290"/>
      <c r="AW95" s="279">
        <v>4.99</v>
      </c>
      <c r="AX95" s="308">
        <v>3</v>
      </c>
      <c r="AY95" s="280">
        <v>3.99</v>
      </c>
      <c r="AZ95" s="310">
        <v>3</v>
      </c>
      <c r="BA95" s="279">
        <v>4.99</v>
      </c>
      <c r="BB95" s="308">
        <v>1</v>
      </c>
      <c r="BC95" s="280">
        <v>1.99</v>
      </c>
      <c r="BD95" s="294">
        <v>43644</v>
      </c>
      <c r="BE95" s="165"/>
      <c r="BF95" s="165"/>
      <c r="BG95" s="165"/>
    </row>
    <row r="96" spans="38:59" x14ac:dyDescent="0.25">
      <c r="AL96" s="275" t="s">
        <v>571</v>
      </c>
      <c r="AM96" s="269">
        <v>19</v>
      </c>
      <c r="AN96" s="276">
        <v>135</v>
      </c>
      <c r="AO96" s="301"/>
      <c r="AP96" s="290"/>
      <c r="AQ96" s="279">
        <v>0.99</v>
      </c>
      <c r="AR96" s="308">
        <v>4</v>
      </c>
      <c r="AS96" s="280">
        <v>4.99</v>
      </c>
      <c r="AT96" s="308">
        <v>4</v>
      </c>
      <c r="AU96" s="280">
        <v>4.99</v>
      </c>
      <c r="AV96" s="307">
        <v>2</v>
      </c>
      <c r="AW96" s="280">
        <v>2.99</v>
      </c>
      <c r="AX96" s="290"/>
      <c r="AY96" s="288">
        <v>5.99</v>
      </c>
      <c r="AZ96" s="308">
        <v>4</v>
      </c>
      <c r="BA96" s="280">
        <v>4.99</v>
      </c>
      <c r="BB96" s="307">
        <v>2</v>
      </c>
      <c r="BC96" s="280">
        <v>2.99</v>
      </c>
      <c r="BD96" s="294">
        <v>43644</v>
      </c>
      <c r="BE96" s="165"/>
      <c r="BF96" s="165"/>
      <c r="BG96" s="165"/>
    </row>
    <row r="97" spans="38:59" x14ac:dyDescent="0.25">
      <c r="AL97" s="275" t="s">
        <v>572</v>
      </c>
      <c r="AM97" s="269">
        <v>16</v>
      </c>
      <c r="AN97" s="276">
        <v>167</v>
      </c>
      <c r="AO97" s="301"/>
      <c r="AP97" s="290"/>
      <c r="AQ97" s="279">
        <v>0.99</v>
      </c>
      <c r="AR97" s="308">
        <v>1</v>
      </c>
      <c r="AS97" s="280">
        <v>1.99</v>
      </c>
      <c r="AT97" s="311">
        <v>5</v>
      </c>
      <c r="AU97" s="286">
        <v>5.99</v>
      </c>
      <c r="AV97" s="311">
        <v>6</v>
      </c>
      <c r="AW97" s="284">
        <v>6.99</v>
      </c>
      <c r="AX97" s="311">
        <v>4</v>
      </c>
      <c r="AY97" s="283">
        <v>4.99</v>
      </c>
      <c r="AZ97" s="311" t="s">
        <v>573</v>
      </c>
      <c r="BA97" s="283">
        <v>3.99</v>
      </c>
      <c r="BB97" s="290"/>
      <c r="BC97" s="290"/>
      <c r="BD97" s="294">
        <v>43589</v>
      </c>
      <c r="BE97" s="165"/>
      <c r="BF97" s="165"/>
      <c r="BG97" s="165"/>
    </row>
    <row r="98" spans="38:59" x14ac:dyDescent="0.25">
      <c r="AL98" s="275" t="s">
        <v>339</v>
      </c>
      <c r="AM98" s="269">
        <v>18</v>
      </c>
      <c r="AN98" s="276">
        <f>88-444+[1]Jugadores!AM33-112-112-102-6+17-112-5+3-112-35+68-112-112+88-112-8+34-80-7+47-36-112-112-112-27-70-21-2-179+69-112-112+50-112-112</f>
        <v>-2126</v>
      </c>
      <c r="AO98" s="301"/>
      <c r="AP98" s="310">
        <v>4</v>
      </c>
      <c r="AQ98" s="291">
        <v>6.99</v>
      </c>
      <c r="AR98" s="311">
        <v>3</v>
      </c>
      <c r="AS98" s="283">
        <v>3.99</v>
      </c>
      <c r="AT98" s="308">
        <v>0</v>
      </c>
      <c r="AU98" s="280">
        <v>0.99</v>
      </c>
      <c r="AV98" s="308">
        <v>0</v>
      </c>
      <c r="AW98" s="280">
        <v>0.99</v>
      </c>
      <c r="AX98" s="290"/>
      <c r="AY98" s="279">
        <v>1.99</v>
      </c>
      <c r="AZ98" s="308">
        <v>1</v>
      </c>
      <c r="BA98" s="280">
        <v>1.99</v>
      </c>
      <c r="BB98" s="290"/>
      <c r="BC98" s="290"/>
      <c r="BD98" s="294">
        <v>43644</v>
      </c>
      <c r="BE98" s="165"/>
      <c r="BF98" s="165"/>
      <c r="BG98" s="165"/>
    </row>
    <row r="99" spans="38:59" x14ac:dyDescent="0.25">
      <c r="AL99" s="275" t="s">
        <v>574</v>
      </c>
      <c r="AM99" s="269">
        <v>18</v>
      </c>
      <c r="AN99" s="276">
        <f>88-444+[1]Jugadores!AM33-112-112-102-6+17-112-5+3-112-35+68-112-112+88-112-8+34-80-7+47-36-112-112-112-27-70-21-2-179+33+39-112+43-112-112-112</f>
        <v>-2130</v>
      </c>
      <c r="AO99" s="301"/>
      <c r="AP99" s="290"/>
      <c r="AQ99" s="290"/>
      <c r="AR99" s="310">
        <v>5</v>
      </c>
      <c r="AS99" s="291">
        <v>6.99</v>
      </c>
      <c r="AT99" s="308">
        <v>2</v>
      </c>
      <c r="AU99" s="280">
        <v>2.99</v>
      </c>
      <c r="AV99" s="307">
        <v>2</v>
      </c>
      <c r="AW99" s="280">
        <v>2.99</v>
      </c>
      <c r="AX99" s="307">
        <v>2</v>
      </c>
      <c r="AY99" s="280">
        <v>2.99</v>
      </c>
      <c r="AZ99" s="311">
        <v>4</v>
      </c>
      <c r="BA99" s="283">
        <v>4.99</v>
      </c>
      <c r="BB99" s="290"/>
      <c r="BC99" s="290"/>
      <c r="BD99" s="294">
        <v>43644</v>
      </c>
      <c r="BE99" s="165"/>
      <c r="BF99" s="165"/>
      <c r="BG99" s="165"/>
    </row>
    <row r="100" spans="38:59" x14ac:dyDescent="0.25">
      <c r="AL100" s="275" t="s">
        <v>575</v>
      </c>
      <c r="AM100" s="269">
        <v>16</v>
      </c>
      <c r="AN100" s="276">
        <f>88-444+[1]Jugadores!AM33-1629-102</f>
        <v>-2087</v>
      </c>
      <c r="AO100" s="301"/>
      <c r="AP100" s="295"/>
      <c r="AQ100" s="295"/>
      <c r="AR100" s="310">
        <v>5</v>
      </c>
      <c r="AS100" s="291">
        <v>6.99</v>
      </c>
      <c r="AT100" s="308">
        <v>3.3</v>
      </c>
      <c r="AU100" s="280">
        <v>3.99</v>
      </c>
      <c r="AV100" s="311">
        <v>1</v>
      </c>
      <c r="AW100" s="283">
        <v>1.99</v>
      </c>
      <c r="AX100" s="308">
        <v>3</v>
      </c>
      <c r="AY100" s="280">
        <v>3.99</v>
      </c>
      <c r="AZ100" s="295"/>
      <c r="BA100" s="288">
        <v>5.99</v>
      </c>
      <c r="BB100" s="295"/>
      <c r="BC100" s="295"/>
      <c r="BD100" s="294">
        <v>45870</v>
      </c>
      <c r="BE100" s="165"/>
      <c r="BF100" s="165"/>
      <c r="BG100" s="165"/>
    </row>
    <row r="101" spans="38:59" x14ac:dyDescent="0.25">
      <c r="AL101" s="275" t="s">
        <v>576</v>
      </c>
      <c r="AM101" s="269">
        <v>16</v>
      </c>
      <c r="AN101" s="276">
        <f>88-444+[1]Jugadores!AM33-1629-112</f>
        <v>-2097</v>
      </c>
      <c r="AO101" s="301"/>
      <c r="AP101" s="290"/>
      <c r="AQ101" s="290"/>
      <c r="AR101" s="310">
        <v>4</v>
      </c>
      <c r="AS101" s="288">
        <v>5.99</v>
      </c>
      <c r="AT101" s="308">
        <v>3</v>
      </c>
      <c r="AU101" s="280">
        <v>3.99</v>
      </c>
      <c r="AV101" s="308">
        <v>4</v>
      </c>
      <c r="AW101" s="280">
        <v>4.99</v>
      </c>
      <c r="AX101" s="307">
        <v>2</v>
      </c>
      <c r="AY101" s="280">
        <v>2.99</v>
      </c>
      <c r="AZ101" s="290"/>
      <c r="BA101" s="279">
        <v>3.99</v>
      </c>
      <c r="BB101" s="290"/>
      <c r="BC101" s="279">
        <v>4.99</v>
      </c>
      <c r="BD101" s="294">
        <v>45853</v>
      </c>
      <c r="BE101" s="165"/>
      <c r="BF101" s="165"/>
      <c r="BG101" s="165"/>
    </row>
    <row r="102" spans="38:59" x14ac:dyDescent="0.25">
      <c r="AL102" s="275" t="s">
        <v>577</v>
      </c>
      <c r="AM102" s="269">
        <v>16</v>
      </c>
      <c r="AN102" s="276">
        <f>42-584+[1]Jugadores!AM33-112-112+6-112+3-112+21-112+67-112-6-40-34-12-105+55-75+11-112-112+4-112-30-112-112-9-112+100-103-112</f>
        <v>-2145</v>
      </c>
      <c r="AO102" s="301"/>
      <c r="AP102" s="290"/>
      <c r="AQ102" s="290"/>
      <c r="AR102" s="311">
        <v>5</v>
      </c>
      <c r="AS102" s="286">
        <v>5.99</v>
      </c>
      <c r="AT102" s="308">
        <v>4</v>
      </c>
      <c r="AU102" s="280">
        <v>4.99</v>
      </c>
      <c r="AV102" s="290"/>
      <c r="AW102" s="279">
        <v>1.99</v>
      </c>
      <c r="AX102" s="290"/>
      <c r="AY102" s="279">
        <v>3.99</v>
      </c>
      <c r="AZ102" s="310">
        <v>3</v>
      </c>
      <c r="BA102" s="290"/>
      <c r="BB102" s="290"/>
      <c r="BC102" s="290"/>
      <c r="BD102" s="294">
        <v>45901</v>
      </c>
      <c r="BE102" s="165"/>
      <c r="BF102" s="165"/>
      <c r="BG102" s="165"/>
    </row>
    <row r="103" spans="38:59" x14ac:dyDescent="0.25">
      <c r="AL103" s="275" t="s">
        <v>578</v>
      </c>
      <c r="AM103" s="269">
        <v>18</v>
      </c>
      <c r="AN103" s="276">
        <f>42-584+[1]Jugadores!AM33-112-112+6-112+3-112+21-112+67-112-6-40-34-12-105+55+11-112+1-23-112-112-112-115-42-112-112-112</f>
        <v>-2211</v>
      </c>
      <c r="AO103" s="301" t="s">
        <v>0</v>
      </c>
      <c r="AP103" s="290"/>
      <c r="AQ103" s="279">
        <v>1.99</v>
      </c>
      <c r="AR103" s="307">
        <v>2</v>
      </c>
      <c r="AS103" s="280">
        <v>2.99</v>
      </c>
      <c r="AT103" s="307">
        <v>2</v>
      </c>
      <c r="AU103" s="280">
        <v>2.99</v>
      </c>
      <c r="AV103" s="308">
        <v>3</v>
      </c>
      <c r="AW103" s="280">
        <v>3.99</v>
      </c>
      <c r="AX103" s="310">
        <v>4</v>
      </c>
      <c r="AY103" s="288">
        <v>5.99</v>
      </c>
      <c r="AZ103" s="290"/>
      <c r="BA103" s="279">
        <v>3.99</v>
      </c>
      <c r="BB103" s="290"/>
      <c r="BC103" s="279">
        <v>4.99</v>
      </c>
      <c r="BD103" s="294">
        <v>43644</v>
      </c>
      <c r="BE103" s="165"/>
      <c r="BF103" s="165"/>
      <c r="BG103" s="165"/>
    </row>
    <row r="104" spans="38:59" x14ac:dyDescent="0.25">
      <c r="AL104" s="275" t="s">
        <v>579</v>
      </c>
      <c r="AM104" s="269">
        <v>16</v>
      </c>
      <c r="AN104" s="276">
        <f>88-444+[1]Jugadores!AM33-112-112-102-6+17-112-5+3-112-35+68-112-112+88-112-8+34-80-7+47-36-112-57-112+76-112-115-6-112-70-112-112-86+1-80</f>
        <v>-2171</v>
      </c>
      <c r="AO104" s="301" t="s">
        <v>192</v>
      </c>
      <c r="AP104" s="295"/>
      <c r="AQ104" s="279">
        <v>1.99</v>
      </c>
      <c r="AR104" s="307">
        <v>2</v>
      </c>
      <c r="AS104" s="280">
        <v>2.99</v>
      </c>
      <c r="AT104" s="310">
        <v>3</v>
      </c>
      <c r="AU104" s="279">
        <v>4.99</v>
      </c>
      <c r="AV104" s="295"/>
      <c r="AW104" s="291">
        <v>6.99</v>
      </c>
      <c r="AX104" s="295"/>
      <c r="AY104" s="279">
        <v>4.99</v>
      </c>
      <c r="AZ104" s="310">
        <v>3</v>
      </c>
      <c r="BA104" s="279">
        <v>4.99</v>
      </c>
      <c r="BB104" s="295"/>
      <c r="BC104" s="295"/>
      <c r="BD104" s="294">
        <v>45934</v>
      </c>
      <c r="BE104" s="165"/>
      <c r="BF104" s="165"/>
      <c r="BG104" s="165"/>
    </row>
    <row r="105" spans="38:59" x14ac:dyDescent="0.25">
      <c r="AL105" s="275" t="s">
        <v>580</v>
      </c>
      <c r="AM105" s="269">
        <v>17</v>
      </c>
      <c r="AN105" s="276">
        <f>88-444+[1]Jugadores!AM33-112-112-102-6+17-112-5+3-112-35+68-112-112+88-112-8+34-80-7+47-36-112-112-112-27-70-21-2-179+33+15-112-75+7-112+52-28-112-36-112</f>
        <v>-2277</v>
      </c>
      <c r="AO105" s="301"/>
      <c r="AP105" s="290"/>
      <c r="AQ105" s="279">
        <v>0.99</v>
      </c>
      <c r="AR105" s="310">
        <v>4</v>
      </c>
      <c r="AS105" s="288">
        <v>5.99</v>
      </c>
      <c r="AT105" s="308">
        <v>2</v>
      </c>
      <c r="AU105" s="280">
        <v>2.99</v>
      </c>
      <c r="AV105" s="308">
        <v>4</v>
      </c>
      <c r="AW105" s="280">
        <v>4.99</v>
      </c>
      <c r="AX105" s="308">
        <v>2</v>
      </c>
      <c r="AY105" s="280">
        <v>2.99</v>
      </c>
      <c r="AZ105" s="310">
        <v>5</v>
      </c>
      <c r="BA105" s="291">
        <v>6.99</v>
      </c>
      <c r="BB105" s="290"/>
      <c r="BC105" s="290"/>
      <c r="BD105" s="294">
        <v>43644</v>
      </c>
      <c r="BE105" s="165"/>
      <c r="BF105" s="165"/>
      <c r="BG105" s="165"/>
    </row>
    <row r="106" spans="38:59" x14ac:dyDescent="0.25">
      <c r="AL106" s="275" t="s">
        <v>581</v>
      </c>
      <c r="AM106" s="269">
        <v>18</v>
      </c>
      <c r="AN106" s="276">
        <f>42-584+[1]Jugadores!AM33-112-112+6-112+3-112+21-112+67-112-6-40-34-12-105+55+11-112+1-23-112-112-112-115-52-112-112-112</f>
        <v>-2221</v>
      </c>
      <c r="AO106" s="301"/>
      <c r="AP106" s="290"/>
      <c r="AQ106" s="279">
        <v>1.99</v>
      </c>
      <c r="AR106" s="311">
        <v>5</v>
      </c>
      <c r="AS106" s="286">
        <v>5.99</v>
      </c>
      <c r="AT106" s="308">
        <v>4.0999999999999996</v>
      </c>
      <c r="AU106" s="280">
        <v>4.99</v>
      </c>
      <c r="AV106" s="307">
        <v>2</v>
      </c>
      <c r="AW106" s="280">
        <v>2.99</v>
      </c>
      <c r="AX106" s="290"/>
      <c r="AY106" s="288">
        <v>5.99</v>
      </c>
      <c r="AZ106" s="311">
        <v>3</v>
      </c>
      <c r="BA106" s="283">
        <v>3.99</v>
      </c>
      <c r="BB106" s="290"/>
      <c r="BC106" s="279">
        <v>2.99</v>
      </c>
      <c r="BD106" s="294">
        <v>43644</v>
      </c>
      <c r="BE106" s="165"/>
      <c r="BF106" s="165"/>
      <c r="BG106" s="165"/>
    </row>
    <row r="107" spans="38:59" x14ac:dyDescent="0.25">
      <c r="AL107" s="275" t="s">
        <v>582</v>
      </c>
      <c r="AM107" s="269">
        <v>18</v>
      </c>
      <c r="AN107" s="276">
        <f>[1]Jugadores!AM33-2150+2-112</f>
        <v>-2260</v>
      </c>
      <c r="AO107" s="301" t="s">
        <v>101</v>
      </c>
      <c r="AP107" s="290"/>
      <c r="AQ107" s="279">
        <v>1.99</v>
      </c>
      <c r="AR107" s="307">
        <v>2</v>
      </c>
      <c r="AS107" s="280">
        <v>2.99</v>
      </c>
      <c r="AT107" s="308">
        <v>3</v>
      </c>
      <c r="AU107" s="280">
        <v>3.99</v>
      </c>
      <c r="AV107" s="308">
        <v>3</v>
      </c>
      <c r="AW107" s="280">
        <v>3.99</v>
      </c>
      <c r="AX107" s="307">
        <v>2</v>
      </c>
      <c r="AY107" s="280">
        <v>2.99</v>
      </c>
      <c r="AZ107" s="308">
        <v>5</v>
      </c>
      <c r="BA107" s="281">
        <v>5.99</v>
      </c>
      <c r="BB107" s="290"/>
      <c r="BC107" s="290"/>
      <c r="BD107" s="294">
        <v>43644</v>
      </c>
      <c r="BE107" s="165"/>
      <c r="BF107" s="165"/>
      <c r="BG107" s="165"/>
    </row>
    <row r="108" spans="38:59" x14ac:dyDescent="0.25">
      <c r="AL108" s="275" t="s">
        <v>583</v>
      </c>
      <c r="AM108" s="269">
        <v>17</v>
      </c>
      <c r="AN108" s="276">
        <f>88+AL143-2254-112-112</f>
        <v>-2390</v>
      </c>
      <c r="AO108" s="301"/>
      <c r="AP108" s="290"/>
      <c r="AQ108" s="279">
        <v>0.99</v>
      </c>
      <c r="AR108" s="308">
        <v>2</v>
      </c>
      <c r="AS108" s="280">
        <v>2.99</v>
      </c>
      <c r="AT108" s="308">
        <v>4</v>
      </c>
      <c r="AU108" s="280">
        <v>4.99</v>
      </c>
      <c r="AV108" s="308">
        <v>2</v>
      </c>
      <c r="AW108" s="280">
        <v>2.99</v>
      </c>
      <c r="AX108" s="308">
        <v>3</v>
      </c>
      <c r="AY108" s="280">
        <v>3.99</v>
      </c>
      <c r="AZ108" s="311">
        <v>5</v>
      </c>
      <c r="BA108" s="286">
        <v>5.99</v>
      </c>
      <c r="BB108" s="290"/>
      <c r="BC108" s="290"/>
      <c r="BD108" s="294">
        <v>43644</v>
      </c>
      <c r="BE108" s="165"/>
      <c r="BF108" s="165"/>
      <c r="BG108" s="165"/>
    </row>
    <row r="109" spans="38:59" x14ac:dyDescent="0.25">
      <c r="AL109" s="275" t="s">
        <v>584</v>
      </c>
      <c r="AM109" s="269">
        <v>17</v>
      </c>
      <c r="AN109" s="276">
        <f>88-444+[1]Jugadores!AM33-112-112-102-6+17-112-5+3-112-35+68-112-112+88-112-8+34-80-7+47-36-112-112-112-27-70-21-2-179+33+39-112-112+20-112+7-69+8-212-112</f>
        <v>-2419</v>
      </c>
      <c r="AO109" s="301"/>
      <c r="AP109" s="295"/>
      <c r="AQ109" s="279">
        <v>0.99</v>
      </c>
      <c r="AR109" s="311">
        <v>3</v>
      </c>
      <c r="AS109" s="283">
        <v>3.99</v>
      </c>
      <c r="AT109" s="295"/>
      <c r="AU109" s="279">
        <v>3.99</v>
      </c>
      <c r="AV109" s="308">
        <v>6</v>
      </c>
      <c r="AW109" s="281">
        <v>6.99</v>
      </c>
      <c r="AX109" s="308">
        <v>4</v>
      </c>
      <c r="AY109" s="280">
        <v>4.99</v>
      </c>
      <c r="AZ109" s="312">
        <v>1</v>
      </c>
      <c r="BA109" s="283">
        <v>1.99</v>
      </c>
      <c r="BB109" s="295"/>
      <c r="BC109" s="295"/>
      <c r="BD109" s="294">
        <v>46063</v>
      </c>
      <c r="BE109" s="165"/>
      <c r="BF109" s="165"/>
      <c r="BG109" s="165"/>
    </row>
    <row r="110" spans="38:59" x14ac:dyDescent="0.25">
      <c r="AL110" s="275" t="s">
        <v>585</v>
      </c>
      <c r="AM110" s="269">
        <v>16</v>
      </c>
      <c r="AN110" s="276">
        <f>-1500+[1]Jugadores!AM33-770+30-112</f>
        <v>-2352</v>
      </c>
      <c r="AO110" s="301" t="s">
        <v>192</v>
      </c>
      <c r="AP110" s="290"/>
      <c r="AQ110" s="279">
        <v>1.99</v>
      </c>
      <c r="AR110" s="310">
        <v>3</v>
      </c>
      <c r="AS110" s="279">
        <v>4.99</v>
      </c>
      <c r="AT110" s="290"/>
      <c r="AU110" s="279">
        <v>2.99</v>
      </c>
      <c r="AV110" s="308">
        <v>5</v>
      </c>
      <c r="AW110" s="281">
        <v>5.99</v>
      </c>
      <c r="AX110" s="308">
        <v>4</v>
      </c>
      <c r="AY110" s="280">
        <v>4.99</v>
      </c>
      <c r="AZ110" s="308">
        <v>4</v>
      </c>
      <c r="BA110" s="280">
        <v>4.99</v>
      </c>
      <c r="BB110" s="290"/>
      <c r="BC110" s="290"/>
      <c r="BD110" s="294">
        <v>41322</v>
      </c>
      <c r="BE110" s="165"/>
      <c r="BF110" s="165"/>
      <c r="BG110" s="165"/>
    </row>
    <row r="111" spans="38:59" x14ac:dyDescent="0.25">
      <c r="AL111" s="275" t="s">
        <v>586</v>
      </c>
      <c r="AM111" s="269">
        <v>16</v>
      </c>
      <c r="AN111" s="276">
        <f>-1500+[1]Jugadores!AM33-770-112</f>
        <v>-2382</v>
      </c>
      <c r="AO111" s="301" t="s">
        <v>442</v>
      </c>
      <c r="AP111" s="290"/>
      <c r="AQ111" s="279">
        <v>1.99</v>
      </c>
      <c r="AR111" s="310">
        <v>4</v>
      </c>
      <c r="AS111" s="288">
        <v>5.99</v>
      </c>
      <c r="AT111" s="307">
        <v>2</v>
      </c>
      <c r="AU111" s="280">
        <v>2.99</v>
      </c>
      <c r="AV111" s="307">
        <v>2</v>
      </c>
      <c r="AW111" s="280">
        <v>2.99</v>
      </c>
      <c r="AX111" s="311">
        <v>4</v>
      </c>
      <c r="AY111" s="283">
        <v>4.99</v>
      </c>
      <c r="AZ111" s="311">
        <v>5</v>
      </c>
      <c r="BA111" s="286">
        <v>5.99</v>
      </c>
      <c r="BB111" s="290"/>
      <c r="BC111" s="290"/>
      <c r="BD111" s="294">
        <v>46138</v>
      </c>
      <c r="BE111" s="165"/>
      <c r="BF111" s="165"/>
      <c r="BG111" s="165"/>
    </row>
    <row r="112" spans="38:59" x14ac:dyDescent="0.25">
      <c r="AL112" s="275" t="s">
        <v>587</v>
      </c>
      <c r="AM112" s="269">
        <v>16</v>
      </c>
      <c r="AN112" s="276">
        <f>[1]Jugadores!AM33-2100-6-93+31-112-26+34-112</f>
        <v>-2384</v>
      </c>
      <c r="AO112" s="301"/>
      <c r="AP112" s="290"/>
      <c r="AQ112" s="279">
        <v>1.99</v>
      </c>
      <c r="AR112" s="308">
        <v>3</v>
      </c>
      <c r="AS112" s="280">
        <v>3.99</v>
      </c>
      <c r="AT112" s="290"/>
      <c r="AU112" s="279">
        <v>2.99</v>
      </c>
      <c r="AV112" s="311">
        <v>6</v>
      </c>
      <c r="AW112" s="284">
        <v>6.99</v>
      </c>
      <c r="AX112" s="311">
        <v>2</v>
      </c>
      <c r="AY112" s="283">
        <v>2.99</v>
      </c>
      <c r="AZ112" s="310">
        <v>4</v>
      </c>
      <c r="BA112" s="291">
        <v>6.99</v>
      </c>
      <c r="BB112" s="290"/>
      <c r="BC112" s="290"/>
      <c r="BD112" s="294">
        <v>46140</v>
      </c>
      <c r="BE112" s="165"/>
      <c r="BF112" s="165"/>
      <c r="BG112" s="165"/>
    </row>
    <row r="113" spans="38:59" x14ac:dyDescent="0.25">
      <c r="AL113" s="275" t="s">
        <v>588</v>
      </c>
      <c r="AM113" s="269">
        <v>16</v>
      </c>
      <c r="AN113" s="276">
        <f>[1]Jugadores!AM33-2100-6-93+31-112-26-44-112</f>
        <v>-2462</v>
      </c>
      <c r="AO113" s="301" t="s">
        <v>442</v>
      </c>
      <c r="AP113" s="290"/>
      <c r="AQ113" s="290"/>
      <c r="AR113" s="311">
        <v>1</v>
      </c>
      <c r="AS113" s="283">
        <v>1.99</v>
      </c>
      <c r="AT113" s="290"/>
      <c r="AU113" s="279">
        <v>2.99</v>
      </c>
      <c r="AV113" s="308">
        <v>6</v>
      </c>
      <c r="AW113" s="281">
        <v>6.99</v>
      </c>
      <c r="AX113" s="290"/>
      <c r="AY113" s="279">
        <v>2.99</v>
      </c>
      <c r="AZ113" s="308">
        <v>4</v>
      </c>
      <c r="BA113" s="280">
        <v>4.99</v>
      </c>
      <c r="BB113" s="290"/>
      <c r="BC113" s="290"/>
      <c r="BD113" s="294">
        <v>46218</v>
      </c>
      <c r="BE113" s="165"/>
      <c r="BF113" s="165"/>
      <c r="BG113" s="165"/>
    </row>
    <row r="114" spans="38:59" x14ac:dyDescent="0.25">
      <c r="AL114" s="275" t="s">
        <v>589</v>
      </c>
      <c r="AM114" s="269">
        <v>18</v>
      </c>
      <c r="AN114" s="276">
        <f>88+[1]Jugadores!AM33-2254-112-112+6-112-112</f>
        <v>-2608</v>
      </c>
      <c r="AO114" s="301" t="s">
        <v>101</v>
      </c>
      <c r="AP114" s="290"/>
      <c r="AQ114" s="290"/>
      <c r="AR114" s="310">
        <v>5</v>
      </c>
      <c r="AS114" s="291">
        <v>6.99</v>
      </c>
      <c r="AT114" s="310">
        <v>5</v>
      </c>
      <c r="AU114" s="291">
        <v>6.99</v>
      </c>
      <c r="AV114" s="308">
        <v>2</v>
      </c>
      <c r="AW114" s="280">
        <v>2.99</v>
      </c>
      <c r="AX114" s="310">
        <v>5</v>
      </c>
      <c r="AY114" s="291">
        <v>6.99</v>
      </c>
      <c r="AZ114" s="308">
        <v>3</v>
      </c>
      <c r="BA114" s="280">
        <v>3.99</v>
      </c>
      <c r="BB114" s="290"/>
      <c r="BC114" s="290"/>
      <c r="BD114" s="294">
        <v>43644</v>
      </c>
      <c r="BE114" s="165"/>
      <c r="BF114" s="165"/>
      <c r="BG114" s="165"/>
    </row>
    <row r="115" spans="38:59" x14ac:dyDescent="0.25">
      <c r="AL115" s="275" t="s">
        <v>590</v>
      </c>
      <c r="AM115" s="269">
        <v>16</v>
      </c>
      <c r="AN115" s="276">
        <f>88+[1]Jugadores!AM33-2254-112-112+6-112</f>
        <v>-2496</v>
      </c>
      <c r="AO115" s="301" t="s">
        <v>192</v>
      </c>
      <c r="AP115" s="290"/>
      <c r="AQ115" s="279">
        <v>2.99</v>
      </c>
      <c r="AR115" s="310">
        <v>4</v>
      </c>
      <c r="AS115" s="291">
        <v>6.99</v>
      </c>
      <c r="AT115" s="290"/>
      <c r="AU115" s="290"/>
      <c r="AV115" s="311">
        <v>3</v>
      </c>
      <c r="AW115" s="283">
        <v>3.99</v>
      </c>
      <c r="AX115" s="290"/>
      <c r="AY115" s="279">
        <v>4.99</v>
      </c>
      <c r="AZ115" s="310">
        <v>2</v>
      </c>
      <c r="BA115" s="290"/>
      <c r="BB115" s="290"/>
      <c r="BC115" s="290"/>
      <c r="BD115" s="294">
        <v>46252</v>
      </c>
      <c r="BE115" s="165"/>
      <c r="BF115" s="165"/>
      <c r="BG115" s="165"/>
    </row>
    <row r="116" spans="38:59" x14ac:dyDescent="0.25">
      <c r="AL116" s="275" t="s">
        <v>427</v>
      </c>
      <c r="AM116" s="269">
        <v>17</v>
      </c>
      <c r="AN116" s="276">
        <v>3</v>
      </c>
      <c r="AO116" s="301"/>
      <c r="AP116" s="290"/>
      <c r="AQ116" s="290"/>
      <c r="AR116" s="311">
        <v>5</v>
      </c>
      <c r="AS116" s="286">
        <v>5.99</v>
      </c>
      <c r="AT116" s="311">
        <v>4</v>
      </c>
      <c r="AU116" s="283">
        <v>4.99</v>
      </c>
      <c r="AV116" s="311">
        <v>5</v>
      </c>
      <c r="AW116" s="286">
        <v>5.99</v>
      </c>
      <c r="AX116" s="308">
        <v>2</v>
      </c>
      <c r="AY116" s="280">
        <v>2.99</v>
      </c>
      <c r="AZ116" s="290"/>
      <c r="BA116" s="279">
        <v>3.99</v>
      </c>
      <c r="BB116" s="290"/>
      <c r="BC116" s="290"/>
      <c r="BD116" s="294">
        <v>43648</v>
      </c>
    </row>
  </sheetData>
  <mergeCells count="1">
    <mergeCell ref="H31:O31"/>
  </mergeCells>
  <conditionalFormatting sqref="AD22:AI28 AD3:AI3 AD16:AI19 AD7:AI12">
    <cfRule type="cellIs" dxfId="43" priority="701" stopIfTrue="1" operator="between">
      <formula>4</formula>
      <formula>5</formula>
    </cfRule>
    <cfRule type="cellIs" dxfId="42" priority="702" stopIfTrue="1" operator="lessThan">
      <formula>4</formula>
    </cfRule>
    <cfRule type="cellIs" dxfId="41" priority="703" stopIfTrue="1" operator="greaterThan">
      <formula>5</formula>
    </cfRule>
  </conditionalFormatting>
  <conditionalFormatting sqref="F16:F19 F3 F22:F28 F7:F12">
    <cfRule type="cellIs" dxfId="40" priority="700" stopIfTrue="1" operator="greaterThan">
      <formula>50</formula>
    </cfRule>
  </conditionalFormatting>
  <conditionalFormatting sqref="F16:F19 F3 F22:F28 F7:F12">
    <cfRule type="cellIs" dxfId="39" priority="698" stopIfTrue="1" operator="lessThan">
      <formula>1</formula>
    </cfRule>
    <cfRule type="cellIs" dxfId="38" priority="699" stopIfTrue="1" operator="between">
      <formula>1</formula>
      <formula>50</formula>
    </cfRule>
  </conditionalFormatting>
  <conditionalFormatting sqref="AD10:AI10">
    <cfRule type="cellIs" dxfId="37" priority="689" stopIfTrue="1" operator="between">
      <formula>4</formula>
      <formula>5</formula>
    </cfRule>
    <cfRule type="cellIs" dxfId="36" priority="690" stopIfTrue="1" operator="lessThan">
      <formula>4</formula>
    </cfRule>
    <cfRule type="cellIs" dxfId="35" priority="691" stopIfTrue="1" operator="greaterThan">
      <formula>5</formula>
    </cfRule>
  </conditionalFormatting>
  <conditionalFormatting sqref="AD17:AI17">
    <cfRule type="cellIs" dxfId="34" priority="686" stopIfTrue="1" operator="between">
      <formula>4</formula>
      <formula>5</formula>
    </cfRule>
    <cfRule type="cellIs" dxfId="33" priority="687" stopIfTrue="1" operator="lessThan">
      <formula>4</formula>
    </cfRule>
    <cfRule type="cellIs" dxfId="32" priority="688" stopIfTrue="1" operator="greaterThan">
      <formula>5</formula>
    </cfRule>
  </conditionalFormatting>
  <conditionalFormatting sqref="BD31:BD43">
    <cfRule type="cellIs" dxfId="31" priority="30" stopIfTrue="1" operator="lessThan">
      <formula>4</formula>
    </cfRule>
    <cfRule type="cellIs" dxfId="30" priority="31" stopIfTrue="1" operator="greaterThan">
      <formula>6.4</formula>
    </cfRule>
  </conditionalFormatting>
  <conditionalFormatting sqref="BD31:BD43">
    <cfRule type="cellIs" dxfId="29" priority="28" stopIfTrue="1" operator="lessThan">
      <formula>4</formula>
    </cfRule>
    <cfRule type="cellIs" dxfId="28" priority="29" stopIfTrue="1" operator="greaterThan">
      <formula>6.4</formula>
    </cfRule>
  </conditionalFormatting>
  <conditionalFormatting sqref="BD31:BD43">
    <cfRule type="cellIs" dxfId="27" priority="26" stopIfTrue="1" operator="lessThan">
      <formula>4</formula>
    </cfRule>
    <cfRule type="cellIs" dxfId="26" priority="27" stopIfTrue="1" operator="greaterThan">
      <formula>6.4</formula>
    </cfRule>
  </conditionalFormatting>
  <conditionalFormatting sqref="BD31:BD43">
    <cfRule type="cellIs" dxfId="25" priority="24" stopIfTrue="1" operator="lessThan">
      <formula>4</formula>
    </cfRule>
    <cfRule type="cellIs" dxfId="24" priority="25" stopIfTrue="1" operator="greaterThan">
      <formula>6.4</formula>
    </cfRule>
  </conditionalFormatting>
  <conditionalFormatting sqref="BD31:BD43">
    <cfRule type="cellIs" dxfId="23" priority="22" stopIfTrue="1" operator="lessThan">
      <formula>4</formula>
    </cfRule>
    <cfRule type="cellIs" dxfId="22" priority="23" stopIfTrue="1" operator="greaterThan">
      <formula>6.4</formula>
    </cfRule>
  </conditionalFormatting>
  <conditionalFormatting sqref="BD31:BD43">
    <cfRule type="cellIs" dxfId="21" priority="20" stopIfTrue="1" operator="lessThan">
      <formula>4</formula>
    </cfRule>
    <cfRule type="cellIs" dxfId="20" priority="21" stopIfTrue="1" operator="greaterThan">
      <formula>6.4</formula>
    </cfRule>
  </conditionalFormatting>
  <conditionalFormatting sqref="BD31:BD43">
    <cfRule type="cellIs" dxfId="19" priority="18" stopIfTrue="1" operator="lessThan">
      <formula>4</formula>
    </cfRule>
    <cfRule type="cellIs" dxfId="18" priority="19" stopIfTrue="1" operator="greaterThan">
      <formula>6.4</formula>
    </cfRule>
  </conditionalFormatting>
  <conditionalFormatting sqref="AD12:AI12">
    <cfRule type="cellIs" dxfId="17" priority="7" stopIfTrue="1" operator="between">
      <formula>4</formula>
      <formula>5</formula>
    </cfRule>
    <cfRule type="cellIs" dxfId="16" priority="8" stopIfTrue="1" operator="lessThan">
      <formula>4</formula>
    </cfRule>
    <cfRule type="cellIs" dxfId="15" priority="9" stopIfTrue="1" operator="greaterThan">
      <formula>5</formula>
    </cfRule>
  </conditionalFormatting>
  <conditionalFormatting sqref="F12">
    <cfRule type="cellIs" dxfId="14" priority="3" stopIfTrue="1" operator="greaterThan">
      <formula>50</formula>
    </cfRule>
  </conditionalFormatting>
  <conditionalFormatting sqref="F12">
    <cfRule type="cellIs" dxfId="13" priority="1" stopIfTrue="1" operator="lessThan">
      <formula>1</formula>
    </cfRule>
    <cfRule type="cellIs" dxfId="12" priority="2" stopIfTrue="1" operator="between">
      <formula>1</formula>
      <formula>50</formula>
    </cfRule>
  </conditionalFormatting>
  <conditionalFormatting sqref="Y22:Z28 Y3:Z3 Y16:Z19 Y7:Z12">
    <cfRule type="colorScale" priority="5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AR8" sqref="AR8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90">
        <f>SUM(N3:N17)</f>
        <v>123730</v>
      </c>
      <c r="AH1" s="90">
        <f>SUM(AH3:AH17)</f>
        <v>178515.48</v>
      </c>
    </row>
    <row r="2" spans="1:45" x14ac:dyDescent="0.25">
      <c r="A2" s="125" t="s">
        <v>96</v>
      </c>
      <c r="B2" s="125" t="s">
        <v>2</v>
      </c>
      <c r="C2" s="125" t="s">
        <v>64</v>
      </c>
      <c r="D2" s="125" t="s">
        <v>97</v>
      </c>
      <c r="E2" s="125" t="s">
        <v>198</v>
      </c>
      <c r="F2" s="125" t="s">
        <v>199</v>
      </c>
      <c r="G2" s="125" t="s">
        <v>15</v>
      </c>
      <c r="H2" s="125" t="s">
        <v>16</v>
      </c>
      <c r="I2" s="125" t="s">
        <v>17</v>
      </c>
      <c r="J2" s="125" t="s">
        <v>18</v>
      </c>
      <c r="K2" s="125" t="s">
        <v>19</v>
      </c>
      <c r="L2" s="125" t="s">
        <v>20</v>
      </c>
      <c r="M2" s="125" t="s">
        <v>6</v>
      </c>
      <c r="N2" s="125" t="s">
        <v>50</v>
      </c>
      <c r="O2" s="125" t="s">
        <v>200</v>
      </c>
      <c r="P2" s="125" t="s">
        <v>201</v>
      </c>
      <c r="Q2" s="125" t="s">
        <v>202</v>
      </c>
      <c r="R2" s="125" t="s">
        <v>203</v>
      </c>
      <c r="S2" s="125" t="s">
        <v>204</v>
      </c>
      <c r="T2" s="125" t="s">
        <v>205</v>
      </c>
      <c r="U2" s="125" t="s">
        <v>206</v>
      </c>
      <c r="V2" s="125" t="s">
        <v>207</v>
      </c>
      <c r="X2" s="10" t="s">
        <v>96</v>
      </c>
      <c r="Y2" s="10" t="s">
        <v>198</v>
      </c>
      <c r="Z2" s="10" t="s">
        <v>199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</row>
    <row r="3" spans="1:45" x14ac:dyDescent="0.25">
      <c r="A3" t="s">
        <v>28</v>
      </c>
      <c r="B3" s="15" t="s">
        <v>27</v>
      </c>
      <c r="C3" s="17"/>
      <c r="D3" s="17" t="s">
        <v>361</v>
      </c>
      <c r="E3" s="3">
        <f>Plantilla!E4</f>
        <v>22</v>
      </c>
      <c r="F3" s="25">
        <f ca="1">Plantilla!F4</f>
        <v>65</v>
      </c>
      <c r="G3" s="105">
        <f>Plantilla!X4</f>
        <v>15</v>
      </c>
      <c r="H3" s="105">
        <f>Plantilla!Y4</f>
        <v>10.571428571428571</v>
      </c>
      <c r="I3" s="105">
        <f>Plantilla!Z4</f>
        <v>0</v>
      </c>
      <c r="J3" s="105">
        <f>Plantilla!AA4</f>
        <v>0</v>
      </c>
      <c r="K3" s="105">
        <f>Plantilla!AB4</f>
        <v>0</v>
      </c>
      <c r="L3" s="105">
        <f>Plantilla!AC4</f>
        <v>1</v>
      </c>
      <c r="M3" s="105">
        <f>Plantilla!AD4</f>
        <v>1</v>
      </c>
      <c r="N3" s="42">
        <f>Plantilla!V4</f>
        <v>27520</v>
      </c>
      <c r="O3" s="121">
        <v>51.5</v>
      </c>
      <c r="P3" s="121">
        <v>41</v>
      </c>
      <c r="Q3" s="121">
        <v>0</v>
      </c>
      <c r="R3" s="89">
        <v>0</v>
      </c>
      <c r="S3" s="89">
        <v>0</v>
      </c>
      <c r="T3" s="89">
        <v>0</v>
      </c>
      <c r="U3" s="89">
        <v>0</v>
      </c>
      <c r="V3" s="128">
        <f>SUM(O3:U3)</f>
        <v>92.5</v>
      </c>
      <c r="X3" t="s">
        <v>28</v>
      </c>
      <c r="Y3" s="17">
        <f>E3+1</f>
        <v>23</v>
      </c>
      <c r="Z3" s="3">
        <f ca="1">F3+(7*$AR$8)-122</f>
        <v>27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21">
        <f>O3</f>
        <v>51.5</v>
      </c>
      <c r="AJ3" s="121">
        <f>P3+$AR$8</f>
        <v>53</v>
      </c>
      <c r="AK3" s="121">
        <f t="shared" ref="AK3:AO3" si="1">Q3</f>
        <v>0</v>
      </c>
      <c r="AL3" s="121">
        <f t="shared" si="1"/>
        <v>0</v>
      </c>
      <c r="AM3" s="121">
        <f t="shared" si="1"/>
        <v>0</v>
      </c>
      <c r="AN3" s="121">
        <f t="shared" si="1"/>
        <v>0</v>
      </c>
      <c r="AO3" s="121">
        <f t="shared" si="1"/>
        <v>0</v>
      </c>
      <c r="AP3" s="128">
        <f>SUM(AI3:AO3)</f>
        <v>104.5</v>
      </c>
    </row>
    <row r="4" spans="1:45" x14ac:dyDescent="0.25">
      <c r="A4" t="s">
        <v>31</v>
      </c>
      <c r="B4" s="15" t="s">
        <v>29</v>
      </c>
      <c r="C4" s="3"/>
      <c r="D4" s="3" t="s">
        <v>350</v>
      </c>
      <c r="E4" s="3">
        <f>Plantilla!E6</f>
        <v>22</v>
      </c>
      <c r="F4" s="3">
        <f ca="1">Plantilla!F6</f>
        <v>62</v>
      </c>
      <c r="G4" s="105">
        <f>Plantilla!X6</f>
        <v>0</v>
      </c>
      <c r="H4" s="105">
        <f>Plantilla!Y6</f>
        <v>14.625</v>
      </c>
      <c r="I4" s="105">
        <f>Plantilla!Z6</f>
        <v>5</v>
      </c>
      <c r="J4" s="105">
        <f>Plantilla!AA6</f>
        <v>5.4</v>
      </c>
      <c r="K4" s="105">
        <f>Plantilla!AB6</f>
        <v>6</v>
      </c>
      <c r="L4" s="105">
        <f>Plantilla!AC6</f>
        <v>2</v>
      </c>
      <c r="M4" s="105">
        <f>Plantilla!AD6</f>
        <v>1</v>
      </c>
      <c r="N4" s="42">
        <f>Plantilla!V6</f>
        <v>18250</v>
      </c>
      <c r="O4" s="121">
        <v>0</v>
      </c>
      <c r="P4" s="121">
        <v>89</v>
      </c>
      <c r="Q4" s="121">
        <v>9</v>
      </c>
      <c r="R4" s="89">
        <v>6</v>
      </c>
      <c r="S4" s="89">
        <v>10</v>
      </c>
      <c r="T4" s="89">
        <v>0</v>
      </c>
      <c r="U4" s="89">
        <v>0</v>
      </c>
      <c r="V4" s="128">
        <f t="shared" ref="V4:V13" si="2">SUM(O4:U4)</f>
        <v>114</v>
      </c>
      <c r="X4" t="s">
        <v>31</v>
      </c>
      <c r="Y4" s="17">
        <f t="shared" ref="Y4:Y15" si="3">E4+1</f>
        <v>23</v>
      </c>
      <c r="Z4" s="3">
        <f t="shared" ref="Z4:Z15" ca="1" si="4">F4+(7*$AR$8)-122</f>
        <v>24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3">
        <f t="shared" ref="AI4:AI18" si="6">O4</f>
        <v>0</v>
      </c>
      <c r="AJ4" s="123">
        <f t="shared" ref="AJ4:AJ15" si="7">P4+$AR$8</f>
        <v>101</v>
      </c>
      <c r="AK4" s="123">
        <f t="shared" ref="AK4:AK18" si="8">Q4</f>
        <v>9</v>
      </c>
      <c r="AL4" s="123">
        <f t="shared" ref="AL4:AL18" si="9">R4</f>
        <v>6</v>
      </c>
      <c r="AM4" s="123">
        <f t="shared" ref="AM4:AM18" si="10">S4</f>
        <v>10</v>
      </c>
      <c r="AN4" s="123">
        <f t="shared" ref="AN4:AN18" si="11">T4</f>
        <v>0</v>
      </c>
      <c r="AO4" s="123">
        <f t="shared" ref="AO4:AO18" si="12">U4</f>
        <v>0</v>
      </c>
      <c r="AP4" s="128">
        <f>SUM(AI4:AO4)</f>
        <v>126</v>
      </c>
    </row>
    <row r="5" spans="1:45" x14ac:dyDescent="0.25">
      <c r="A5" t="s">
        <v>32</v>
      </c>
      <c r="B5" s="15" t="s">
        <v>29</v>
      </c>
      <c r="C5" s="3"/>
      <c r="D5" s="3" t="s">
        <v>351</v>
      </c>
      <c r="E5" s="3">
        <f>Plantilla!E8</f>
        <v>22</v>
      </c>
      <c r="F5" s="3">
        <f ca="1">Plantilla!F8</f>
        <v>93</v>
      </c>
      <c r="G5" s="105">
        <f>Plantilla!X8</f>
        <v>0</v>
      </c>
      <c r="H5" s="105">
        <f>Plantilla!Y8</f>
        <v>12.545454545454545</v>
      </c>
      <c r="I5" s="105">
        <f>Plantilla!Z8</f>
        <v>3</v>
      </c>
      <c r="J5" s="105">
        <f>Plantilla!AA8</f>
        <v>7.1999999999999993</v>
      </c>
      <c r="K5" s="105">
        <f>Plantilla!AB8</f>
        <v>10.125</v>
      </c>
      <c r="L5" s="105">
        <f>Plantilla!AC8</f>
        <v>3</v>
      </c>
      <c r="M5" s="105">
        <f>Plantilla!AD8</f>
        <v>2</v>
      </c>
      <c r="N5" s="42">
        <f>Plantilla!V8</f>
        <v>5710</v>
      </c>
      <c r="O5" s="121">
        <v>0</v>
      </c>
      <c r="P5" s="121">
        <v>62</v>
      </c>
      <c r="Q5" s="121">
        <v>3</v>
      </c>
      <c r="R5" s="89">
        <v>11.5</v>
      </c>
      <c r="S5" s="89">
        <v>30</v>
      </c>
      <c r="T5" s="89">
        <v>2</v>
      </c>
      <c r="U5" s="89">
        <v>0</v>
      </c>
      <c r="V5" s="128">
        <f>SUM(O5:U5)</f>
        <v>108.5</v>
      </c>
      <c r="X5" t="s">
        <v>32</v>
      </c>
      <c r="Y5" s="17">
        <f t="shared" si="3"/>
        <v>23</v>
      </c>
      <c r="Z5" s="3">
        <f t="shared" ca="1" si="4"/>
        <v>55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3">
        <f t="shared" si="6"/>
        <v>0</v>
      </c>
      <c r="AJ5" s="123">
        <f t="shared" si="7"/>
        <v>74</v>
      </c>
      <c r="AK5" s="123">
        <f t="shared" si="8"/>
        <v>3</v>
      </c>
      <c r="AL5" s="123">
        <f t="shared" si="9"/>
        <v>11.5</v>
      </c>
      <c r="AM5" s="123">
        <f t="shared" si="10"/>
        <v>30</v>
      </c>
      <c r="AN5" s="123">
        <f t="shared" si="11"/>
        <v>2</v>
      </c>
      <c r="AO5" s="123">
        <f t="shared" si="12"/>
        <v>0</v>
      </c>
      <c r="AP5" s="128">
        <f>SUM(AI5:AO5)</f>
        <v>120.5</v>
      </c>
    </row>
    <row r="6" spans="1:45" x14ac:dyDescent="0.25">
      <c r="A6" t="s">
        <v>38</v>
      </c>
      <c r="B6" s="15" t="s">
        <v>29</v>
      </c>
      <c r="C6" s="3"/>
      <c r="D6" s="3" t="s">
        <v>354</v>
      </c>
      <c r="E6" s="3">
        <f>Plantilla!E7</f>
        <v>22</v>
      </c>
      <c r="F6" s="25">
        <f ca="1">Plantilla!F7</f>
        <v>43</v>
      </c>
      <c r="G6" s="105">
        <f>Plantilla!X7</f>
        <v>0</v>
      </c>
      <c r="H6" s="105">
        <f>Plantilla!Y7</f>
        <v>14.5625</v>
      </c>
      <c r="I6" s="105">
        <f>Plantilla!Z7</f>
        <v>5</v>
      </c>
      <c r="J6" s="105">
        <f>Plantilla!AA7</f>
        <v>7</v>
      </c>
      <c r="K6" s="105">
        <f>Plantilla!AB7</f>
        <v>5.25</v>
      </c>
      <c r="L6" s="105">
        <f>Plantilla!AC7</f>
        <v>1</v>
      </c>
      <c r="M6" s="105">
        <f>Plantilla!AD7</f>
        <v>0</v>
      </c>
      <c r="N6" s="42">
        <f>Plantilla!V7</f>
        <v>19870</v>
      </c>
      <c r="O6" s="121">
        <v>0</v>
      </c>
      <c r="P6" s="121">
        <v>88</v>
      </c>
      <c r="Q6" s="121">
        <v>9</v>
      </c>
      <c r="R6" s="89">
        <v>10.5</v>
      </c>
      <c r="S6" s="89">
        <v>8</v>
      </c>
      <c r="T6" s="89">
        <v>0</v>
      </c>
      <c r="U6" s="89">
        <v>0</v>
      </c>
      <c r="V6" s="128">
        <f>SUM(O6:U6)</f>
        <v>115.5</v>
      </c>
      <c r="X6" t="s">
        <v>38</v>
      </c>
      <c r="Y6" s="17">
        <f t="shared" si="3"/>
        <v>23</v>
      </c>
      <c r="Z6" s="3">
        <f t="shared" ca="1" si="4"/>
        <v>5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3">
        <f t="shared" si="6"/>
        <v>0</v>
      </c>
      <c r="AJ6" s="123">
        <f t="shared" si="7"/>
        <v>100</v>
      </c>
      <c r="AK6" s="123">
        <f t="shared" si="8"/>
        <v>9</v>
      </c>
      <c r="AL6" s="123">
        <f t="shared" si="9"/>
        <v>10.5</v>
      </c>
      <c r="AM6" s="123">
        <f t="shared" si="10"/>
        <v>8</v>
      </c>
      <c r="AN6" s="123">
        <f t="shared" si="11"/>
        <v>0</v>
      </c>
      <c r="AO6" s="123">
        <f t="shared" si="12"/>
        <v>0</v>
      </c>
      <c r="AP6" s="128">
        <f>SUM(AI6:AO6)</f>
        <v>127.5</v>
      </c>
    </row>
    <row r="7" spans="1:45" x14ac:dyDescent="0.25">
      <c r="A7" t="s">
        <v>40</v>
      </c>
      <c r="B7" s="15" t="s">
        <v>29</v>
      </c>
      <c r="C7" s="3"/>
      <c r="D7" s="3" t="s">
        <v>358</v>
      </c>
      <c r="E7" s="3">
        <f>Plantilla!E9</f>
        <v>22</v>
      </c>
      <c r="F7" s="25">
        <f ca="1">Plantilla!F9</f>
        <v>78</v>
      </c>
      <c r="G7" s="105">
        <f>Plantilla!X9</f>
        <v>0</v>
      </c>
      <c r="H7" s="105">
        <f>Plantilla!Y9</f>
        <v>10.444444444444445</v>
      </c>
      <c r="I7" s="105">
        <f>Plantilla!Z9</f>
        <v>11</v>
      </c>
      <c r="J7" s="105">
        <f>Plantilla!AA9</f>
        <v>4</v>
      </c>
      <c r="K7" s="105">
        <f>Plantilla!AB9</f>
        <v>9.1428571428571423</v>
      </c>
      <c r="L7" s="105">
        <f>Plantilla!AC9</f>
        <v>4</v>
      </c>
      <c r="M7" s="105">
        <f>Plantilla!AD9</f>
        <v>1</v>
      </c>
      <c r="N7" s="42">
        <f>Plantilla!V9</f>
        <v>6250</v>
      </c>
      <c r="O7" s="121">
        <v>0</v>
      </c>
      <c r="P7" s="121">
        <v>41</v>
      </c>
      <c r="Q7" s="121">
        <v>40</v>
      </c>
      <c r="R7" s="89">
        <v>3.5</v>
      </c>
      <c r="S7" s="89">
        <v>24</v>
      </c>
      <c r="T7" s="89">
        <v>5</v>
      </c>
      <c r="U7" s="89">
        <v>0</v>
      </c>
      <c r="V7" s="128">
        <f t="shared" si="2"/>
        <v>113.5</v>
      </c>
      <c r="X7" t="s">
        <v>40</v>
      </c>
      <c r="Y7" s="17">
        <f t="shared" si="3"/>
        <v>23</v>
      </c>
      <c r="Z7" s="3">
        <f t="shared" ca="1" si="4"/>
        <v>40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3">
        <f t="shared" si="6"/>
        <v>0</v>
      </c>
      <c r="AJ7" s="123">
        <f t="shared" si="7"/>
        <v>53</v>
      </c>
      <c r="AK7" s="123">
        <f t="shared" si="8"/>
        <v>40</v>
      </c>
      <c r="AL7" s="123">
        <f t="shared" si="9"/>
        <v>3.5</v>
      </c>
      <c r="AM7" s="123">
        <f t="shared" si="10"/>
        <v>24</v>
      </c>
      <c r="AN7" s="123">
        <f t="shared" si="11"/>
        <v>5</v>
      </c>
      <c r="AO7" s="123">
        <f t="shared" si="12"/>
        <v>0</v>
      </c>
      <c r="AP7" s="128">
        <f t="shared" ref="AP7:AP13" si="13">SUM(AI7:AO7)</f>
        <v>125.5</v>
      </c>
      <c r="AR7" s="106" t="s">
        <v>243</v>
      </c>
      <c r="AS7" s="106" t="s">
        <v>244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5">
        <v>0</v>
      </c>
      <c r="H8" s="73">
        <v>2</v>
      </c>
      <c r="I8" s="105">
        <v>2</v>
      </c>
      <c r="J8" s="73">
        <v>2</v>
      </c>
      <c r="K8" s="105">
        <v>2</v>
      </c>
      <c r="L8" s="73">
        <v>2</v>
      </c>
      <c r="M8" s="105">
        <v>2</v>
      </c>
      <c r="N8" s="42"/>
      <c r="O8" s="121">
        <v>0</v>
      </c>
      <c r="P8" s="121">
        <v>0</v>
      </c>
      <c r="Q8" s="121">
        <v>0</v>
      </c>
      <c r="R8" s="89">
        <v>0</v>
      </c>
      <c r="S8" s="89">
        <v>0</v>
      </c>
      <c r="T8" s="89">
        <v>0</v>
      </c>
      <c r="U8" s="89">
        <v>0</v>
      </c>
      <c r="V8" s="128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3">
        <f t="shared" si="6"/>
        <v>0</v>
      </c>
      <c r="AJ8" s="123">
        <v>0</v>
      </c>
      <c r="AK8" s="123">
        <f t="shared" si="8"/>
        <v>0</v>
      </c>
      <c r="AL8" s="123">
        <f t="shared" si="9"/>
        <v>0</v>
      </c>
      <c r="AM8" s="123">
        <f t="shared" si="10"/>
        <v>0</v>
      </c>
      <c r="AN8" s="123">
        <f t="shared" si="11"/>
        <v>0</v>
      </c>
      <c r="AO8" s="123">
        <f t="shared" si="12"/>
        <v>0</v>
      </c>
      <c r="AP8" s="128">
        <f t="shared" si="13"/>
        <v>0</v>
      </c>
      <c r="AQ8" s="106" t="s">
        <v>29</v>
      </c>
      <c r="AR8" s="60">
        <v>12</v>
      </c>
      <c r="AS8" s="126">
        <f>AR8/16</f>
        <v>0.75</v>
      </c>
    </row>
    <row r="9" spans="1:45" x14ac:dyDescent="0.25">
      <c r="A9" t="s">
        <v>34</v>
      </c>
      <c r="B9" s="15" t="s">
        <v>29</v>
      </c>
      <c r="C9" s="3" t="s">
        <v>192</v>
      </c>
      <c r="D9" s="3" t="s">
        <v>342</v>
      </c>
      <c r="E9" s="3">
        <f>Plantilla!E11</f>
        <v>22</v>
      </c>
      <c r="F9" s="3">
        <f ca="1">Plantilla!F11</f>
        <v>58</v>
      </c>
      <c r="G9" s="105">
        <f>Plantilla!X11</f>
        <v>0</v>
      </c>
      <c r="H9" s="105">
        <f>Plantilla!Y11</f>
        <v>11.777777777777779</v>
      </c>
      <c r="I9" s="105">
        <f>Plantilla!Z11</f>
        <v>4</v>
      </c>
      <c r="J9" s="105">
        <f>Plantilla!AA11</f>
        <v>12.666666666666666</v>
      </c>
      <c r="K9" s="105">
        <f>Plantilla!AB11</f>
        <v>4.5</v>
      </c>
      <c r="L9" s="105">
        <f>Plantilla!AC11</f>
        <v>7</v>
      </c>
      <c r="M9" s="105">
        <f>Plantilla!AD11</f>
        <v>3</v>
      </c>
      <c r="N9" s="42">
        <f>Plantilla!V11</f>
        <v>8650</v>
      </c>
      <c r="O9" s="121">
        <v>0</v>
      </c>
      <c r="P9" s="121">
        <v>54</v>
      </c>
      <c r="Q9" s="121">
        <v>6</v>
      </c>
      <c r="R9" s="89">
        <v>40.5</v>
      </c>
      <c r="S9" s="89">
        <v>6</v>
      </c>
      <c r="T9" s="89">
        <v>16</v>
      </c>
      <c r="U9" s="89">
        <v>1</v>
      </c>
      <c r="V9" s="128">
        <f t="shared" si="2"/>
        <v>123.5</v>
      </c>
      <c r="X9" t="s">
        <v>34</v>
      </c>
      <c r="Y9" s="17">
        <f t="shared" si="3"/>
        <v>23</v>
      </c>
      <c r="Z9" s="3">
        <f t="shared" ca="1" si="4"/>
        <v>20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3">
        <f t="shared" si="6"/>
        <v>0</v>
      </c>
      <c r="AJ9" s="123">
        <f t="shared" si="7"/>
        <v>66</v>
      </c>
      <c r="AK9" s="123">
        <f t="shared" si="8"/>
        <v>6</v>
      </c>
      <c r="AL9" s="123">
        <f t="shared" si="9"/>
        <v>40.5</v>
      </c>
      <c r="AM9" s="123">
        <f t="shared" si="10"/>
        <v>6</v>
      </c>
      <c r="AN9" s="123">
        <f t="shared" si="11"/>
        <v>16</v>
      </c>
      <c r="AO9" s="123">
        <f t="shared" si="12"/>
        <v>1</v>
      </c>
      <c r="AP9" s="128">
        <f t="shared" si="13"/>
        <v>135.5</v>
      </c>
      <c r="AR9" s="127"/>
      <c r="AS9" s="127"/>
    </row>
    <row r="10" spans="1:45" x14ac:dyDescent="0.25">
      <c r="A10" t="s">
        <v>30</v>
      </c>
      <c r="B10" s="15" t="s">
        <v>29</v>
      </c>
      <c r="C10" s="3" t="s">
        <v>192</v>
      </c>
      <c r="D10" s="3" t="s">
        <v>209</v>
      </c>
      <c r="E10" s="3">
        <f>Plantilla!E13</f>
        <v>22</v>
      </c>
      <c r="F10" s="3">
        <f ca="1">Plantilla!F13</f>
        <v>58</v>
      </c>
      <c r="G10" s="105">
        <f>Plantilla!X13</f>
        <v>0</v>
      </c>
      <c r="H10" s="105">
        <f>Plantilla!Y13</f>
        <v>10.428571428571429</v>
      </c>
      <c r="I10" s="105">
        <f>Plantilla!Z13</f>
        <v>3</v>
      </c>
      <c r="J10" s="105">
        <f>Plantilla!AA13</f>
        <v>12</v>
      </c>
      <c r="K10" s="105">
        <f>Plantilla!AB13</f>
        <v>6.2000000000000011</v>
      </c>
      <c r="L10" s="105">
        <f>Plantilla!AC13</f>
        <v>7.25</v>
      </c>
      <c r="M10" s="105">
        <f>Plantilla!AD13</f>
        <v>3</v>
      </c>
      <c r="N10" s="42">
        <f>Plantilla!V13</f>
        <v>5690</v>
      </c>
      <c r="O10" s="121">
        <v>0</v>
      </c>
      <c r="P10" s="121">
        <v>40</v>
      </c>
      <c r="Q10" s="121">
        <v>3</v>
      </c>
      <c r="R10" s="89">
        <v>32.5</v>
      </c>
      <c r="S10" s="89">
        <v>11</v>
      </c>
      <c r="T10" s="89">
        <v>17</v>
      </c>
      <c r="U10" s="89">
        <v>1</v>
      </c>
      <c r="V10" s="128">
        <f t="shared" si="2"/>
        <v>104.5</v>
      </c>
      <c r="X10" t="s">
        <v>30</v>
      </c>
      <c r="Y10" s="17">
        <f t="shared" si="3"/>
        <v>23</v>
      </c>
      <c r="Z10" s="3">
        <f t="shared" ca="1" si="4"/>
        <v>20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3">
        <f t="shared" si="6"/>
        <v>0</v>
      </c>
      <c r="AJ10" s="123">
        <f t="shared" si="7"/>
        <v>52</v>
      </c>
      <c r="AK10" s="123">
        <f t="shared" si="8"/>
        <v>3</v>
      </c>
      <c r="AL10" s="123">
        <f t="shared" si="9"/>
        <v>32.5</v>
      </c>
      <c r="AM10" s="123">
        <f t="shared" si="10"/>
        <v>11</v>
      </c>
      <c r="AN10" s="123">
        <f t="shared" si="11"/>
        <v>17</v>
      </c>
      <c r="AO10" s="123">
        <f t="shared" si="12"/>
        <v>1</v>
      </c>
      <c r="AP10" s="128">
        <f t="shared" si="13"/>
        <v>116.5</v>
      </c>
      <c r="AR10" s="127"/>
      <c r="AS10" s="127"/>
    </row>
    <row r="11" spans="1:45" x14ac:dyDescent="0.25">
      <c r="A11" t="s">
        <v>42</v>
      </c>
      <c r="B11" s="15" t="s">
        <v>245</v>
      </c>
      <c r="C11" s="3"/>
      <c r="D11" s="3"/>
      <c r="E11" s="3"/>
      <c r="F11" s="3"/>
      <c r="G11" s="105">
        <v>0</v>
      </c>
      <c r="H11" s="73">
        <v>2</v>
      </c>
      <c r="I11" s="105">
        <v>2</v>
      </c>
      <c r="J11" s="73">
        <v>2</v>
      </c>
      <c r="K11" s="105">
        <v>2</v>
      </c>
      <c r="L11" s="73">
        <v>2</v>
      </c>
      <c r="M11" s="105">
        <v>2</v>
      </c>
      <c r="N11" s="42"/>
      <c r="O11" s="121">
        <v>0</v>
      </c>
      <c r="P11" s="121">
        <v>0</v>
      </c>
      <c r="Q11" s="121">
        <v>0</v>
      </c>
      <c r="R11" s="89">
        <v>0</v>
      </c>
      <c r="S11" s="89">
        <v>0</v>
      </c>
      <c r="T11" s="89">
        <v>0</v>
      </c>
      <c r="U11" s="89">
        <v>0</v>
      </c>
      <c r="V11" s="128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3">
        <f t="shared" si="6"/>
        <v>0</v>
      </c>
      <c r="AJ11" s="123">
        <v>0</v>
      </c>
      <c r="AK11" s="123">
        <f t="shared" si="8"/>
        <v>0</v>
      </c>
      <c r="AL11" s="123">
        <f t="shared" si="9"/>
        <v>0</v>
      </c>
      <c r="AM11" s="123">
        <f t="shared" si="10"/>
        <v>0</v>
      </c>
      <c r="AN11" s="123">
        <f t="shared" si="11"/>
        <v>0</v>
      </c>
      <c r="AO11" s="123">
        <f t="shared" si="12"/>
        <v>0</v>
      </c>
      <c r="AP11" s="128">
        <f t="shared" si="13"/>
        <v>0</v>
      </c>
    </row>
    <row r="12" spans="1:45" x14ac:dyDescent="0.25">
      <c r="A12" t="s">
        <v>36</v>
      </c>
      <c r="B12" s="15" t="s">
        <v>245</v>
      </c>
      <c r="C12" s="3"/>
      <c r="D12" s="3"/>
      <c r="E12" s="3"/>
      <c r="F12" s="3"/>
      <c r="G12" s="105">
        <v>0</v>
      </c>
      <c r="H12" s="73">
        <v>2</v>
      </c>
      <c r="I12" s="105">
        <v>2</v>
      </c>
      <c r="J12" s="73">
        <v>2</v>
      </c>
      <c r="K12" s="105">
        <v>2</v>
      </c>
      <c r="L12" s="73">
        <v>2</v>
      </c>
      <c r="M12" s="105">
        <v>2</v>
      </c>
      <c r="N12" s="42"/>
      <c r="O12" s="121">
        <v>0</v>
      </c>
      <c r="P12" s="121">
        <v>0</v>
      </c>
      <c r="Q12" s="121">
        <v>0</v>
      </c>
      <c r="R12" s="89">
        <v>0</v>
      </c>
      <c r="S12" s="89">
        <v>0</v>
      </c>
      <c r="T12" s="89">
        <v>0</v>
      </c>
      <c r="U12" s="89">
        <v>0</v>
      </c>
      <c r="V12" s="128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3">
        <f t="shared" si="6"/>
        <v>0</v>
      </c>
      <c r="AJ12" s="123">
        <v>0</v>
      </c>
      <c r="AK12" s="123">
        <f t="shared" si="8"/>
        <v>0</v>
      </c>
      <c r="AL12" s="123">
        <f t="shared" si="9"/>
        <v>0</v>
      </c>
      <c r="AM12" s="123">
        <f t="shared" si="10"/>
        <v>0</v>
      </c>
      <c r="AN12" s="123">
        <f t="shared" si="11"/>
        <v>0</v>
      </c>
      <c r="AO12" s="123">
        <f t="shared" si="12"/>
        <v>0</v>
      </c>
      <c r="AP12" s="128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208</v>
      </c>
      <c r="E13" s="3">
        <f>Plantilla!E14</f>
        <v>22</v>
      </c>
      <c r="F13" s="3">
        <f ca="1">Plantilla!F14</f>
        <v>54</v>
      </c>
      <c r="G13" s="105">
        <f>Plantilla!X14</f>
        <v>0</v>
      </c>
      <c r="H13" s="105">
        <f>Plantilla!Y14</f>
        <v>9</v>
      </c>
      <c r="I13" s="105">
        <f>Plantilla!Z14</f>
        <v>5.7</v>
      </c>
      <c r="J13" s="105">
        <f>Plantilla!AA14</f>
        <v>14.124999999999996</v>
      </c>
      <c r="K13" s="105">
        <f>Plantilla!AB14</f>
        <v>6.2</v>
      </c>
      <c r="L13" s="105">
        <f>Plantilla!AC14</f>
        <v>7.5</v>
      </c>
      <c r="M13" s="105">
        <f>Plantilla!AD14</f>
        <v>5</v>
      </c>
      <c r="N13" s="42">
        <f>Plantilla!V14</f>
        <v>13450</v>
      </c>
      <c r="O13" s="121">
        <v>0</v>
      </c>
      <c r="P13" s="121">
        <v>25</v>
      </c>
      <c r="Q13" s="121">
        <v>10.5</v>
      </c>
      <c r="R13" s="89">
        <v>47.5</v>
      </c>
      <c r="S13" s="89">
        <v>11</v>
      </c>
      <c r="T13" s="89">
        <v>18</v>
      </c>
      <c r="U13" s="89">
        <v>3</v>
      </c>
      <c r="V13" s="128">
        <f t="shared" si="2"/>
        <v>115</v>
      </c>
      <c r="X13" t="s">
        <v>35</v>
      </c>
      <c r="Y13" s="17">
        <f t="shared" si="3"/>
        <v>23</v>
      </c>
      <c r="Z13" s="3">
        <f t="shared" ca="1" si="4"/>
        <v>16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3">
        <f t="shared" si="6"/>
        <v>0</v>
      </c>
      <c r="AJ13" s="123">
        <f t="shared" si="7"/>
        <v>37</v>
      </c>
      <c r="AK13" s="123">
        <f t="shared" si="8"/>
        <v>10.5</v>
      </c>
      <c r="AL13" s="123">
        <f t="shared" si="9"/>
        <v>47.5</v>
      </c>
      <c r="AM13" s="123">
        <f t="shared" si="10"/>
        <v>11</v>
      </c>
      <c r="AN13" s="123">
        <f t="shared" si="11"/>
        <v>18</v>
      </c>
      <c r="AO13" s="123">
        <f t="shared" si="12"/>
        <v>3</v>
      </c>
      <c r="AP13" s="128">
        <f t="shared" si="13"/>
        <v>127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341</v>
      </c>
      <c r="E14" s="3">
        <f>Plantilla!E12</f>
        <v>22</v>
      </c>
      <c r="F14" s="3">
        <f ca="1">Plantilla!F12</f>
        <v>19</v>
      </c>
      <c r="G14" s="105">
        <f>Plantilla!X12</f>
        <v>0</v>
      </c>
      <c r="H14" s="105">
        <f>Plantilla!Y12</f>
        <v>10.857142857142858</v>
      </c>
      <c r="I14" s="105">
        <f>Plantilla!Z12</f>
        <v>3</v>
      </c>
      <c r="J14" s="105">
        <f>Plantilla!AA12</f>
        <v>13</v>
      </c>
      <c r="K14" s="105">
        <f>Plantilla!AB12</f>
        <v>7.25</v>
      </c>
      <c r="L14" s="105">
        <f>Plantilla!AC12</f>
        <v>7</v>
      </c>
      <c r="M14" s="105">
        <f>Plantilla!AD12</f>
        <v>3</v>
      </c>
      <c r="N14" s="42">
        <f>Plantilla!V12</f>
        <v>9290</v>
      </c>
      <c r="O14" s="121">
        <v>0</v>
      </c>
      <c r="P14" s="121">
        <v>43</v>
      </c>
      <c r="Q14" s="121">
        <v>3</v>
      </c>
      <c r="R14" s="89">
        <v>39.5</v>
      </c>
      <c r="S14" s="89">
        <v>15</v>
      </c>
      <c r="T14" s="89">
        <v>16</v>
      </c>
      <c r="U14" s="89">
        <v>1</v>
      </c>
      <c r="V14" s="128">
        <f>SUM(O14:U14)</f>
        <v>117.5</v>
      </c>
      <c r="X14" t="s">
        <v>39</v>
      </c>
      <c r="Y14" s="17">
        <f>E14</f>
        <v>22</v>
      </c>
      <c r="Z14" s="3">
        <f ca="1">F14+(7*$AR$8)</f>
        <v>103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3">
        <f t="shared" si="6"/>
        <v>0</v>
      </c>
      <c r="AJ14" s="123">
        <f t="shared" si="7"/>
        <v>55</v>
      </c>
      <c r="AK14" s="123">
        <f t="shared" si="8"/>
        <v>3</v>
      </c>
      <c r="AL14" s="123">
        <f t="shared" si="9"/>
        <v>39.5</v>
      </c>
      <c r="AM14" s="123">
        <f t="shared" si="10"/>
        <v>15</v>
      </c>
      <c r="AN14" s="123">
        <f t="shared" si="11"/>
        <v>16</v>
      </c>
      <c r="AO14" s="123">
        <f t="shared" si="12"/>
        <v>1</v>
      </c>
      <c r="AP14" s="128">
        <f>SUM(AI14:AO14)</f>
        <v>129.5</v>
      </c>
    </row>
    <row r="15" spans="1:45" x14ac:dyDescent="0.25">
      <c r="A15" t="s">
        <v>33</v>
      </c>
      <c r="B15" s="15" t="s">
        <v>51</v>
      </c>
      <c r="C15" s="3" t="s">
        <v>192</v>
      </c>
      <c r="D15" s="3" t="s">
        <v>210</v>
      </c>
      <c r="E15" s="3">
        <f>Plantilla!E15</f>
        <v>22</v>
      </c>
      <c r="F15" s="3">
        <f ca="1">Plantilla!F15</f>
        <v>54</v>
      </c>
      <c r="G15" s="105">
        <f>Plantilla!X15</f>
        <v>0</v>
      </c>
      <c r="H15" s="105">
        <f>Plantilla!Y15</f>
        <v>9.4285714285714288</v>
      </c>
      <c r="I15" s="105">
        <f>Plantilla!Z15</f>
        <v>5</v>
      </c>
      <c r="J15" s="105">
        <f>Plantilla!AA15</f>
        <v>13.19</v>
      </c>
      <c r="K15" s="105">
        <f>Plantilla!AB15</f>
        <v>5.25</v>
      </c>
      <c r="L15" s="105">
        <f>Plantilla!AC15</f>
        <v>7.8016666666666676</v>
      </c>
      <c r="M15" s="105">
        <f>Plantilla!AD15</f>
        <v>3</v>
      </c>
      <c r="N15" s="42">
        <f>Plantilla!V15</f>
        <v>9050</v>
      </c>
      <c r="O15" s="121">
        <v>0</v>
      </c>
      <c r="P15" s="121">
        <v>33</v>
      </c>
      <c r="Q15" s="121">
        <v>9</v>
      </c>
      <c r="R15" s="89">
        <v>39.880000000000003</v>
      </c>
      <c r="S15" s="89">
        <v>8</v>
      </c>
      <c r="T15" s="89">
        <v>19</v>
      </c>
      <c r="U15" s="89">
        <v>1</v>
      </c>
      <c r="V15" s="128">
        <f>SUM(O15:U15)</f>
        <v>109.88</v>
      </c>
      <c r="X15" t="s">
        <v>33</v>
      </c>
      <c r="Y15" s="17">
        <f t="shared" si="3"/>
        <v>23</v>
      </c>
      <c r="Z15" s="3">
        <f t="shared" ca="1" si="4"/>
        <v>16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3">
        <f t="shared" si="6"/>
        <v>0</v>
      </c>
      <c r="AJ15" s="123">
        <f t="shared" si="7"/>
        <v>45</v>
      </c>
      <c r="AK15" s="123">
        <f t="shared" si="8"/>
        <v>9</v>
      </c>
      <c r="AL15" s="123">
        <f t="shared" si="9"/>
        <v>39.880000000000003</v>
      </c>
      <c r="AM15" s="123">
        <f t="shared" si="10"/>
        <v>8</v>
      </c>
      <c r="AN15" s="123">
        <f t="shared" si="11"/>
        <v>19</v>
      </c>
      <c r="AO15" s="123">
        <f t="shared" si="12"/>
        <v>1</v>
      </c>
      <c r="AP15" s="128">
        <f>SUM(AI15:AO15)</f>
        <v>121.88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5">
        <v>0</v>
      </c>
      <c r="H16" s="73">
        <v>2</v>
      </c>
      <c r="I16" s="105">
        <v>2</v>
      </c>
      <c r="J16" s="73">
        <v>2</v>
      </c>
      <c r="K16" s="105">
        <v>2</v>
      </c>
      <c r="L16" s="73">
        <v>2</v>
      </c>
      <c r="M16" s="105">
        <v>2</v>
      </c>
      <c r="N16" s="42"/>
      <c r="O16" s="121">
        <v>0</v>
      </c>
      <c r="P16" s="121">
        <v>0</v>
      </c>
      <c r="Q16" s="121">
        <v>0</v>
      </c>
      <c r="R16" s="89">
        <v>0</v>
      </c>
      <c r="S16" s="89">
        <v>0</v>
      </c>
      <c r="T16" s="89">
        <v>0</v>
      </c>
      <c r="U16" s="89">
        <v>0</v>
      </c>
      <c r="V16" s="128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3">
        <f t="shared" si="6"/>
        <v>0</v>
      </c>
      <c r="AJ16" s="123">
        <v>0</v>
      </c>
      <c r="AK16" s="123">
        <f t="shared" si="8"/>
        <v>0</v>
      </c>
      <c r="AL16" s="123">
        <f t="shared" si="9"/>
        <v>0</v>
      </c>
      <c r="AM16" s="123">
        <f t="shared" si="10"/>
        <v>0</v>
      </c>
      <c r="AN16" s="123">
        <f t="shared" si="11"/>
        <v>0</v>
      </c>
      <c r="AO16" s="123">
        <f t="shared" si="12"/>
        <v>0</v>
      </c>
      <c r="AP16" s="128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5">
        <v>0</v>
      </c>
      <c r="H17" s="73">
        <v>2</v>
      </c>
      <c r="I17" s="105">
        <v>2</v>
      </c>
      <c r="J17" s="73">
        <v>2</v>
      </c>
      <c r="K17" s="105">
        <v>2</v>
      </c>
      <c r="L17" s="73">
        <v>2</v>
      </c>
      <c r="M17" s="105">
        <v>2</v>
      </c>
      <c r="N17" s="42"/>
      <c r="O17" s="121">
        <v>0</v>
      </c>
      <c r="P17" s="121">
        <v>0</v>
      </c>
      <c r="Q17" s="121">
        <v>0</v>
      </c>
      <c r="R17" s="89">
        <v>0</v>
      </c>
      <c r="S17" s="89">
        <v>0</v>
      </c>
      <c r="T17" s="89">
        <v>0</v>
      </c>
      <c r="U17" s="89">
        <v>0</v>
      </c>
      <c r="V17" s="128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3">
        <f t="shared" si="6"/>
        <v>0</v>
      </c>
      <c r="AJ17" s="123">
        <v>0</v>
      </c>
      <c r="AK17" s="123">
        <f t="shared" si="8"/>
        <v>0</v>
      </c>
      <c r="AL17" s="123">
        <f t="shared" si="9"/>
        <v>0</v>
      </c>
      <c r="AM17" s="123">
        <f t="shared" si="10"/>
        <v>0</v>
      </c>
      <c r="AN17" s="123">
        <f t="shared" si="11"/>
        <v>0</v>
      </c>
      <c r="AO17" s="123">
        <f t="shared" si="12"/>
        <v>0</v>
      </c>
      <c r="AP17" s="128">
        <f>SUM(AI17:AO17)</f>
        <v>0</v>
      </c>
    </row>
    <row r="18" spans="1:45" x14ac:dyDescent="0.25">
      <c r="A18" t="s">
        <v>211</v>
      </c>
      <c r="B18" s="15" t="s">
        <v>43</v>
      </c>
      <c r="C18" s="3"/>
      <c r="D18" s="3"/>
      <c r="E18" s="3"/>
      <c r="F18" s="3"/>
      <c r="G18" s="105">
        <v>0</v>
      </c>
      <c r="H18" s="73">
        <v>2</v>
      </c>
      <c r="I18" s="105">
        <v>2</v>
      </c>
      <c r="J18" s="73">
        <v>2</v>
      </c>
      <c r="K18" s="105">
        <v>2</v>
      </c>
      <c r="L18" s="73">
        <v>2</v>
      </c>
      <c r="M18" s="105">
        <v>2</v>
      </c>
      <c r="N18" s="42"/>
      <c r="O18" s="121">
        <v>0</v>
      </c>
      <c r="P18" s="121">
        <v>0</v>
      </c>
      <c r="Q18" s="121">
        <v>0</v>
      </c>
      <c r="R18" s="89">
        <v>0</v>
      </c>
      <c r="S18" s="89">
        <v>0</v>
      </c>
      <c r="T18" s="89">
        <v>0</v>
      </c>
      <c r="U18" s="89">
        <v>0</v>
      </c>
      <c r="V18" s="128">
        <f>SUM(O18:U18)</f>
        <v>0</v>
      </c>
      <c r="X18" t="s">
        <v>211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3">
        <f t="shared" si="6"/>
        <v>0</v>
      </c>
      <c r="AJ18" s="123">
        <v>0</v>
      </c>
      <c r="AK18" s="123">
        <f t="shared" si="8"/>
        <v>0</v>
      </c>
      <c r="AL18" s="123">
        <f t="shared" si="9"/>
        <v>0</v>
      </c>
      <c r="AM18" s="123">
        <f t="shared" si="10"/>
        <v>0</v>
      </c>
      <c r="AN18" s="123">
        <f t="shared" si="11"/>
        <v>0</v>
      </c>
      <c r="AO18" s="123">
        <f t="shared" si="12"/>
        <v>0</v>
      </c>
      <c r="AP18" s="128">
        <f>SUM(AI18:AO18)</f>
        <v>0</v>
      </c>
    </row>
    <row r="19" spans="1:45" x14ac:dyDescent="0.25">
      <c r="N19" s="90">
        <f>SUM(N21:N35)</f>
        <v>256852.38000000009</v>
      </c>
      <c r="AH19" s="90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200</v>
      </c>
      <c r="P20" s="10" t="s">
        <v>201</v>
      </c>
      <c r="Q20" s="10" t="s">
        <v>202</v>
      </c>
      <c r="R20" s="10" t="s">
        <v>203</v>
      </c>
      <c r="S20" s="10" t="s">
        <v>204</v>
      </c>
      <c r="T20" s="10" t="s">
        <v>205</v>
      </c>
      <c r="U20" s="10" t="s">
        <v>206</v>
      </c>
      <c r="V20" s="10" t="s">
        <v>207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200</v>
      </c>
      <c r="AJ20" s="10" t="s">
        <v>201</v>
      </c>
      <c r="AK20" s="10" t="s">
        <v>202</v>
      </c>
      <c r="AL20" s="10" t="s">
        <v>203</v>
      </c>
      <c r="AM20" s="10" t="s">
        <v>204</v>
      </c>
      <c r="AN20" s="10" t="s">
        <v>205</v>
      </c>
      <c r="AO20" s="10" t="s">
        <v>206</v>
      </c>
      <c r="AP20" s="10" t="s">
        <v>207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23</v>
      </c>
      <c r="F21" s="17">
        <f t="shared" ref="F21" ca="1" si="16">Z3</f>
        <v>27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21">
        <f>AI3</f>
        <v>51.5</v>
      </c>
      <c r="P21" s="124">
        <f t="shared" ref="P21:U21" si="24">AJ3</f>
        <v>53</v>
      </c>
      <c r="Q21" s="124">
        <f t="shared" si="24"/>
        <v>0</v>
      </c>
      <c r="R21" s="124">
        <f t="shared" si="24"/>
        <v>0</v>
      </c>
      <c r="S21" s="124">
        <f t="shared" si="24"/>
        <v>0</v>
      </c>
      <c r="T21" s="124">
        <f t="shared" si="24"/>
        <v>0</v>
      </c>
      <c r="U21" s="124">
        <f t="shared" si="24"/>
        <v>0</v>
      </c>
      <c r="V21" s="48">
        <f>SUM(O21:U21)</f>
        <v>104.5</v>
      </c>
      <c r="X21" t="s">
        <v>28</v>
      </c>
      <c r="Y21" s="17">
        <f>E21+2</f>
        <v>25</v>
      </c>
      <c r="Z21" s="17">
        <f ca="1">F21+(($AR$25+$AR$26)*7)-112-112</f>
        <v>6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21">
        <f>O21</f>
        <v>51.5</v>
      </c>
      <c r="AJ21" s="124">
        <f>P21</f>
        <v>53</v>
      </c>
      <c r="AK21" s="121">
        <f t="shared" ref="AK21:AN36" si="26">Q21</f>
        <v>0</v>
      </c>
      <c r="AL21" s="121">
        <f t="shared" si="26"/>
        <v>0</v>
      </c>
      <c r="AM21" s="121">
        <f t="shared" si="26"/>
        <v>0</v>
      </c>
      <c r="AN21" s="121">
        <f t="shared" si="26"/>
        <v>0</v>
      </c>
      <c r="AO21" s="121">
        <f>U21+$AR$26</f>
        <v>15</v>
      </c>
      <c r="AP21" s="48">
        <f>SUM(AI21:AO21)</f>
        <v>119.5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23</v>
      </c>
      <c r="F22" s="17">
        <f t="shared" ca="1" si="27"/>
        <v>24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6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4">
        <f t="shared" ref="O22:O33" si="36">AI4</f>
        <v>0</v>
      </c>
      <c r="P22" s="124">
        <f t="shared" ref="P22:P33" si="37">AJ4</f>
        <v>101</v>
      </c>
      <c r="Q22" s="124">
        <f t="shared" ref="Q22:Q33" si="38">AK4</f>
        <v>9</v>
      </c>
      <c r="R22" s="124">
        <f t="shared" ref="R22:R33" si="39">AL4</f>
        <v>6</v>
      </c>
      <c r="S22" s="124">
        <f t="shared" ref="S22:S33" si="40">AM4</f>
        <v>10</v>
      </c>
      <c r="T22" s="124">
        <f t="shared" ref="T22:T33" si="41">AN4</f>
        <v>0</v>
      </c>
      <c r="U22" s="124">
        <f t="shared" ref="U22:U33" si="42">AO4</f>
        <v>0</v>
      </c>
      <c r="V22" s="48">
        <f>SUM(O22:U22)</f>
        <v>126</v>
      </c>
      <c r="X22" t="s">
        <v>31</v>
      </c>
      <c r="Y22" s="17">
        <f>E22+1</f>
        <v>24</v>
      </c>
      <c r="Z22" s="17">
        <f ca="1">F22+(($AR$25+$AR$26)*7)-112</f>
        <v>115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21">
        <f t="shared" ref="AI22:AJ36" si="44">O22</f>
        <v>0</v>
      </c>
      <c r="AJ22" s="124">
        <f t="shared" ref="AJ22:AJ33" si="45">P22</f>
        <v>101</v>
      </c>
      <c r="AK22" s="121">
        <f t="shared" si="26"/>
        <v>9</v>
      </c>
      <c r="AL22" s="121">
        <f t="shared" si="26"/>
        <v>6</v>
      </c>
      <c r="AM22" s="121">
        <f>S22+$AR$25</f>
        <v>24</v>
      </c>
      <c r="AN22" s="121">
        <f t="shared" si="26"/>
        <v>0</v>
      </c>
      <c r="AO22" s="124">
        <f t="shared" ref="AO22:AO36" si="46">U22+$AR$26</f>
        <v>15</v>
      </c>
      <c r="AP22" s="48">
        <f>SUM(AI22:AO22)</f>
        <v>155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23</v>
      </c>
      <c r="F23" s="17">
        <f t="shared" ca="1" si="48"/>
        <v>55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10.125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4">
        <f t="shared" si="36"/>
        <v>0</v>
      </c>
      <c r="P23" s="124">
        <f t="shared" si="37"/>
        <v>74</v>
      </c>
      <c r="Q23" s="124">
        <f t="shared" si="38"/>
        <v>3</v>
      </c>
      <c r="R23" s="124">
        <f t="shared" si="39"/>
        <v>11.5</v>
      </c>
      <c r="S23" s="124">
        <f t="shared" si="40"/>
        <v>30</v>
      </c>
      <c r="T23" s="124">
        <f t="shared" si="41"/>
        <v>2</v>
      </c>
      <c r="U23" s="124">
        <f t="shared" si="42"/>
        <v>0</v>
      </c>
      <c r="V23" s="48">
        <f>SUM(O23:U23)</f>
        <v>120.5</v>
      </c>
      <c r="X23" t="s">
        <v>32</v>
      </c>
      <c r="Y23" s="17">
        <f>E23+2</f>
        <v>25</v>
      </c>
      <c r="Z23" s="17">
        <f ca="1">F23+(($AR$25+$AR$26)*7)-112-112</f>
        <v>34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21">
        <f t="shared" si="44"/>
        <v>0</v>
      </c>
      <c r="AJ23" s="124">
        <f t="shared" si="45"/>
        <v>74</v>
      </c>
      <c r="AK23" s="121">
        <f t="shared" si="26"/>
        <v>3</v>
      </c>
      <c r="AL23" s="121">
        <f t="shared" si="26"/>
        <v>11.5</v>
      </c>
      <c r="AM23" s="124">
        <f t="shared" ref="AM23:AM36" si="53">S23+$AR$25</f>
        <v>44</v>
      </c>
      <c r="AN23" s="121">
        <f t="shared" si="26"/>
        <v>2</v>
      </c>
      <c r="AO23" s="124">
        <f t="shared" si="46"/>
        <v>15</v>
      </c>
      <c r="AP23" s="48">
        <f>SUM(AI23:AO23)</f>
        <v>149.5</v>
      </c>
      <c r="AQ23" s="106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5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5.25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4">
        <f t="shared" si="36"/>
        <v>0</v>
      </c>
      <c r="P24" s="124">
        <f t="shared" si="37"/>
        <v>100</v>
      </c>
      <c r="Q24" s="124">
        <f t="shared" si="38"/>
        <v>9</v>
      </c>
      <c r="R24" s="124">
        <f t="shared" si="39"/>
        <v>10.5</v>
      </c>
      <c r="S24" s="124">
        <f t="shared" si="40"/>
        <v>8</v>
      </c>
      <c r="T24" s="124">
        <f t="shared" si="41"/>
        <v>0</v>
      </c>
      <c r="U24" s="124">
        <f t="shared" si="42"/>
        <v>0</v>
      </c>
      <c r="V24" s="48">
        <f>SUM(O24:U24)</f>
        <v>127.5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96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21">
        <f t="shared" si="44"/>
        <v>0</v>
      </c>
      <c r="AJ24" s="124">
        <f t="shared" si="45"/>
        <v>100</v>
      </c>
      <c r="AK24" s="121">
        <f t="shared" si="26"/>
        <v>9</v>
      </c>
      <c r="AL24" s="121">
        <f t="shared" si="26"/>
        <v>10.5</v>
      </c>
      <c r="AM24" s="124">
        <f t="shared" si="53"/>
        <v>22</v>
      </c>
      <c r="AN24" s="121">
        <f t="shared" si="26"/>
        <v>0</v>
      </c>
      <c r="AO24" s="124">
        <f t="shared" si="46"/>
        <v>15</v>
      </c>
      <c r="AP24" s="48">
        <f>SUM(AI24:AO24)</f>
        <v>156.5</v>
      </c>
      <c r="AQ24" s="106"/>
      <c r="AR24" s="106" t="s">
        <v>243</v>
      </c>
      <c r="AS24" s="106" t="s">
        <v>244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23</v>
      </c>
      <c r="F25" s="17">
        <f t="shared" ca="1" si="55"/>
        <v>40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9.1428571428571423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4">
        <f t="shared" si="36"/>
        <v>0</v>
      </c>
      <c r="P25" s="124">
        <f t="shared" si="37"/>
        <v>53</v>
      </c>
      <c r="Q25" s="124">
        <f t="shared" si="38"/>
        <v>40</v>
      </c>
      <c r="R25" s="124">
        <f t="shared" si="39"/>
        <v>3.5</v>
      </c>
      <c r="S25" s="124">
        <f t="shared" si="40"/>
        <v>24</v>
      </c>
      <c r="T25" s="124">
        <f t="shared" si="41"/>
        <v>5</v>
      </c>
      <c r="U25" s="124">
        <f t="shared" si="42"/>
        <v>0</v>
      </c>
      <c r="V25" s="48">
        <f t="shared" ref="V25:V31" si="58">SUM(O25:U25)</f>
        <v>125.5</v>
      </c>
      <c r="X25" t="s">
        <v>40</v>
      </c>
      <c r="Y25" s="17">
        <f t="shared" ref="Y25:Y34" si="59">E25+2</f>
        <v>25</v>
      </c>
      <c r="Z25" s="17">
        <f t="shared" ref="Z25:Z34" ca="1" si="60">F25+(($AR$25+$AR$26)*7)-112-112</f>
        <v>19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21">
        <f t="shared" si="44"/>
        <v>0</v>
      </c>
      <c r="AJ25" s="124">
        <f t="shared" si="45"/>
        <v>53</v>
      </c>
      <c r="AK25" s="121">
        <f t="shared" si="26"/>
        <v>40</v>
      </c>
      <c r="AL25" s="121">
        <f t="shared" si="26"/>
        <v>3.5</v>
      </c>
      <c r="AM25" s="124">
        <f t="shared" si="53"/>
        <v>38</v>
      </c>
      <c r="AN25" s="121">
        <f t="shared" si="26"/>
        <v>5</v>
      </c>
      <c r="AO25" s="124">
        <f t="shared" si="46"/>
        <v>15</v>
      </c>
      <c r="AP25" s="48">
        <f t="shared" ref="AP25:AP31" si="61">SUM(AI25:AO25)</f>
        <v>154.5</v>
      </c>
      <c r="AQ25" s="106" t="s">
        <v>197</v>
      </c>
      <c r="AR25" s="60">
        <v>14</v>
      </c>
      <c r="AS25" s="126">
        <f>AR25/16</f>
        <v>0.875</v>
      </c>
    </row>
    <row r="26" spans="1:45" x14ac:dyDescent="0.25">
      <c r="A26" t="s">
        <v>37</v>
      </c>
      <c r="B26" s="15" t="s">
        <v>29</v>
      </c>
      <c r="C26" s="3" t="s">
        <v>192</v>
      </c>
      <c r="D26" s="3" t="s">
        <v>212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4">
        <f t="shared" si="36"/>
        <v>0</v>
      </c>
      <c r="P26" s="124">
        <v>79</v>
      </c>
      <c r="Q26" s="124">
        <v>21</v>
      </c>
      <c r="R26" s="124">
        <f t="shared" si="39"/>
        <v>0</v>
      </c>
      <c r="S26" s="124">
        <v>18</v>
      </c>
      <c r="T26" s="124">
        <f t="shared" si="41"/>
        <v>0</v>
      </c>
      <c r="U26" s="124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21">
        <f t="shared" si="44"/>
        <v>0</v>
      </c>
      <c r="AJ26" s="124">
        <f t="shared" si="45"/>
        <v>79</v>
      </c>
      <c r="AK26" s="121">
        <f t="shared" si="26"/>
        <v>21</v>
      </c>
      <c r="AL26" s="121">
        <f t="shared" si="26"/>
        <v>0</v>
      </c>
      <c r="AM26" s="124">
        <f t="shared" si="53"/>
        <v>32</v>
      </c>
      <c r="AN26" s="121">
        <f t="shared" si="26"/>
        <v>0</v>
      </c>
      <c r="AO26" s="124">
        <f t="shared" si="46"/>
        <v>15</v>
      </c>
      <c r="AP26" s="48">
        <f t="shared" si="61"/>
        <v>147</v>
      </c>
      <c r="AQ26" s="106" t="s">
        <v>46</v>
      </c>
      <c r="AR26" s="60">
        <v>15</v>
      </c>
      <c r="AS26" s="126">
        <f>AR26/16</f>
        <v>0.9375</v>
      </c>
    </row>
    <row r="27" spans="1:45" x14ac:dyDescent="0.25">
      <c r="A27" t="s">
        <v>34</v>
      </c>
      <c r="B27" s="15" t="s">
        <v>29</v>
      </c>
      <c r="C27" s="3" t="s">
        <v>192</v>
      </c>
      <c r="D27" s="3" t="s">
        <v>342</v>
      </c>
      <c r="E27" s="17">
        <f t="shared" ref="E27:F28" si="62">Y9</f>
        <v>23</v>
      </c>
      <c r="F27" s="17">
        <f t="shared" ca="1" si="62"/>
        <v>20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4">
        <f t="shared" si="36"/>
        <v>0</v>
      </c>
      <c r="P27" s="124">
        <f t="shared" si="37"/>
        <v>66</v>
      </c>
      <c r="Q27" s="124">
        <f t="shared" si="38"/>
        <v>6</v>
      </c>
      <c r="R27" s="124">
        <f t="shared" si="39"/>
        <v>40.5</v>
      </c>
      <c r="S27" s="124">
        <f t="shared" si="40"/>
        <v>6</v>
      </c>
      <c r="T27" s="124">
        <f t="shared" si="41"/>
        <v>16</v>
      </c>
      <c r="U27" s="124">
        <f t="shared" si="42"/>
        <v>1</v>
      </c>
      <c r="V27" s="48">
        <f t="shared" si="58"/>
        <v>135.5</v>
      </c>
      <c r="X27" t="s">
        <v>34</v>
      </c>
      <c r="Y27" s="17">
        <f>E27+1</f>
        <v>24</v>
      </c>
      <c r="Z27" s="17">
        <f ca="1">F27+(($AR$25+$AR$26)*7)-112</f>
        <v>111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21">
        <f t="shared" si="44"/>
        <v>0</v>
      </c>
      <c r="AJ27" s="124">
        <f t="shared" si="45"/>
        <v>66</v>
      </c>
      <c r="AK27" s="121">
        <f t="shared" si="26"/>
        <v>6</v>
      </c>
      <c r="AL27" s="121">
        <f t="shared" si="26"/>
        <v>40.5</v>
      </c>
      <c r="AM27" s="124">
        <f t="shared" si="53"/>
        <v>20</v>
      </c>
      <c r="AN27" s="121">
        <f t="shared" si="26"/>
        <v>16</v>
      </c>
      <c r="AO27" s="124">
        <f t="shared" si="46"/>
        <v>16</v>
      </c>
      <c r="AP27" s="48">
        <f t="shared" si="61"/>
        <v>164.5</v>
      </c>
      <c r="AQ27" s="106"/>
    </row>
    <row r="28" spans="1:45" x14ac:dyDescent="0.25">
      <c r="A28" t="s">
        <v>30</v>
      </c>
      <c r="B28" s="15" t="s">
        <v>29</v>
      </c>
      <c r="C28" s="3" t="s">
        <v>192</v>
      </c>
      <c r="D28" s="3" t="s">
        <v>209</v>
      </c>
      <c r="E28" s="17">
        <f t="shared" si="62"/>
        <v>23</v>
      </c>
      <c r="F28" s="17">
        <f t="shared" ca="1" si="62"/>
        <v>20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6.2000000000000011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4">
        <f t="shared" si="36"/>
        <v>0</v>
      </c>
      <c r="P28" s="124">
        <f t="shared" si="37"/>
        <v>52</v>
      </c>
      <c r="Q28" s="124">
        <f t="shared" si="38"/>
        <v>3</v>
      </c>
      <c r="R28" s="124">
        <f t="shared" si="39"/>
        <v>32.5</v>
      </c>
      <c r="S28" s="124">
        <f t="shared" si="40"/>
        <v>11</v>
      </c>
      <c r="T28" s="124">
        <f t="shared" si="41"/>
        <v>17</v>
      </c>
      <c r="U28" s="124">
        <f t="shared" si="42"/>
        <v>1</v>
      </c>
      <c r="V28" s="48">
        <f t="shared" si="58"/>
        <v>116.5</v>
      </c>
      <c r="X28" t="s">
        <v>30</v>
      </c>
      <c r="Y28" s="17">
        <f>E28+1</f>
        <v>24</v>
      </c>
      <c r="Z28" s="17">
        <f ca="1">F28+(($AR$25+$AR$26)*7)-112</f>
        <v>111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21">
        <f t="shared" si="44"/>
        <v>0</v>
      </c>
      <c r="AJ28" s="124">
        <f t="shared" si="45"/>
        <v>52</v>
      </c>
      <c r="AK28" s="121">
        <f t="shared" si="26"/>
        <v>3</v>
      </c>
      <c r="AL28" s="121">
        <f t="shared" si="26"/>
        <v>32.5</v>
      </c>
      <c r="AM28" s="124">
        <f t="shared" si="53"/>
        <v>25</v>
      </c>
      <c r="AN28" s="121">
        <f t="shared" si="26"/>
        <v>17</v>
      </c>
      <c r="AO28" s="124">
        <f t="shared" si="46"/>
        <v>16</v>
      </c>
      <c r="AP28" s="48">
        <f t="shared" si="61"/>
        <v>145.5</v>
      </c>
      <c r="AQ28" s="106"/>
    </row>
    <row r="29" spans="1:45" x14ac:dyDescent="0.25">
      <c r="A29" t="s">
        <v>42</v>
      </c>
      <c r="B29" s="15" t="s">
        <v>245</v>
      </c>
      <c r="C29" s="3" t="s">
        <v>343</v>
      </c>
      <c r="D29" s="3" t="s">
        <v>363</v>
      </c>
      <c r="E29" s="17">
        <v>23</v>
      </c>
      <c r="F29" s="17">
        <v>50</v>
      </c>
      <c r="G29" s="61">
        <f t="shared" si="28"/>
        <v>0</v>
      </c>
      <c r="H29" s="61">
        <v>6</v>
      </c>
      <c r="I29" s="61">
        <v>13</v>
      </c>
      <c r="J29" s="61">
        <v>6</v>
      </c>
      <c r="K29" s="61">
        <v>6</v>
      </c>
      <c r="L29" s="61">
        <v>6</v>
      </c>
      <c r="M29" s="61">
        <v>12</v>
      </c>
      <c r="N29" s="42">
        <f>(14490+225+185+125+165)*1.03</f>
        <v>15645.7</v>
      </c>
      <c r="O29" s="124">
        <f t="shared" si="36"/>
        <v>0</v>
      </c>
      <c r="P29" s="124">
        <v>14</v>
      </c>
      <c r="Q29" s="124">
        <v>58</v>
      </c>
      <c r="R29" s="124">
        <v>8.5</v>
      </c>
      <c r="S29" s="124">
        <v>10</v>
      </c>
      <c r="T29" s="124">
        <v>12</v>
      </c>
      <c r="U29" s="124">
        <v>12</v>
      </c>
      <c r="V29" s="48">
        <f t="shared" si="58"/>
        <v>114.5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6</v>
      </c>
      <c r="AC29" s="61">
        <f t="shared" si="50"/>
        <v>13</v>
      </c>
      <c r="AD29" s="61">
        <f t="shared" si="51"/>
        <v>6</v>
      </c>
      <c r="AE29" s="61">
        <f>9+5/6</f>
        <v>9.8333333333333339</v>
      </c>
      <c r="AF29" s="61">
        <f t="shared" si="52"/>
        <v>6</v>
      </c>
      <c r="AG29" s="61">
        <v>19</v>
      </c>
      <c r="AH29" s="42">
        <f>(14490+225+200+125+165)*1.049</f>
        <v>15950.044999999998</v>
      </c>
      <c r="AI29" s="121">
        <f t="shared" si="44"/>
        <v>0</v>
      </c>
      <c r="AJ29" s="124">
        <f t="shared" si="45"/>
        <v>14</v>
      </c>
      <c r="AK29" s="121">
        <f t="shared" si="26"/>
        <v>58</v>
      </c>
      <c r="AL29" s="121">
        <f t="shared" si="26"/>
        <v>8.5</v>
      </c>
      <c r="AM29" s="124">
        <f t="shared" si="53"/>
        <v>24</v>
      </c>
      <c r="AN29" s="121">
        <f t="shared" si="26"/>
        <v>12</v>
      </c>
      <c r="AO29" s="124">
        <v>31</v>
      </c>
      <c r="AP29" s="48">
        <f t="shared" si="61"/>
        <v>147.5</v>
      </c>
    </row>
    <row r="30" spans="1:45" x14ac:dyDescent="0.25">
      <c r="A30" t="s">
        <v>36</v>
      </c>
      <c r="B30" s="15" t="s">
        <v>245</v>
      </c>
      <c r="C30" s="3" t="s">
        <v>343</v>
      </c>
      <c r="D30" s="3" t="s">
        <v>363</v>
      </c>
      <c r="E30" s="17">
        <v>23</v>
      </c>
      <c r="F30" s="17">
        <v>50</v>
      </c>
      <c r="G30" s="61">
        <f t="shared" ref="G30" si="63">AA12</f>
        <v>0</v>
      </c>
      <c r="H30" s="61">
        <v>6</v>
      </c>
      <c r="I30" s="61">
        <v>13</v>
      </c>
      <c r="J30" s="61">
        <v>6</v>
      </c>
      <c r="K30" s="61">
        <v>6</v>
      </c>
      <c r="L30" s="61">
        <v>6</v>
      </c>
      <c r="M30" s="61">
        <v>12</v>
      </c>
      <c r="N30" s="42">
        <f>(14490+225+185+125+165)*1.03</f>
        <v>15645.7</v>
      </c>
      <c r="O30" s="124">
        <f t="shared" si="36"/>
        <v>0</v>
      </c>
      <c r="P30" s="133">
        <v>14</v>
      </c>
      <c r="Q30" s="133">
        <v>58</v>
      </c>
      <c r="R30" s="133">
        <v>8.5</v>
      </c>
      <c r="S30" s="133">
        <v>10</v>
      </c>
      <c r="T30" s="133">
        <v>12</v>
      </c>
      <c r="U30" s="133">
        <v>12</v>
      </c>
      <c r="V30" s="48">
        <f t="shared" si="58"/>
        <v>114.5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6</v>
      </c>
      <c r="AC30" s="61">
        <f t="shared" si="50"/>
        <v>13</v>
      </c>
      <c r="AD30" s="61">
        <f t="shared" si="51"/>
        <v>6</v>
      </c>
      <c r="AE30" s="61">
        <f>9+5/6</f>
        <v>9.8333333333333339</v>
      </c>
      <c r="AF30" s="61">
        <f t="shared" si="52"/>
        <v>6</v>
      </c>
      <c r="AG30" s="61">
        <v>19</v>
      </c>
      <c r="AH30" s="42">
        <f>(14490+225+200+125+165)*1.049</f>
        <v>15950.044999999998</v>
      </c>
      <c r="AI30" s="121">
        <f t="shared" si="44"/>
        <v>0</v>
      </c>
      <c r="AJ30" s="124">
        <f t="shared" si="45"/>
        <v>14</v>
      </c>
      <c r="AK30" s="121">
        <f t="shared" si="26"/>
        <v>58</v>
      </c>
      <c r="AL30" s="121">
        <f t="shared" si="26"/>
        <v>8.5</v>
      </c>
      <c r="AM30" s="124">
        <f t="shared" si="53"/>
        <v>24</v>
      </c>
      <c r="AN30" s="121">
        <f t="shared" si="26"/>
        <v>12</v>
      </c>
      <c r="AO30" s="124">
        <v>31</v>
      </c>
      <c r="AP30" s="48">
        <f t="shared" si="61"/>
        <v>147.5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208</v>
      </c>
      <c r="E31" s="17">
        <f t="shared" ref="E31:F32" si="64">Y13</f>
        <v>23</v>
      </c>
      <c r="F31" s="17">
        <f t="shared" ca="1" si="64"/>
        <v>16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6.2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4">
        <f t="shared" si="36"/>
        <v>0</v>
      </c>
      <c r="P31" s="124">
        <f t="shared" si="37"/>
        <v>37</v>
      </c>
      <c r="Q31" s="124">
        <f t="shared" si="38"/>
        <v>10.5</v>
      </c>
      <c r="R31" s="124">
        <f t="shared" si="39"/>
        <v>47.5</v>
      </c>
      <c r="S31" s="124">
        <f t="shared" si="40"/>
        <v>11</v>
      </c>
      <c r="T31" s="124">
        <f t="shared" si="41"/>
        <v>18</v>
      </c>
      <c r="U31" s="124">
        <f t="shared" si="42"/>
        <v>3</v>
      </c>
      <c r="V31" s="48">
        <f t="shared" si="58"/>
        <v>127</v>
      </c>
      <c r="X31" t="s">
        <v>35</v>
      </c>
      <c r="Y31" s="17">
        <f>E31+1</f>
        <v>24</v>
      </c>
      <c r="Z31" s="17">
        <f ca="1">F31+(($AR$25+$AR$26)*7)-112</f>
        <v>107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21">
        <f t="shared" si="44"/>
        <v>0</v>
      </c>
      <c r="AJ31" s="124">
        <f t="shared" si="45"/>
        <v>37</v>
      </c>
      <c r="AK31" s="121">
        <f t="shared" si="26"/>
        <v>10.5</v>
      </c>
      <c r="AL31" s="121">
        <f t="shared" si="26"/>
        <v>47.5</v>
      </c>
      <c r="AM31" s="124">
        <f t="shared" si="53"/>
        <v>25</v>
      </c>
      <c r="AN31" s="121">
        <f t="shared" si="26"/>
        <v>18</v>
      </c>
      <c r="AO31" s="124">
        <f t="shared" si="46"/>
        <v>18</v>
      </c>
      <c r="AP31" s="48">
        <f t="shared" si="61"/>
        <v>156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341</v>
      </c>
      <c r="E32" s="17">
        <f t="shared" si="64"/>
        <v>22</v>
      </c>
      <c r="F32" s="17">
        <f t="shared" ca="1" si="64"/>
        <v>103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7.25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4">
        <f t="shared" si="36"/>
        <v>0</v>
      </c>
      <c r="P32" s="124">
        <f t="shared" si="37"/>
        <v>55</v>
      </c>
      <c r="Q32" s="124">
        <f t="shared" si="38"/>
        <v>3</v>
      </c>
      <c r="R32" s="124">
        <f t="shared" si="39"/>
        <v>39.5</v>
      </c>
      <c r="S32" s="124">
        <f t="shared" si="40"/>
        <v>15</v>
      </c>
      <c r="T32" s="124">
        <f t="shared" si="41"/>
        <v>16</v>
      </c>
      <c r="U32" s="124">
        <f t="shared" si="42"/>
        <v>1</v>
      </c>
      <c r="V32" s="48">
        <f>SUM(O32:U32)</f>
        <v>129.5</v>
      </c>
      <c r="X32" t="s">
        <v>39</v>
      </c>
      <c r="Y32" s="17">
        <f t="shared" si="59"/>
        <v>24</v>
      </c>
      <c r="Z32" s="17">
        <f t="shared" ca="1" si="60"/>
        <v>82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21">
        <f t="shared" si="44"/>
        <v>0</v>
      </c>
      <c r="AJ32" s="124">
        <f t="shared" si="45"/>
        <v>55</v>
      </c>
      <c r="AK32" s="121">
        <f t="shared" si="26"/>
        <v>3</v>
      </c>
      <c r="AL32" s="121">
        <f t="shared" si="26"/>
        <v>39.5</v>
      </c>
      <c r="AM32" s="124">
        <f t="shared" si="53"/>
        <v>29</v>
      </c>
      <c r="AN32" s="121">
        <f t="shared" si="26"/>
        <v>16</v>
      </c>
      <c r="AO32" s="124">
        <f t="shared" si="46"/>
        <v>16</v>
      </c>
      <c r="AP32" s="48">
        <f>SUM(AI32:AO32)</f>
        <v>158.5</v>
      </c>
    </row>
    <row r="33" spans="1:42" x14ac:dyDescent="0.25">
      <c r="A33" t="s">
        <v>33</v>
      </c>
      <c r="B33" s="15" t="s">
        <v>51</v>
      </c>
      <c r="C33" s="3" t="s">
        <v>192</v>
      </c>
      <c r="D33" s="3" t="s">
        <v>210</v>
      </c>
      <c r="E33" s="17">
        <f t="shared" ref="E33:F33" si="65">Y15</f>
        <v>23</v>
      </c>
      <c r="F33" s="17">
        <f t="shared" ca="1" si="65"/>
        <v>16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5.25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4">
        <f t="shared" si="36"/>
        <v>0</v>
      </c>
      <c r="P33" s="124">
        <f t="shared" si="37"/>
        <v>45</v>
      </c>
      <c r="Q33" s="124">
        <f t="shared" si="38"/>
        <v>9</v>
      </c>
      <c r="R33" s="124">
        <f t="shared" si="39"/>
        <v>39.880000000000003</v>
      </c>
      <c r="S33" s="124">
        <f t="shared" si="40"/>
        <v>8</v>
      </c>
      <c r="T33" s="124">
        <f t="shared" si="41"/>
        <v>19</v>
      </c>
      <c r="U33" s="124">
        <f t="shared" si="42"/>
        <v>1</v>
      </c>
      <c r="V33" s="48">
        <f>SUM(O33:U33)</f>
        <v>121.88</v>
      </c>
      <c r="X33" t="s">
        <v>33</v>
      </c>
      <c r="Y33" s="17">
        <f>E33+1</f>
        <v>24</v>
      </c>
      <c r="Z33" s="17">
        <f ca="1">F33+(($AR$25+$AR$26)*7)-112</f>
        <v>107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21">
        <f t="shared" si="44"/>
        <v>0</v>
      </c>
      <c r="AJ33" s="124">
        <f t="shared" si="45"/>
        <v>45</v>
      </c>
      <c r="AK33" s="121">
        <f t="shared" si="26"/>
        <v>9</v>
      </c>
      <c r="AL33" s="121">
        <f t="shared" si="26"/>
        <v>39.880000000000003</v>
      </c>
      <c r="AM33" s="124">
        <f t="shared" si="53"/>
        <v>22</v>
      </c>
      <c r="AN33" s="121">
        <f t="shared" si="26"/>
        <v>19</v>
      </c>
      <c r="AO33" s="124">
        <f t="shared" si="46"/>
        <v>16</v>
      </c>
      <c r="AP33" s="48">
        <f>SUM(AI33:AO33)</f>
        <v>150.88</v>
      </c>
    </row>
    <row r="34" spans="1:42" x14ac:dyDescent="0.25">
      <c r="A34" t="s">
        <v>41</v>
      </c>
      <c r="B34" s="15" t="s">
        <v>43</v>
      </c>
      <c r="C34" s="3" t="s">
        <v>343</v>
      </c>
      <c r="D34" s="3" t="s">
        <v>213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21">
        <f t="shared" ref="O34:P34" si="66">AI16</f>
        <v>0</v>
      </c>
      <c r="P34" s="121">
        <f t="shared" si="66"/>
        <v>0</v>
      </c>
      <c r="Q34" s="121">
        <v>16</v>
      </c>
      <c r="R34" s="121">
        <v>10.5</v>
      </c>
      <c r="S34" s="121">
        <v>29</v>
      </c>
      <c r="T34" s="121">
        <v>59</v>
      </c>
      <c r="U34" s="121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21">
        <f t="shared" si="44"/>
        <v>0</v>
      </c>
      <c r="AJ34" s="121">
        <f t="shared" si="44"/>
        <v>0</v>
      </c>
      <c r="AK34" s="121">
        <f t="shared" si="26"/>
        <v>16</v>
      </c>
      <c r="AL34" s="121">
        <f t="shared" si="26"/>
        <v>10.5</v>
      </c>
      <c r="AM34" s="124">
        <f t="shared" si="53"/>
        <v>43</v>
      </c>
      <c r="AN34" s="121">
        <f t="shared" si="26"/>
        <v>59</v>
      </c>
      <c r="AO34" s="124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343</v>
      </c>
      <c r="D35" s="3" t="s">
        <v>213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4">
        <f t="shared" ref="O35:O36" si="71">AI17</f>
        <v>0</v>
      </c>
      <c r="P35" s="124">
        <f t="shared" ref="P35:P36" si="72">AJ17</f>
        <v>0</v>
      </c>
      <c r="Q35" s="124">
        <v>16</v>
      </c>
      <c r="R35" s="124">
        <v>10.5</v>
      </c>
      <c r="S35" s="124">
        <v>29</v>
      </c>
      <c r="T35" s="124">
        <v>59</v>
      </c>
      <c r="U35" s="124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21">
        <f t="shared" si="44"/>
        <v>0</v>
      </c>
      <c r="AJ35" s="121">
        <f t="shared" si="44"/>
        <v>0</v>
      </c>
      <c r="AK35" s="121">
        <f t="shared" si="26"/>
        <v>16</v>
      </c>
      <c r="AL35" s="121">
        <f t="shared" si="26"/>
        <v>10.5</v>
      </c>
      <c r="AM35" s="124">
        <f t="shared" si="53"/>
        <v>43</v>
      </c>
      <c r="AN35" s="121">
        <f t="shared" si="26"/>
        <v>59</v>
      </c>
      <c r="AO35" s="124">
        <f t="shared" si="46"/>
        <v>23</v>
      </c>
      <c r="AP35" s="48">
        <f>SUM(AI35:AO35)</f>
        <v>151.5</v>
      </c>
    </row>
    <row r="36" spans="1:42" x14ac:dyDescent="0.25">
      <c r="A36" t="s">
        <v>211</v>
      </c>
      <c r="B36" s="15" t="s">
        <v>43</v>
      </c>
      <c r="C36" s="3" t="s">
        <v>343</v>
      </c>
      <c r="D36" s="3" t="s">
        <v>213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4">
        <f t="shared" si="71"/>
        <v>0</v>
      </c>
      <c r="P36" s="124">
        <f t="shared" si="72"/>
        <v>0</v>
      </c>
      <c r="Q36" s="124">
        <v>16</v>
      </c>
      <c r="R36" s="124">
        <v>10.5</v>
      </c>
      <c r="S36" s="124">
        <v>29</v>
      </c>
      <c r="T36" s="124">
        <v>59</v>
      </c>
      <c r="U36" s="124">
        <v>8</v>
      </c>
      <c r="V36" s="48">
        <f>SUM(O36:U36)</f>
        <v>122.5</v>
      </c>
      <c r="X36" t="s">
        <v>211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21">
        <f t="shared" si="44"/>
        <v>0</v>
      </c>
      <c r="AJ36" s="121">
        <f t="shared" si="44"/>
        <v>0</v>
      </c>
      <c r="AK36" s="121">
        <f t="shared" si="26"/>
        <v>16</v>
      </c>
      <c r="AL36" s="121">
        <f t="shared" si="26"/>
        <v>10.5</v>
      </c>
      <c r="AM36" s="124">
        <f t="shared" si="53"/>
        <v>43</v>
      </c>
      <c r="AN36" s="121">
        <f t="shared" si="26"/>
        <v>59</v>
      </c>
      <c r="AO36" s="124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H13" sqref="H13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13"/>
      <c r="B1" s="313"/>
      <c r="C1" s="313"/>
      <c r="D1" s="443" t="s">
        <v>591</v>
      </c>
      <c r="E1" s="444"/>
      <c r="F1" s="444"/>
      <c r="G1" s="444"/>
      <c r="H1" s="444"/>
      <c r="I1" s="445"/>
      <c r="K1" s="313"/>
      <c r="L1" s="314"/>
      <c r="M1" s="314"/>
      <c r="N1" s="316">
        <v>43637</v>
      </c>
      <c r="O1" s="316">
        <f t="shared" ref="O1:AD1" si="0">N1+7</f>
        <v>43644</v>
      </c>
      <c r="P1" s="315">
        <f t="shared" si="0"/>
        <v>43651</v>
      </c>
      <c r="Q1" s="316">
        <f t="shared" si="0"/>
        <v>43658</v>
      </c>
      <c r="R1" s="316">
        <f t="shared" si="0"/>
        <v>43665</v>
      </c>
      <c r="S1" s="316">
        <f t="shared" si="0"/>
        <v>43672</v>
      </c>
      <c r="T1" s="316">
        <f t="shared" si="0"/>
        <v>43679</v>
      </c>
      <c r="U1" s="316">
        <f t="shared" si="0"/>
        <v>43686</v>
      </c>
      <c r="V1" s="316">
        <f t="shared" si="0"/>
        <v>43693</v>
      </c>
      <c r="W1" s="316">
        <f t="shared" si="0"/>
        <v>43700</v>
      </c>
      <c r="X1" s="316">
        <f t="shared" si="0"/>
        <v>43707</v>
      </c>
      <c r="Y1" s="316">
        <f t="shared" si="0"/>
        <v>43714</v>
      </c>
      <c r="Z1" s="316">
        <f t="shared" si="0"/>
        <v>43721</v>
      </c>
      <c r="AA1" s="316">
        <f t="shared" si="0"/>
        <v>43728</v>
      </c>
      <c r="AB1" s="316">
        <f t="shared" si="0"/>
        <v>43735</v>
      </c>
      <c r="AC1" s="316">
        <f t="shared" si="0"/>
        <v>43742</v>
      </c>
      <c r="AD1" s="316">
        <f t="shared" si="0"/>
        <v>43749</v>
      </c>
    </row>
    <row r="2" spans="1:38" x14ac:dyDescent="0.25">
      <c r="A2" s="317"/>
      <c r="B2" s="317"/>
      <c r="C2" s="317"/>
      <c r="D2" s="446" t="s">
        <v>592</v>
      </c>
      <c r="E2" s="447"/>
      <c r="F2" s="448"/>
      <c r="G2" s="448"/>
      <c r="H2" s="448"/>
      <c r="I2" s="449"/>
      <c r="K2" s="318"/>
      <c r="L2" s="318"/>
      <c r="M2" s="318" t="s">
        <v>593</v>
      </c>
      <c r="N2" s="320" t="s">
        <v>594</v>
      </c>
      <c r="O2" s="320" t="s">
        <v>595</v>
      </c>
      <c r="P2" s="319" t="s">
        <v>596</v>
      </c>
      <c r="Q2" s="320" t="s">
        <v>597</v>
      </c>
      <c r="R2" s="320" t="s">
        <v>598</v>
      </c>
      <c r="S2" s="320" t="s">
        <v>599</v>
      </c>
      <c r="T2" s="320" t="s">
        <v>600</v>
      </c>
      <c r="U2" s="320" t="s">
        <v>601</v>
      </c>
      <c r="V2" s="320" t="s">
        <v>602</v>
      </c>
      <c r="W2" s="320" t="s">
        <v>603</v>
      </c>
      <c r="X2" s="320" t="s">
        <v>604</v>
      </c>
      <c r="Y2" s="320" t="s">
        <v>605</v>
      </c>
      <c r="Z2" s="320" t="s">
        <v>606</v>
      </c>
      <c r="AA2" s="320" t="s">
        <v>607</v>
      </c>
      <c r="AB2" s="320" t="s">
        <v>608</v>
      </c>
      <c r="AC2" s="320" t="s">
        <v>609</v>
      </c>
      <c r="AD2" s="320" t="s">
        <v>594</v>
      </c>
    </row>
    <row r="3" spans="1:38" ht="18.75" x14ac:dyDescent="0.3">
      <c r="A3" s="321"/>
      <c r="B3" s="321"/>
      <c r="C3" s="321"/>
      <c r="D3" s="450" t="s">
        <v>610</v>
      </c>
      <c r="E3" s="451"/>
      <c r="F3" s="322"/>
      <c r="G3" s="452" t="s">
        <v>611</v>
      </c>
      <c r="H3" s="453"/>
      <c r="I3" s="323"/>
      <c r="K3" s="324"/>
      <c r="L3" s="325"/>
      <c r="M3" s="325" t="s">
        <v>612</v>
      </c>
      <c r="N3" s="327">
        <v>1766</v>
      </c>
      <c r="O3" s="327">
        <v>1776</v>
      </c>
      <c r="P3" s="326">
        <f>O3+O11/30</f>
        <v>1784</v>
      </c>
      <c r="Q3" s="327">
        <f t="shared" ref="Q3:AD3" si="1">P3+P11/30</f>
        <v>1789</v>
      </c>
      <c r="R3" s="327">
        <f t="shared" si="1"/>
        <v>1799</v>
      </c>
      <c r="S3" s="327">
        <f t="shared" si="1"/>
        <v>1809</v>
      </c>
      <c r="T3" s="327">
        <f t="shared" si="1"/>
        <v>1819</v>
      </c>
      <c r="U3" s="327">
        <f t="shared" si="1"/>
        <v>1829</v>
      </c>
      <c r="V3" s="327">
        <f t="shared" si="1"/>
        <v>1839</v>
      </c>
      <c r="W3" s="327">
        <f t="shared" si="1"/>
        <v>1849</v>
      </c>
      <c r="X3" s="327">
        <f t="shared" si="1"/>
        <v>1859</v>
      </c>
      <c r="Y3" s="327">
        <f t="shared" si="1"/>
        <v>1869</v>
      </c>
      <c r="Z3" s="327">
        <f t="shared" si="1"/>
        <v>1879</v>
      </c>
      <c r="AA3" s="327">
        <f t="shared" si="1"/>
        <v>1889</v>
      </c>
      <c r="AB3" s="327">
        <f t="shared" si="1"/>
        <v>1899</v>
      </c>
      <c r="AC3" s="327">
        <f t="shared" si="1"/>
        <v>1909</v>
      </c>
      <c r="AD3" s="327">
        <f t="shared" si="1"/>
        <v>1919</v>
      </c>
    </row>
    <row r="4" spans="1:38" ht="18.75" x14ac:dyDescent="0.3">
      <c r="A4" s="321"/>
      <c r="B4" s="321"/>
      <c r="C4" s="321"/>
      <c r="D4" s="328"/>
      <c r="E4" s="329"/>
      <c r="F4" s="330"/>
      <c r="G4" s="331"/>
      <c r="H4" s="330"/>
      <c r="I4" s="332"/>
      <c r="K4" s="333" t="s">
        <v>613</v>
      </c>
      <c r="L4" s="333"/>
      <c r="M4" s="334">
        <f>19299694+500000</f>
        <v>19799694</v>
      </c>
      <c r="N4" s="335">
        <f>M4</f>
        <v>19799694</v>
      </c>
      <c r="O4" s="335">
        <f>N4-N13+N23</f>
        <v>19299694</v>
      </c>
      <c r="P4" s="335">
        <f t="shared" ref="P4:AD4" si="2">O4-O13+O23</f>
        <v>18799694</v>
      </c>
      <c r="Q4" s="335">
        <f t="shared" si="2"/>
        <v>18299694</v>
      </c>
      <c r="R4" s="335">
        <f t="shared" si="2"/>
        <v>17799694</v>
      </c>
      <c r="S4" s="335">
        <f t="shared" si="2"/>
        <v>17299694</v>
      </c>
      <c r="T4" s="335">
        <f t="shared" si="2"/>
        <v>16799694</v>
      </c>
      <c r="U4" s="335">
        <f t="shared" si="2"/>
        <v>16299694</v>
      </c>
      <c r="V4" s="335">
        <f t="shared" si="2"/>
        <v>15799694</v>
      </c>
      <c r="W4" s="335">
        <f t="shared" si="2"/>
        <v>15299694</v>
      </c>
      <c r="X4" s="335">
        <f t="shared" si="2"/>
        <v>14799694</v>
      </c>
      <c r="Y4" s="335">
        <f t="shared" si="2"/>
        <v>14299694</v>
      </c>
      <c r="Z4" s="335">
        <f t="shared" si="2"/>
        <v>13799694</v>
      </c>
      <c r="AA4" s="335">
        <f t="shared" si="2"/>
        <v>13299694</v>
      </c>
      <c r="AB4" s="335">
        <f t="shared" si="2"/>
        <v>12799694</v>
      </c>
      <c r="AC4" s="335">
        <f t="shared" si="2"/>
        <v>12299694</v>
      </c>
      <c r="AD4" s="335">
        <f t="shared" si="2"/>
        <v>11799694</v>
      </c>
    </row>
    <row r="5" spans="1:38" ht="18.75" x14ac:dyDescent="0.3">
      <c r="A5" s="336"/>
      <c r="B5" s="336"/>
      <c r="C5" s="336"/>
      <c r="D5" s="328" t="s">
        <v>614</v>
      </c>
      <c r="E5" s="337">
        <f>SUM(E6:E8)</f>
        <v>5914370</v>
      </c>
      <c r="F5" s="338">
        <f>E5/E35</f>
        <v>8.5629851333783924E-2</v>
      </c>
      <c r="G5" s="328" t="s">
        <v>615</v>
      </c>
      <c r="H5" s="339">
        <f>H6+H7</f>
        <v>64054290</v>
      </c>
      <c r="I5" s="340">
        <f>H5/$H$35</f>
        <v>0.92739536586163573</v>
      </c>
      <c r="K5" s="341" t="s">
        <v>616</v>
      </c>
      <c r="L5" s="341"/>
      <c r="M5" s="342">
        <f>8890545-289136+582050-500000</f>
        <v>8683459</v>
      </c>
      <c r="N5" s="343">
        <f>M5</f>
        <v>8683459</v>
      </c>
      <c r="O5" s="343">
        <f t="shared" ref="O5:AD5" si="3">N26</f>
        <v>9623483</v>
      </c>
      <c r="P5" s="343">
        <f t="shared" si="3"/>
        <v>9994868</v>
      </c>
      <c r="Q5" s="343">
        <f t="shared" si="3"/>
        <v>10355762</v>
      </c>
      <c r="R5" s="343">
        <f t="shared" si="3"/>
        <v>11015806</v>
      </c>
      <c r="S5" s="343">
        <f t="shared" si="3"/>
        <v>11385850</v>
      </c>
      <c r="T5" s="343">
        <f t="shared" si="3"/>
        <v>12025894</v>
      </c>
      <c r="U5" s="343">
        <f t="shared" si="3"/>
        <v>12365938</v>
      </c>
      <c r="V5" s="343">
        <f t="shared" si="3"/>
        <v>13005982</v>
      </c>
      <c r="W5" s="343">
        <f t="shared" si="3"/>
        <v>13346026</v>
      </c>
      <c r="X5" s="343">
        <f t="shared" si="3"/>
        <v>13986070</v>
      </c>
      <c r="Y5" s="343">
        <f t="shared" si="3"/>
        <v>14326114</v>
      </c>
      <c r="Z5" s="343">
        <f t="shared" si="3"/>
        <v>14966158</v>
      </c>
      <c r="AA5" s="343">
        <f t="shared" si="3"/>
        <v>15306202</v>
      </c>
      <c r="AB5" s="343">
        <f t="shared" si="3"/>
        <v>15946246</v>
      </c>
      <c r="AC5" s="343">
        <f t="shared" si="3"/>
        <v>16586290</v>
      </c>
      <c r="AD5" s="343">
        <f t="shared" si="3"/>
        <v>16926334</v>
      </c>
    </row>
    <row r="6" spans="1:38" x14ac:dyDescent="0.25">
      <c r="A6" s="344" t="str">
        <f t="shared" ref="A6:A13" si="4">L6</f>
        <v>Taquillas</v>
      </c>
      <c r="B6" s="345">
        <f t="shared" ref="B6:B13" si="5">M6/$M$14</f>
        <v>0.19813853490683611</v>
      </c>
      <c r="D6" s="346" t="s">
        <v>617</v>
      </c>
      <c r="E6" s="347">
        <v>2231620</v>
      </c>
      <c r="F6" s="348">
        <f>E6/E35</f>
        <v>3.2309999008093657E-2</v>
      </c>
      <c r="G6" s="349" t="s">
        <v>618</v>
      </c>
      <c r="H6" s="350">
        <v>300000</v>
      </c>
      <c r="I6" s="351">
        <f>H6/$H$35</f>
        <v>4.3434812837436915E-3</v>
      </c>
      <c r="K6" s="352" t="s">
        <v>619</v>
      </c>
      <c r="L6" s="352" t="s">
        <v>619</v>
      </c>
      <c r="M6" s="353">
        <f t="shared" ref="M6:M25" si="6">SUM(N6:AD6)</f>
        <v>2677789</v>
      </c>
      <c r="N6" s="354">
        <v>27383</v>
      </c>
      <c r="O6" s="354">
        <f>9097+21309</f>
        <v>30406</v>
      </c>
      <c r="P6" s="354">
        <v>50000</v>
      </c>
      <c r="Q6" s="354">
        <v>350000</v>
      </c>
      <c r="R6" s="354">
        <v>60000</v>
      </c>
      <c r="S6" s="354">
        <v>330000</v>
      </c>
      <c r="T6" s="354">
        <v>30000</v>
      </c>
      <c r="U6" s="354">
        <v>330000</v>
      </c>
      <c r="V6" s="354">
        <v>30000</v>
      </c>
      <c r="W6" s="354">
        <v>330000</v>
      </c>
      <c r="X6" s="354">
        <v>30000</v>
      </c>
      <c r="Y6" s="354">
        <v>330000</v>
      </c>
      <c r="Z6" s="354">
        <v>30000</v>
      </c>
      <c r="AA6" s="354">
        <v>330000</v>
      </c>
      <c r="AB6" s="354">
        <v>330000</v>
      </c>
      <c r="AC6" s="354">
        <v>30000</v>
      </c>
      <c r="AD6" s="354">
        <v>30000</v>
      </c>
    </row>
    <row r="7" spans="1:38" x14ac:dyDescent="0.25">
      <c r="A7" s="344" t="str">
        <f t="shared" si="4"/>
        <v>Patrocinadores</v>
      </c>
      <c r="B7" s="345">
        <f t="shared" si="5"/>
        <v>0.12233391844795136</v>
      </c>
      <c r="D7" s="346" t="s">
        <v>620</v>
      </c>
      <c r="E7" s="347">
        <f>102000+300+2105000+1475000+450</f>
        <v>3682750</v>
      </c>
      <c r="F7" s="348">
        <f>E7/E35</f>
        <v>5.3319852325690267E-2</v>
      </c>
      <c r="G7" s="349" t="s">
        <v>621</v>
      </c>
      <c r="H7" s="350">
        <f>63754290</f>
        <v>63754290</v>
      </c>
      <c r="I7" s="351">
        <f>H7/$H$35</f>
        <v>0.923051884577892</v>
      </c>
      <c r="K7" s="352" t="s">
        <v>622</v>
      </c>
      <c r="L7" s="352" t="s">
        <v>622</v>
      </c>
      <c r="M7" s="353">
        <f t="shared" si="6"/>
        <v>1653310</v>
      </c>
      <c r="N7" s="355">
        <v>101385</v>
      </c>
      <c r="O7" s="355">
        <v>76225</v>
      </c>
      <c r="P7" s="355">
        <v>87880</v>
      </c>
      <c r="Q7" s="355">
        <f t="shared" ref="Q7:AD7" si="7">P7+1500</f>
        <v>89380</v>
      </c>
      <c r="R7" s="355">
        <f t="shared" si="7"/>
        <v>90880</v>
      </c>
      <c r="S7" s="355">
        <f t="shared" si="7"/>
        <v>92380</v>
      </c>
      <c r="T7" s="355">
        <f t="shared" si="7"/>
        <v>93880</v>
      </c>
      <c r="U7" s="355">
        <f t="shared" si="7"/>
        <v>95380</v>
      </c>
      <c r="V7" s="355">
        <f t="shared" si="7"/>
        <v>96880</v>
      </c>
      <c r="W7" s="355">
        <f t="shared" si="7"/>
        <v>98380</v>
      </c>
      <c r="X7" s="355">
        <f t="shared" si="7"/>
        <v>99880</v>
      </c>
      <c r="Y7" s="355">
        <f t="shared" si="7"/>
        <v>101380</v>
      </c>
      <c r="Z7" s="355">
        <f t="shared" si="7"/>
        <v>102880</v>
      </c>
      <c r="AA7" s="355">
        <f t="shared" si="7"/>
        <v>104380</v>
      </c>
      <c r="AB7" s="355">
        <f t="shared" si="7"/>
        <v>105880</v>
      </c>
      <c r="AC7" s="355">
        <f t="shared" si="7"/>
        <v>107380</v>
      </c>
      <c r="AD7" s="355">
        <f t="shared" si="7"/>
        <v>108880</v>
      </c>
    </row>
    <row r="8" spans="1:38" x14ac:dyDescent="0.25">
      <c r="A8" s="344" t="str">
        <f t="shared" si="4"/>
        <v>Ventas</v>
      </c>
      <c r="B8" s="345">
        <f t="shared" si="5"/>
        <v>0</v>
      </c>
      <c r="D8" s="356" t="s">
        <v>623</v>
      </c>
      <c r="E8" s="357">
        <v>0</v>
      </c>
      <c r="F8" s="348">
        <f>E8/E35</f>
        <v>0</v>
      </c>
      <c r="G8" s="358"/>
      <c r="H8" s="359"/>
      <c r="I8" s="340"/>
      <c r="K8" s="352" t="s">
        <v>624</v>
      </c>
      <c r="L8" s="352" t="s">
        <v>625</v>
      </c>
      <c r="M8" s="353">
        <f t="shared" si="6"/>
        <v>0</v>
      </c>
      <c r="N8" s="354">
        <v>0</v>
      </c>
      <c r="O8" s="354">
        <v>0</v>
      </c>
      <c r="P8" s="354">
        <v>0</v>
      </c>
      <c r="Q8" s="354">
        <v>0</v>
      </c>
      <c r="R8" s="354">
        <v>0</v>
      </c>
      <c r="S8" s="354">
        <v>0</v>
      </c>
      <c r="T8" s="354">
        <v>0</v>
      </c>
      <c r="U8" s="354">
        <v>0</v>
      </c>
      <c r="V8" s="354">
        <v>0</v>
      </c>
      <c r="W8" s="354">
        <v>0</v>
      </c>
      <c r="X8" s="354">
        <v>0</v>
      </c>
      <c r="Y8" s="354">
        <v>0</v>
      </c>
      <c r="Z8" s="354">
        <v>0</v>
      </c>
      <c r="AA8" s="354">
        <v>0</v>
      </c>
      <c r="AB8" s="354">
        <v>0</v>
      </c>
      <c r="AC8" s="354">
        <v>0</v>
      </c>
      <c r="AD8" s="354">
        <v>0</v>
      </c>
      <c r="AF8" s="360"/>
      <c r="AG8" s="360"/>
    </row>
    <row r="9" spans="1:38" x14ac:dyDescent="0.25">
      <c r="A9" s="344" t="str">
        <f t="shared" si="4"/>
        <v>VentasCantera</v>
      </c>
      <c r="B9" s="345">
        <f t="shared" si="5"/>
        <v>1.3144915721962946E-2</v>
      </c>
      <c r="D9" s="361"/>
      <c r="E9" s="329"/>
      <c r="F9" s="338"/>
      <c r="G9" s="358"/>
      <c r="H9" s="359"/>
      <c r="I9" s="340"/>
      <c r="K9" s="352"/>
      <c r="L9" s="352" t="s">
        <v>626</v>
      </c>
      <c r="M9" s="353">
        <f t="shared" si="6"/>
        <v>177650</v>
      </c>
      <c r="N9" s="354">
        <v>133000</v>
      </c>
      <c r="O9" s="354">
        <v>44650</v>
      </c>
      <c r="P9" s="354">
        <v>0</v>
      </c>
      <c r="Q9" s="354">
        <v>0</v>
      </c>
      <c r="R9" s="354">
        <v>0</v>
      </c>
      <c r="S9" s="354">
        <v>0</v>
      </c>
      <c r="T9" s="354">
        <v>0</v>
      </c>
      <c r="U9" s="354">
        <v>0</v>
      </c>
      <c r="V9" s="354">
        <v>0</v>
      </c>
      <c r="W9" s="354">
        <v>0</v>
      </c>
      <c r="X9" s="354">
        <v>0</v>
      </c>
      <c r="Y9" s="354">
        <v>0</v>
      </c>
      <c r="Z9" s="354">
        <v>0</v>
      </c>
      <c r="AA9" s="354">
        <v>0</v>
      </c>
      <c r="AB9" s="354">
        <v>0</v>
      </c>
      <c r="AC9" s="354">
        <v>0</v>
      </c>
      <c r="AD9" s="354">
        <v>0</v>
      </c>
    </row>
    <row r="10" spans="1:38" x14ac:dyDescent="0.25">
      <c r="A10" s="344" t="str">
        <f t="shared" si="4"/>
        <v>Comisiones</v>
      </c>
      <c r="B10" s="345">
        <f t="shared" si="5"/>
        <v>3.5598192816416398E-3</v>
      </c>
      <c r="D10" s="328" t="s">
        <v>673</v>
      </c>
      <c r="E10" s="337">
        <f>E11+E12+E13</f>
        <v>11299694</v>
      </c>
      <c r="F10" s="338">
        <f>E10/E35</f>
        <v>0.16360003133676965</v>
      </c>
      <c r="G10" s="328" t="s">
        <v>627</v>
      </c>
      <c r="H10" s="339">
        <f>SUM(H11:H16)</f>
        <v>82919</v>
      </c>
      <c r="I10" s="340">
        <f t="shared" ref="I10:I16" si="8">H10/$H$35</f>
        <v>1.2005237485558107E-3</v>
      </c>
      <c r="K10" s="352" t="s">
        <v>628</v>
      </c>
      <c r="L10" s="352" t="s">
        <v>628</v>
      </c>
      <c r="M10" s="353">
        <f t="shared" si="6"/>
        <v>48110</v>
      </c>
      <c r="N10" s="355">
        <f>1750+16320+2040</f>
        <v>20110</v>
      </c>
      <c r="O10" s="355">
        <v>0</v>
      </c>
      <c r="P10" s="355">
        <v>0</v>
      </c>
      <c r="Q10" s="355">
        <v>2000</v>
      </c>
      <c r="R10" s="355">
        <f t="shared" ref="Q10:AD11" si="9">Q10</f>
        <v>2000</v>
      </c>
      <c r="S10" s="355">
        <f t="shared" si="9"/>
        <v>2000</v>
      </c>
      <c r="T10" s="355">
        <f t="shared" si="9"/>
        <v>2000</v>
      </c>
      <c r="U10" s="355">
        <f t="shared" si="9"/>
        <v>2000</v>
      </c>
      <c r="V10" s="355">
        <f t="shared" si="9"/>
        <v>2000</v>
      </c>
      <c r="W10" s="355">
        <f t="shared" si="9"/>
        <v>2000</v>
      </c>
      <c r="X10" s="355">
        <f t="shared" si="9"/>
        <v>2000</v>
      </c>
      <c r="Y10" s="355">
        <f t="shared" si="9"/>
        <v>2000</v>
      </c>
      <c r="Z10" s="355">
        <f t="shared" si="9"/>
        <v>2000</v>
      </c>
      <c r="AA10" s="355">
        <f t="shared" si="9"/>
        <v>2000</v>
      </c>
      <c r="AB10" s="355">
        <f t="shared" si="9"/>
        <v>2000</v>
      </c>
      <c r="AC10" s="355">
        <f t="shared" si="9"/>
        <v>2000</v>
      </c>
      <c r="AD10" s="355">
        <f t="shared" si="9"/>
        <v>2000</v>
      </c>
    </row>
    <row r="11" spans="1:38" x14ac:dyDescent="0.25">
      <c r="A11" s="344" t="str">
        <f t="shared" si="4"/>
        <v>Nuevos Socios</v>
      </c>
      <c r="B11" s="345">
        <f t="shared" si="5"/>
        <v>4.2821422046802112E-3</v>
      </c>
      <c r="D11" s="362" t="s">
        <v>629</v>
      </c>
      <c r="E11" s="363">
        <f>N4</f>
        <v>19799694</v>
      </c>
      <c r="F11" s="348">
        <f>E11/E35</f>
        <v>0.28666533437617425</v>
      </c>
      <c r="G11" s="364" t="s">
        <v>630</v>
      </c>
      <c r="H11" s="365">
        <v>0</v>
      </c>
      <c r="I11" s="351">
        <f t="shared" si="8"/>
        <v>0</v>
      </c>
      <c r="K11" s="455" t="s">
        <v>631</v>
      </c>
      <c r="L11" s="352" t="s">
        <v>632</v>
      </c>
      <c r="M11" s="353">
        <f t="shared" si="6"/>
        <v>57872</v>
      </c>
      <c r="N11" s="355">
        <f>52982+150+150</f>
        <v>53282</v>
      </c>
      <c r="O11" s="355">
        <v>240</v>
      </c>
      <c r="P11" s="355">
        <v>150</v>
      </c>
      <c r="Q11" s="355">
        <v>300</v>
      </c>
      <c r="R11" s="355">
        <f t="shared" si="9"/>
        <v>300</v>
      </c>
      <c r="S11" s="355">
        <f t="shared" si="9"/>
        <v>300</v>
      </c>
      <c r="T11" s="355">
        <f t="shared" si="9"/>
        <v>300</v>
      </c>
      <c r="U11" s="355">
        <f t="shared" si="9"/>
        <v>300</v>
      </c>
      <c r="V11" s="355">
        <f t="shared" si="9"/>
        <v>300</v>
      </c>
      <c r="W11" s="355">
        <f t="shared" si="9"/>
        <v>300</v>
      </c>
      <c r="X11" s="355">
        <f t="shared" si="9"/>
        <v>300</v>
      </c>
      <c r="Y11" s="355">
        <f t="shared" si="9"/>
        <v>300</v>
      </c>
      <c r="Z11" s="355">
        <f t="shared" si="9"/>
        <v>300</v>
      </c>
      <c r="AA11" s="355">
        <f t="shared" si="9"/>
        <v>300</v>
      </c>
      <c r="AB11" s="355">
        <f t="shared" si="9"/>
        <v>300</v>
      </c>
      <c r="AC11" s="355">
        <f t="shared" si="9"/>
        <v>300</v>
      </c>
      <c r="AD11" s="355">
        <f t="shared" si="9"/>
        <v>300</v>
      </c>
    </row>
    <row r="12" spans="1:38" x14ac:dyDescent="0.25">
      <c r="A12" s="344" t="str">
        <f t="shared" si="4"/>
        <v>Premios</v>
      </c>
      <c r="B12" s="345">
        <f t="shared" si="5"/>
        <v>2.959733345783945E-2</v>
      </c>
      <c r="D12" s="362" t="str">
        <f>L13</f>
        <v>Ing Reservas</v>
      </c>
      <c r="E12" s="363">
        <f>M13*-1</f>
        <v>-8500000</v>
      </c>
      <c r="F12" s="348">
        <f>E12/E35</f>
        <v>-0.12306530303940459</v>
      </c>
      <c r="G12" s="366" t="s">
        <v>633</v>
      </c>
      <c r="H12" s="367">
        <v>0</v>
      </c>
      <c r="I12" s="368">
        <f t="shared" si="8"/>
        <v>0</v>
      </c>
      <c r="K12" s="456"/>
      <c r="L12" s="352" t="s">
        <v>634</v>
      </c>
      <c r="M12" s="353">
        <f t="shared" si="6"/>
        <v>400000</v>
      </c>
      <c r="N12" s="355">
        <v>400000</v>
      </c>
      <c r="O12" s="355">
        <v>0</v>
      </c>
      <c r="P12" s="355">
        <v>0</v>
      </c>
      <c r="Q12" s="355">
        <v>0</v>
      </c>
      <c r="R12" s="355">
        <v>0</v>
      </c>
      <c r="S12" s="355">
        <v>0</v>
      </c>
      <c r="T12" s="355">
        <v>0</v>
      </c>
      <c r="U12" s="355">
        <v>0</v>
      </c>
      <c r="V12" s="355">
        <v>0</v>
      </c>
      <c r="W12" s="355">
        <v>0</v>
      </c>
      <c r="X12" s="355">
        <v>0</v>
      </c>
      <c r="Y12" s="355">
        <v>0</v>
      </c>
      <c r="Z12" s="355">
        <v>0</v>
      </c>
      <c r="AA12" s="355">
        <v>0</v>
      </c>
      <c r="AB12" s="355">
        <v>0</v>
      </c>
      <c r="AC12" s="355">
        <v>0</v>
      </c>
      <c r="AD12" s="355">
        <v>0</v>
      </c>
    </row>
    <row r="13" spans="1:38" ht="18.75" x14ac:dyDescent="0.3">
      <c r="A13" s="344" t="str">
        <f t="shared" si="4"/>
        <v>Ing Reservas</v>
      </c>
      <c r="B13" s="345">
        <f t="shared" si="5"/>
        <v>0.62894333597908825</v>
      </c>
      <c r="C13" s="369"/>
      <c r="D13" s="362" t="str">
        <f>L23</f>
        <v>Pago Reservas</v>
      </c>
      <c r="E13" s="363">
        <f>M23</f>
        <v>0</v>
      </c>
      <c r="F13" s="348">
        <f>E13/E35</f>
        <v>0</v>
      </c>
      <c r="G13" s="364" t="s">
        <v>635</v>
      </c>
      <c r="H13" s="365">
        <f>133000+44650</f>
        <v>177650</v>
      </c>
      <c r="I13" s="351">
        <f t="shared" si="8"/>
        <v>2.5720648335235559E-3</v>
      </c>
      <c r="J13" s="370"/>
      <c r="K13" s="457"/>
      <c r="L13" s="352" t="s">
        <v>636</v>
      </c>
      <c r="M13" s="353">
        <f t="shared" si="6"/>
        <v>8500000</v>
      </c>
      <c r="N13" s="355">
        <v>500000</v>
      </c>
      <c r="O13" s="355">
        <f>N13</f>
        <v>500000</v>
      </c>
      <c r="P13" s="355">
        <f t="shared" ref="P13:AD13" si="10">O13</f>
        <v>500000</v>
      </c>
      <c r="Q13" s="355">
        <f t="shared" si="10"/>
        <v>500000</v>
      </c>
      <c r="R13" s="355">
        <f t="shared" si="10"/>
        <v>500000</v>
      </c>
      <c r="S13" s="355">
        <f t="shared" si="10"/>
        <v>500000</v>
      </c>
      <c r="T13" s="355">
        <f t="shared" si="10"/>
        <v>500000</v>
      </c>
      <c r="U13" s="355">
        <f t="shared" si="10"/>
        <v>500000</v>
      </c>
      <c r="V13" s="355">
        <f t="shared" si="10"/>
        <v>500000</v>
      </c>
      <c r="W13" s="355">
        <f t="shared" si="10"/>
        <v>500000</v>
      </c>
      <c r="X13" s="355">
        <f t="shared" si="10"/>
        <v>500000</v>
      </c>
      <c r="Y13" s="355">
        <f t="shared" si="10"/>
        <v>500000</v>
      </c>
      <c r="Z13" s="355">
        <f t="shared" si="10"/>
        <v>500000</v>
      </c>
      <c r="AA13" s="355">
        <f t="shared" si="10"/>
        <v>500000</v>
      </c>
      <c r="AB13" s="355">
        <f t="shared" si="10"/>
        <v>500000</v>
      </c>
      <c r="AC13" s="355">
        <f t="shared" si="10"/>
        <v>500000</v>
      </c>
      <c r="AD13" s="355">
        <f t="shared" si="10"/>
        <v>500000</v>
      </c>
      <c r="AE13" s="370"/>
      <c r="AF13" s="370"/>
      <c r="AG13" s="370"/>
      <c r="AH13" s="370"/>
      <c r="AI13" s="370"/>
      <c r="AJ13" s="370"/>
      <c r="AK13" s="370"/>
      <c r="AL13" s="370"/>
    </row>
    <row r="14" spans="1:38" ht="18.75" x14ac:dyDescent="0.3">
      <c r="A14" s="369"/>
      <c r="B14" s="371">
        <f>SUM(B6:B13)</f>
        <v>1</v>
      </c>
      <c r="D14" s="361"/>
      <c r="E14" s="372"/>
      <c r="G14" s="364" t="s">
        <v>637</v>
      </c>
      <c r="H14" s="365">
        <v>0</v>
      </c>
      <c r="I14" s="351">
        <f t="shared" si="8"/>
        <v>0</v>
      </c>
      <c r="K14" s="373" t="s">
        <v>638</v>
      </c>
      <c r="L14" s="374"/>
      <c r="M14" s="375">
        <f t="shared" si="6"/>
        <v>13514731</v>
      </c>
      <c r="N14" s="376">
        <f>SUM(N6:N13)</f>
        <v>1235160</v>
      </c>
      <c r="O14" s="376">
        <f t="shared" ref="O14:AD14" si="11">SUM(O6:O13)</f>
        <v>651521</v>
      </c>
      <c r="P14" s="376">
        <f t="shared" si="11"/>
        <v>638030</v>
      </c>
      <c r="Q14" s="376">
        <f t="shared" si="11"/>
        <v>941680</v>
      </c>
      <c r="R14" s="376">
        <f t="shared" si="11"/>
        <v>653180</v>
      </c>
      <c r="S14" s="376">
        <f t="shared" si="11"/>
        <v>924680</v>
      </c>
      <c r="T14" s="376">
        <f t="shared" si="11"/>
        <v>626180</v>
      </c>
      <c r="U14" s="376">
        <f t="shared" si="11"/>
        <v>927680</v>
      </c>
      <c r="V14" s="376">
        <f t="shared" si="11"/>
        <v>629180</v>
      </c>
      <c r="W14" s="376">
        <f t="shared" si="11"/>
        <v>930680</v>
      </c>
      <c r="X14" s="376">
        <f t="shared" si="11"/>
        <v>632180</v>
      </c>
      <c r="Y14" s="376">
        <f t="shared" si="11"/>
        <v>933680</v>
      </c>
      <c r="Z14" s="376">
        <f t="shared" si="11"/>
        <v>635180</v>
      </c>
      <c r="AA14" s="376">
        <f t="shared" si="11"/>
        <v>936680</v>
      </c>
      <c r="AB14" s="376">
        <f t="shared" si="11"/>
        <v>938180</v>
      </c>
      <c r="AC14" s="376">
        <f t="shared" si="11"/>
        <v>639680</v>
      </c>
      <c r="AD14" s="376">
        <f t="shared" si="11"/>
        <v>641180</v>
      </c>
    </row>
    <row r="15" spans="1:38" ht="18.75" x14ac:dyDescent="0.3">
      <c r="A15" s="462">
        <f>M14</f>
        <v>13514731</v>
      </c>
      <c r="B15" s="462"/>
      <c r="D15" s="328" t="s">
        <v>639</v>
      </c>
      <c r="E15" s="337">
        <f>SUM(E16:E19)</f>
        <v>29656767</v>
      </c>
      <c r="F15" s="338">
        <f>E15/E35</f>
        <v>0.42937870800282518</v>
      </c>
      <c r="G15" s="364" t="s">
        <v>640</v>
      </c>
      <c r="H15" s="365">
        <v>0</v>
      </c>
      <c r="I15" s="351">
        <f t="shared" si="8"/>
        <v>0</v>
      </c>
      <c r="K15" s="377" t="s">
        <v>641</v>
      </c>
      <c r="L15" s="378" t="str">
        <f>K15</f>
        <v>Sueldos</v>
      </c>
      <c r="M15" s="379">
        <f t="shared" si="6"/>
        <v>2924012</v>
      </c>
      <c r="N15" s="380">
        <v>162736</v>
      </c>
      <c r="O15" s="380">
        <v>162736</v>
      </c>
      <c r="P15" s="380">
        <v>162736</v>
      </c>
      <c r="Q15" s="380">
        <f t="shared" ref="P15:AD15" si="12">P15+1500</f>
        <v>164236</v>
      </c>
      <c r="R15" s="380">
        <f t="shared" si="12"/>
        <v>165736</v>
      </c>
      <c r="S15" s="380">
        <f t="shared" si="12"/>
        <v>167236</v>
      </c>
      <c r="T15" s="380">
        <f t="shared" si="12"/>
        <v>168736</v>
      </c>
      <c r="U15" s="380">
        <f t="shared" si="12"/>
        <v>170236</v>
      </c>
      <c r="V15" s="380">
        <f t="shared" si="12"/>
        <v>171736</v>
      </c>
      <c r="W15" s="380">
        <f t="shared" si="12"/>
        <v>173236</v>
      </c>
      <c r="X15" s="380">
        <f t="shared" si="12"/>
        <v>174736</v>
      </c>
      <c r="Y15" s="380">
        <f t="shared" si="12"/>
        <v>176236</v>
      </c>
      <c r="Z15" s="380">
        <f t="shared" si="12"/>
        <v>177736</v>
      </c>
      <c r="AA15" s="380">
        <f t="shared" si="12"/>
        <v>179236</v>
      </c>
      <c r="AB15" s="380">
        <f t="shared" si="12"/>
        <v>180736</v>
      </c>
      <c r="AC15" s="380">
        <f t="shared" si="12"/>
        <v>182236</v>
      </c>
      <c r="AD15" s="380">
        <f t="shared" si="12"/>
        <v>183736</v>
      </c>
    </row>
    <row r="16" spans="1:38" x14ac:dyDescent="0.25">
      <c r="D16" s="362" t="s">
        <v>642</v>
      </c>
      <c r="E16" s="363">
        <v>0</v>
      </c>
      <c r="F16" s="348">
        <f>E16/E35</f>
        <v>0</v>
      </c>
      <c r="G16" s="381" t="s">
        <v>643</v>
      </c>
      <c r="H16" s="382">
        <f>E29-H26</f>
        <v>-94731</v>
      </c>
      <c r="I16" s="351">
        <f t="shared" si="8"/>
        <v>-1.3715410849677455E-3</v>
      </c>
      <c r="K16" s="377" t="s">
        <v>644</v>
      </c>
      <c r="L16" s="378" t="str">
        <f>K16</f>
        <v xml:space="preserve">Mantenimiento </v>
      </c>
      <c r="M16" s="379">
        <f t="shared" si="6"/>
        <v>495040</v>
      </c>
      <c r="N16" s="380">
        <v>29120</v>
      </c>
      <c r="O16" s="380">
        <f>N16</f>
        <v>29120</v>
      </c>
      <c r="P16" s="380">
        <f t="shared" ref="P16:AD16" si="13">O16</f>
        <v>29120</v>
      </c>
      <c r="Q16" s="380">
        <f t="shared" si="13"/>
        <v>29120</v>
      </c>
      <c r="R16" s="380">
        <f t="shared" si="13"/>
        <v>29120</v>
      </c>
      <c r="S16" s="380">
        <f t="shared" si="13"/>
        <v>29120</v>
      </c>
      <c r="T16" s="380">
        <f t="shared" si="13"/>
        <v>29120</v>
      </c>
      <c r="U16" s="380">
        <f t="shared" si="13"/>
        <v>29120</v>
      </c>
      <c r="V16" s="380">
        <f t="shared" si="13"/>
        <v>29120</v>
      </c>
      <c r="W16" s="380">
        <f t="shared" si="13"/>
        <v>29120</v>
      </c>
      <c r="X16" s="380">
        <f t="shared" si="13"/>
        <v>29120</v>
      </c>
      <c r="Y16" s="380">
        <f t="shared" si="13"/>
        <v>29120</v>
      </c>
      <c r="Z16" s="380">
        <f t="shared" si="13"/>
        <v>29120</v>
      </c>
      <c r="AA16" s="380">
        <f t="shared" si="13"/>
        <v>29120</v>
      </c>
      <c r="AB16" s="380">
        <f t="shared" si="13"/>
        <v>29120</v>
      </c>
      <c r="AC16" s="380">
        <f t="shared" si="13"/>
        <v>29120</v>
      </c>
      <c r="AD16" s="380">
        <f t="shared" si="13"/>
        <v>29120</v>
      </c>
    </row>
    <row r="17" spans="1:30" ht="20.25" customHeight="1" x14ac:dyDescent="0.25">
      <c r="D17" s="383" t="s">
        <v>639</v>
      </c>
      <c r="E17" s="384">
        <f>14003+1100+2000+450+378420+6200+2100000+19100+99021+350+895000+8000+1838000+8434+922080+5000</f>
        <v>6297158</v>
      </c>
      <c r="F17" s="385">
        <f>E17/E35</f>
        <v>9.1171959712589526E-2</v>
      </c>
      <c r="G17" s="361"/>
      <c r="H17" s="359"/>
      <c r="I17" s="386"/>
      <c r="K17" s="377" t="s">
        <v>645</v>
      </c>
      <c r="L17" s="378" t="s">
        <v>617</v>
      </c>
      <c r="M17" s="379">
        <f t="shared" si="6"/>
        <v>0</v>
      </c>
      <c r="N17" s="380">
        <v>0</v>
      </c>
      <c r="O17" s="380">
        <v>0</v>
      </c>
      <c r="P17" s="380">
        <v>0</v>
      </c>
      <c r="Q17" s="380">
        <v>0</v>
      </c>
      <c r="R17" s="380">
        <v>0</v>
      </c>
      <c r="S17" s="380">
        <v>0</v>
      </c>
      <c r="T17" s="380">
        <v>0</v>
      </c>
      <c r="U17" s="380">
        <v>0</v>
      </c>
      <c r="V17" s="380">
        <v>0</v>
      </c>
      <c r="W17" s="380">
        <v>0</v>
      </c>
      <c r="X17" s="380">
        <v>0</v>
      </c>
      <c r="Y17" s="380">
        <v>0</v>
      </c>
      <c r="Z17" s="380">
        <v>0</v>
      </c>
      <c r="AA17" s="380">
        <v>0</v>
      </c>
      <c r="AB17" s="380">
        <v>0</v>
      </c>
      <c r="AC17" s="380">
        <v>0</v>
      </c>
      <c r="AD17" s="380">
        <v>0</v>
      </c>
    </row>
    <row r="18" spans="1:30" x14ac:dyDescent="0.25">
      <c r="D18" s="362" t="s">
        <v>646</v>
      </c>
      <c r="E18" s="363">
        <f>7000000+19000+600000+4000+496109+4000+1530000+5500+3450000+10000+2500000+5000+3600000+15000+3869000+5000+245000+2000</f>
        <v>23359609</v>
      </c>
      <c r="F18" s="348">
        <f>E18/E35</f>
        <v>0.33820674829023567</v>
      </c>
      <c r="G18" s="328" t="s">
        <v>647</v>
      </c>
      <c r="H18" s="387">
        <f>H19</f>
        <v>0</v>
      </c>
      <c r="I18" s="340">
        <f>H18/$H$35</f>
        <v>0</v>
      </c>
      <c r="K18" s="377" t="s">
        <v>648</v>
      </c>
      <c r="L18" s="378" t="str">
        <f>K18</f>
        <v>Empleados</v>
      </c>
      <c r="M18" s="379">
        <f t="shared" si="6"/>
        <v>1109760</v>
      </c>
      <c r="N18" s="380">
        <v>65280</v>
      </c>
      <c r="O18" s="380">
        <f>N18</f>
        <v>65280</v>
      </c>
      <c r="P18" s="380">
        <f t="shared" ref="P18:AD24" si="14">O18</f>
        <v>65280</v>
      </c>
      <c r="Q18" s="380">
        <f t="shared" si="14"/>
        <v>65280</v>
      </c>
      <c r="R18" s="380">
        <f t="shared" si="14"/>
        <v>65280</v>
      </c>
      <c r="S18" s="380">
        <f t="shared" si="14"/>
        <v>65280</v>
      </c>
      <c r="T18" s="380">
        <f t="shared" si="14"/>
        <v>65280</v>
      </c>
      <c r="U18" s="380">
        <f t="shared" si="14"/>
        <v>65280</v>
      </c>
      <c r="V18" s="380">
        <f t="shared" si="14"/>
        <v>65280</v>
      </c>
      <c r="W18" s="380">
        <f t="shared" si="14"/>
        <v>65280</v>
      </c>
      <c r="X18" s="380">
        <f t="shared" si="14"/>
        <v>65280</v>
      </c>
      <c r="Y18" s="380">
        <f t="shared" si="14"/>
        <v>65280</v>
      </c>
      <c r="Z18" s="380">
        <f t="shared" si="14"/>
        <v>65280</v>
      </c>
      <c r="AA18" s="380">
        <f t="shared" si="14"/>
        <v>65280</v>
      </c>
      <c r="AB18" s="380">
        <f t="shared" si="14"/>
        <v>65280</v>
      </c>
      <c r="AC18" s="380">
        <f t="shared" si="14"/>
        <v>65280</v>
      </c>
      <c r="AD18" s="380">
        <f t="shared" si="14"/>
        <v>65280</v>
      </c>
    </row>
    <row r="19" spans="1:30" x14ac:dyDescent="0.25">
      <c r="D19" s="362" t="s">
        <v>649</v>
      </c>
      <c r="E19" s="363">
        <v>0</v>
      </c>
      <c r="F19" s="348">
        <f>E19/E35</f>
        <v>0</v>
      </c>
      <c r="G19" s="388" t="s">
        <v>650</v>
      </c>
      <c r="H19" s="389">
        <f>M20</f>
        <v>0</v>
      </c>
      <c r="I19" s="351">
        <f>H19/$H$35</f>
        <v>0</v>
      </c>
      <c r="K19" s="377" t="s">
        <v>651</v>
      </c>
      <c r="L19" s="378" t="str">
        <f>K19</f>
        <v>Juveniles</v>
      </c>
      <c r="M19" s="379">
        <f t="shared" si="6"/>
        <v>340000</v>
      </c>
      <c r="N19" s="380">
        <v>20000</v>
      </c>
      <c r="O19" s="380">
        <f>N19</f>
        <v>20000</v>
      </c>
      <c r="P19" s="380">
        <f t="shared" si="14"/>
        <v>20000</v>
      </c>
      <c r="Q19" s="380">
        <f t="shared" si="14"/>
        <v>20000</v>
      </c>
      <c r="R19" s="380">
        <f t="shared" si="14"/>
        <v>20000</v>
      </c>
      <c r="S19" s="380">
        <f t="shared" si="14"/>
        <v>20000</v>
      </c>
      <c r="T19" s="380">
        <f t="shared" si="14"/>
        <v>20000</v>
      </c>
      <c r="U19" s="380">
        <f t="shared" si="14"/>
        <v>20000</v>
      </c>
      <c r="V19" s="380">
        <f t="shared" si="14"/>
        <v>20000</v>
      </c>
      <c r="W19" s="380">
        <f t="shared" si="14"/>
        <v>20000</v>
      </c>
      <c r="X19" s="380">
        <f t="shared" si="14"/>
        <v>20000</v>
      </c>
      <c r="Y19" s="380">
        <f t="shared" si="14"/>
        <v>20000</v>
      </c>
      <c r="Z19" s="380">
        <f t="shared" si="14"/>
        <v>20000</v>
      </c>
      <c r="AA19" s="380">
        <f t="shared" si="14"/>
        <v>20000</v>
      </c>
      <c r="AB19" s="380">
        <f t="shared" si="14"/>
        <v>20000</v>
      </c>
      <c r="AC19" s="380">
        <f t="shared" si="14"/>
        <v>20000</v>
      </c>
      <c r="AD19" s="380">
        <f t="shared" si="14"/>
        <v>20000</v>
      </c>
    </row>
    <row r="20" spans="1:30" ht="20.25" customHeight="1" x14ac:dyDescent="0.25">
      <c r="D20" s="361"/>
      <c r="E20" s="372"/>
      <c r="F20" s="390"/>
      <c r="G20" s="391"/>
      <c r="H20" s="392"/>
      <c r="I20" s="393"/>
      <c r="K20" s="377" t="s">
        <v>652</v>
      </c>
      <c r="L20" s="378" t="s">
        <v>650</v>
      </c>
      <c r="M20" s="379">
        <f t="shared" si="6"/>
        <v>0</v>
      </c>
      <c r="N20" s="380">
        <v>0</v>
      </c>
      <c r="O20" s="380">
        <v>0</v>
      </c>
      <c r="P20" s="380">
        <f t="shared" si="14"/>
        <v>0</v>
      </c>
      <c r="Q20" s="380">
        <f t="shared" si="14"/>
        <v>0</v>
      </c>
      <c r="R20" s="380">
        <f t="shared" si="14"/>
        <v>0</v>
      </c>
      <c r="S20" s="380">
        <f t="shared" si="14"/>
        <v>0</v>
      </c>
      <c r="T20" s="380">
        <f t="shared" si="14"/>
        <v>0</v>
      </c>
      <c r="U20" s="380">
        <f t="shared" si="14"/>
        <v>0</v>
      </c>
      <c r="V20" s="380">
        <f t="shared" si="14"/>
        <v>0</v>
      </c>
      <c r="W20" s="380">
        <f t="shared" si="14"/>
        <v>0</v>
      </c>
      <c r="X20" s="380">
        <f t="shared" si="14"/>
        <v>0</v>
      </c>
      <c r="Y20" s="380">
        <f t="shared" si="14"/>
        <v>0</v>
      </c>
      <c r="Z20" s="380">
        <f t="shared" si="14"/>
        <v>0</v>
      </c>
      <c r="AA20" s="380">
        <f t="shared" si="14"/>
        <v>0</v>
      </c>
      <c r="AB20" s="380">
        <f t="shared" si="14"/>
        <v>0</v>
      </c>
      <c r="AC20" s="380">
        <f t="shared" si="14"/>
        <v>0</v>
      </c>
      <c r="AD20" s="380">
        <f t="shared" si="14"/>
        <v>0</v>
      </c>
    </row>
    <row r="21" spans="1:30" x14ac:dyDescent="0.25">
      <c r="D21" s="328" t="s">
        <v>625</v>
      </c>
      <c r="E21" s="394">
        <f>E22</f>
        <v>177650</v>
      </c>
      <c r="F21" s="338">
        <f>E21/E35</f>
        <v>2.5720648335235559E-3</v>
      </c>
      <c r="G21" s="391"/>
      <c r="H21" s="392"/>
      <c r="I21" s="393"/>
      <c r="K21" s="458" t="s">
        <v>631</v>
      </c>
      <c r="L21" s="378" t="s">
        <v>620</v>
      </c>
      <c r="M21" s="379">
        <f t="shared" si="6"/>
        <v>0</v>
      </c>
      <c r="N21" s="380">
        <v>0</v>
      </c>
      <c r="O21" s="380">
        <f>N21</f>
        <v>0</v>
      </c>
      <c r="P21" s="380">
        <f t="shared" si="14"/>
        <v>0</v>
      </c>
      <c r="Q21" s="380">
        <f t="shared" si="14"/>
        <v>0</v>
      </c>
      <c r="R21" s="380">
        <f t="shared" si="14"/>
        <v>0</v>
      </c>
      <c r="S21" s="380">
        <f t="shared" si="14"/>
        <v>0</v>
      </c>
      <c r="T21" s="380">
        <f t="shared" si="14"/>
        <v>0</v>
      </c>
      <c r="U21" s="380">
        <f t="shared" si="14"/>
        <v>0</v>
      </c>
      <c r="V21" s="380">
        <f t="shared" si="14"/>
        <v>0</v>
      </c>
      <c r="W21" s="380">
        <f t="shared" si="14"/>
        <v>0</v>
      </c>
      <c r="X21" s="380">
        <f t="shared" si="14"/>
        <v>0</v>
      </c>
      <c r="Y21" s="380">
        <f t="shared" si="14"/>
        <v>0</v>
      </c>
      <c r="Z21" s="380">
        <f t="shared" si="14"/>
        <v>0</v>
      </c>
      <c r="AA21" s="380">
        <f t="shared" si="14"/>
        <v>0</v>
      </c>
      <c r="AB21" s="380">
        <f t="shared" si="14"/>
        <v>0</v>
      </c>
      <c r="AC21" s="380">
        <f t="shared" si="14"/>
        <v>0</v>
      </c>
      <c r="AD21" s="380">
        <f t="shared" si="14"/>
        <v>0</v>
      </c>
    </row>
    <row r="22" spans="1:30" x14ac:dyDescent="0.25">
      <c r="D22" s="362" t="s">
        <v>625</v>
      </c>
      <c r="E22" s="363">
        <f>M8+M9</f>
        <v>177650</v>
      </c>
      <c r="F22" s="348">
        <f>E22/E35</f>
        <v>2.5720648335235559E-3</v>
      </c>
      <c r="G22" s="328" t="s">
        <v>653</v>
      </c>
      <c r="H22" s="339">
        <f>SUM(H23:H24)</f>
        <v>0</v>
      </c>
      <c r="I22" s="340">
        <f>H22/$H$35</f>
        <v>0</v>
      </c>
      <c r="K22" s="459"/>
      <c r="L22" s="378" t="s">
        <v>654</v>
      </c>
      <c r="M22" s="379">
        <f t="shared" si="6"/>
        <v>63000</v>
      </c>
      <c r="N22" s="380">
        <v>18000</v>
      </c>
      <c r="O22" s="380">
        <v>3000</v>
      </c>
      <c r="P22" s="380">
        <v>0</v>
      </c>
      <c r="Q22" s="380">
        <v>3000</v>
      </c>
      <c r="R22" s="380">
        <f t="shared" si="14"/>
        <v>3000</v>
      </c>
      <c r="S22" s="380">
        <f t="shared" si="14"/>
        <v>3000</v>
      </c>
      <c r="T22" s="380">
        <f t="shared" si="14"/>
        <v>3000</v>
      </c>
      <c r="U22" s="380">
        <f t="shared" si="14"/>
        <v>3000</v>
      </c>
      <c r="V22" s="380">
        <f t="shared" si="14"/>
        <v>3000</v>
      </c>
      <c r="W22" s="380">
        <f t="shared" si="14"/>
        <v>3000</v>
      </c>
      <c r="X22" s="380">
        <f t="shared" si="14"/>
        <v>3000</v>
      </c>
      <c r="Y22" s="380">
        <f t="shared" si="14"/>
        <v>3000</v>
      </c>
      <c r="Z22" s="380">
        <f t="shared" si="14"/>
        <v>3000</v>
      </c>
      <c r="AA22" s="380">
        <f t="shared" si="14"/>
        <v>3000</v>
      </c>
      <c r="AB22" s="380">
        <f t="shared" si="14"/>
        <v>3000</v>
      </c>
      <c r="AC22" s="380">
        <f t="shared" si="14"/>
        <v>3000</v>
      </c>
      <c r="AD22" s="380">
        <f t="shared" si="14"/>
        <v>3000</v>
      </c>
    </row>
    <row r="23" spans="1:30" ht="18.75" x14ac:dyDescent="0.3">
      <c r="C23" s="395"/>
      <c r="D23" s="361"/>
      <c r="E23" s="372"/>
      <c r="F23" s="390"/>
      <c r="G23" s="388" t="s">
        <v>617</v>
      </c>
      <c r="H23" s="396">
        <f>M17</f>
        <v>0</v>
      </c>
      <c r="I23" s="351">
        <f>H23/$H$35</f>
        <v>0</v>
      </c>
      <c r="K23" s="460"/>
      <c r="L23" s="378" t="s">
        <v>655</v>
      </c>
      <c r="M23" s="379">
        <f t="shared" si="6"/>
        <v>0</v>
      </c>
      <c r="N23" s="380">
        <v>0</v>
      </c>
      <c r="O23" s="380">
        <f>N23</f>
        <v>0</v>
      </c>
      <c r="P23" s="380">
        <f t="shared" si="14"/>
        <v>0</v>
      </c>
      <c r="Q23" s="380">
        <f t="shared" si="14"/>
        <v>0</v>
      </c>
      <c r="R23" s="380">
        <f t="shared" si="14"/>
        <v>0</v>
      </c>
      <c r="S23" s="380">
        <f t="shared" si="14"/>
        <v>0</v>
      </c>
      <c r="T23" s="380">
        <f t="shared" si="14"/>
        <v>0</v>
      </c>
      <c r="U23" s="380">
        <f t="shared" si="14"/>
        <v>0</v>
      </c>
      <c r="V23" s="380">
        <f t="shared" si="14"/>
        <v>0</v>
      </c>
      <c r="W23" s="380">
        <f t="shared" si="14"/>
        <v>0</v>
      </c>
      <c r="X23" s="380">
        <f t="shared" si="14"/>
        <v>0</v>
      </c>
      <c r="Y23" s="380">
        <f t="shared" si="14"/>
        <v>0</v>
      </c>
      <c r="Z23" s="380">
        <f t="shared" si="14"/>
        <v>0</v>
      </c>
      <c r="AA23" s="380">
        <f t="shared" si="14"/>
        <v>0</v>
      </c>
      <c r="AB23" s="380">
        <f t="shared" si="14"/>
        <v>0</v>
      </c>
      <c r="AC23" s="380">
        <f t="shared" si="14"/>
        <v>0</v>
      </c>
      <c r="AD23" s="380">
        <f t="shared" si="14"/>
        <v>0</v>
      </c>
    </row>
    <row r="24" spans="1:30" ht="18.75" x14ac:dyDescent="0.3">
      <c r="A24" s="397" t="str">
        <f t="shared" ref="A24:A31" si="15">L15</f>
        <v>Sueldos</v>
      </c>
      <c r="B24" s="398">
        <f t="shared" ref="B24:B31" si="16">M15/$M$25</f>
        <v>0.59288796896556484</v>
      </c>
      <c r="C24" s="336"/>
      <c r="D24" s="328" t="s">
        <v>672</v>
      </c>
      <c r="E24" s="337">
        <f>E25+E26-E27</f>
        <v>17183459</v>
      </c>
      <c r="F24" s="338">
        <f>E24/E35</f>
        <v>0.24878677518825698</v>
      </c>
      <c r="G24" s="388" t="s">
        <v>620</v>
      </c>
      <c r="H24" s="396">
        <f>M21</f>
        <v>0</v>
      </c>
      <c r="I24" s="351">
        <f>H24/$H$35</f>
        <v>0</v>
      </c>
      <c r="K24" s="377" t="s">
        <v>656</v>
      </c>
      <c r="L24" s="378" t="str">
        <f>K24</f>
        <v>Intereses</v>
      </c>
      <c r="M24" s="379">
        <f t="shared" si="6"/>
        <v>0</v>
      </c>
      <c r="N24" s="380">
        <v>0</v>
      </c>
      <c r="O24" s="380">
        <f t="shared" ref="O24" si="17">N24</f>
        <v>0</v>
      </c>
      <c r="P24" s="380">
        <f t="shared" si="14"/>
        <v>0</v>
      </c>
      <c r="Q24" s="380">
        <f t="shared" si="14"/>
        <v>0</v>
      </c>
      <c r="R24" s="380">
        <f t="shared" si="14"/>
        <v>0</v>
      </c>
      <c r="S24" s="380">
        <f t="shared" si="14"/>
        <v>0</v>
      </c>
      <c r="T24" s="380">
        <f t="shared" si="14"/>
        <v>0</v>
      </c>
      <c r="U24" s="380">
        <f t="shared" si="14"/>
        <v>0</v>
      </c>
      <c r="V24" s="380">
        <f t="shared" si="14"/>
        <v>0</v>
      </c>
      <c r="W24" s="380">
        <f t="shared" si="14"/>
        <v>0</v>
      </c>
      <c r="X24" s="380">
        <f t="shared" si="14"/>
        <v>0</v>
      </c>
      <c r="Y24" s="380">
        <f t="shared" si="14"/>
        <v>0</v>
      </c>
      <c r="Z24" s="380">
        <f t="shared" si="14"/>
        <v>0</v>
      </c>
      <c r="AA24" s="380">
        <f t="shared" si="14"/>
        <v>0</v>
      </c>
      <c r="AB24" s="380">
        <f t="shared" si="14"/>
        <v>0</v>
      </c>
      <c r="AC24" s="380">
        <f t="shared" si="14"/>
        <v>0</v>
      </c>
      <c r="AD24" s="380">
        <f t="shared" si="14"/>
        <v>0</v>
      </c>
    </row>
    <row r="25" spans="1:30" ht="18.75" x14ac:dyDescent="0.3">
      <c r="A25" s="397" t="str">
        <f t="shared" si="15"/>
        <v xml:space="preserve">Mantenimiento </v>
      </c>
      <c r="B25" s="398">
        <f t="shared" si="16"/>
        <v>0.10037690001159817</v>
      </c>
      <c r="C25" s="313"/>
      <c r="D25" s="364" t="s">
        <v>657</v>
      </c>
      <c r="E25" s="399">
        <f>N5</f>
        <v>8683459</v>
      </c>
      <c r="F25" s="348">
        <f>E25/E35</f>
        <v>0.12572147214885238</v>
      </c>
      <c r="G25" s="400"/>
      <c r="H25" s="401"/>
      <c r="I25" s="402"/>
      <c r="K25" s="403" t="s">
        <v>658</v>
      </c>
      <c r="L25" s="404"/>
      <c r="M25" s="405">
        <f t="shared" si="6"/>
        <v>4931812</v>
      </c>
      <c r="N25" s="406">
        <f>SUM(N15:N24)</f>
        <v>295136</v>
      </c>
      <c r="O25" s="406">
        <f t="shared" ref="O25:AD25" si="18">SUM(O15:O24)</f>
        <v>280136</v>
      </c>
      <c r="P25" s="406">
        <f t="shared" si="18"/>
        <v>277136</v>
      </c>
      <c r="Q25" s="406">
        <f t="shared" si="18"/>
        <v>281636</v>
      </c>
      <c r="R25" s="406">
        <f t="shared" si="18"/>
        <v>283136</v>
      </c>
      <c r="S25" s="406">
        <f t="shared" si="18"/>
        <v>284636</v>
      </c>
      <c r="T25" s="406">
        <f t="shared" si="18"/>
        <v>286136</v>
      </c>
      <c r="U25" s="406">
        <f t="shared" si="18"/>
        <v>287636</v>
      </c>
      <c r="V25" s="406">
        <f t="shared" si="18"/>
        <v>289136</v>
      </c>
      <c r="W25" s="406">
        <f t="shared" si="18"/>
        <v>290636</v>
      </c>
      <c r="X25" s="406">
        <f t="shared" si="18"/>
        <v>292136</v>
      </c>
      <c r="Y25" s="406">
        <f t="shared" si="18"/>
        <v>293636</v>
      </c>
      <c r="Z25" s="406">
        <f t="shared" si="18"/>
        <v>295136</v>
      </c>
      <c r="AA25" s="406">
        <f t="shared" si="18"/>
        <v>296636</v>
      </c>
      <c r="AB25" s="406">
        <f t="shared" si="18"/>
        <v>298136</v>
      </c>
      <c r="AC25" s="406">
        <f t="shared" si="18"/>
        <v>299636</v>
      </c>
      <c r="AD25" s="406">
        <f t="shared" si="18"/>
        <v>301136</v>
      </c>
    </row>
    <row r="26" spans="1:30" ht="18.75" x14ac:dyDescent="0.3">
      <c r="A26" s="397" t="str">
        <f t="shared" si="15"/>
        <v>Estadio</v>
      </c>
      <c r="B26" s="398">
        <f t="shared" si="16"/>
        <v>0</v>
      </c>
      <c r="C26" s="321"/>
      <c r="D26" s="364" t="str">
        <f>D12</f>
        <v>Ing Reservas</v>
      </c>
      <c r="E26" s="399">
        <f>M13</f>
        <v>8500000</v>
      </c>
      <c r="F26" s="348">
        <f>E26/E35</f>
        <v>0.12306530303940459</v>
      </c>
      <c r="G26" s="328" t="s">
        <v>659</v>
      </c>
      <c r="H26" s="339">
        <f>SUM(H27:H32)</f>
        <v>4931812</v>
      </c>
      <c r="I26" s="340">
        <f t="shared" ref="I26:I32" si="19">H26/$H$35</f>
        <v>7.1404110389808484E-2</v>
      </c>
      <c r="K26" s="407" t="s">
        <v>660</v>
      </c>
      <c r="L26" s="407"/>
      <c r="M26" s="343">
        <f t="shared" ref="M26:AD26" si="20">M5+M14-M25</f>
        <v>17266378</v>
      </c>
      <c r="N26" s="343">
        <f t="shared" si="20"/>
        <v>9623483</v>
      </c>
      <c r="O26" s="343">
        <f t="shared" si="20"/>
        <v>9994868</v>
      </c>
      <c r="P26" s="343">
        <f t="shared" si="20"/>
        <v>10355762</v>
      </c>
      <c r="Q26" s="343">
        <f t="shared" si="20"/>
        <v>11015806</v>
      </c>
      <c r="R26" s="343">
        <f t="shared" si="20"/>
        <v>11385850</v>
      </c>
      <c r="S26" s="343">
        <f t="shared" si="20"/>
        <v>12025894</v>
      </c>
      <c r="T26" s="343">
        <f t="shared" si="20"/>
        <v>12365938</v>
      </c>
      <c r="U26" s="343">
        <f t="shared" si="20"/>
        <v>13005982</v>
      </c>
      <c r="V26" s="343">
        <f t="shared" si="20"/>
        <v>13346026</v>
      </c>
      <c r="W26" s="343">
        <f t="shared" si="20"/>
        <v>13986070</v>
      </c>
      <c r="X26" s="343">
        <f t="shared" si="20"/>
        <v>14326114</v>
      </c>
      <c r="Y26" s="343">
        <f t="shared" si="20"/>
        <v>14966158</v>
      </c>
      <c r="Z26" s="343">
        <f t="shared" si="20"/>
        <v>15306202</v>
      </c>
      <c r="AA26" s="343">
        <f t="shared" si="20"/>
        <v>15946246</v>
      </c>
      <c r="AB26" s="343">
        <f t="shared" si="20"/>
        <v>16586290</v>
      </c>
      <c r="AC26" s="343">
        <f t="shared" si="20"/>
        <v>16926334</v>
      </c>
      <c r="AD26" s="343">
        <f t="shared" si="20"/>
        <v>17266378</v>
      </c>
    </row>
    <row r="27" spans="1:30" x14ac:dyDescent="0.25">
      <c r="A27" s="397" t="str">
        <f t="shared" si="15"/>
        <v>Empleados</v>
      </c>
      <c r="B27" s="398">
        <f t="shared" si="16"/>
        <v>0.22502074288314317</v>
      </c>
      <c r="C27" s="317"/>
      <c r="D27" s="364" t="str">
        <f>D13</f>
        <v>Pago Reservas</v>
      </c>
      <c r="E27" s="399">
        <f>M23*-1</f>
        <v>0</v>
      </c>
      <c r="F27" s="348">
        <f>E27/E35</f>
        <v>0</v>
      </c>
      <c r="G27" s="388" t="s">
        <v>661</v>
      </c>
      <c r="H27" s="396">
        <f>M15</f>
        <v>2924012</v>
      </c>
      <c r="I27" s="351">
        <f t="shared" si="19"/>
        <v>4.2334637984806529E-2</v>
      </c>
      <c r="K27" s="408"/>
      <c r="L27" s="408"/>
      <c r="M27" s="408"/>
      <c r="N27" s="409">
        <f>N1+7</f>
        <v>43644</v>
      </c>
      <c r="O27" s="409">
        <f t="shared" ref="O27:AD27" si="21">N27+7</f>
        <v>43651</v>
      </c>
      <c r="P27" s="409">
        <f t="shared" si="21"/>
        <v>43658</v>
      </c>
      <c r="Q27" s="409">
        <f t="shared" si="21"/>
        <v>43665</v>
      </c>
      <c r="R27" s="409">
        <f t="shared" si="21"/>
        <v>43672</v>
      </c>
      <c r="S27" s="409">
        <f t="shared" si="21"/>
        <v>43679</v>
      </c>
      <c r="T27" s="409">
        <f t="shared" si="21"/>
        <v>43686</v>
      </c>
      <c r="U27" s="409">
        <f t="shared" si="21"/>
        <v>43693</v>
      </c>
      <c r="V27" s="409">
        <f t="shared" si="21"/>
        <v>43700</v>
      </c>
      <c r="W27" s="409">
        <f t="shared" si="21"/>
        <v>43707</v>
      </c>
      <c r="X27" s="409">
        <f t="shared" si="21"/>
        <v>43714</v>
      </c>
      <c r="Y27" s="409">
        <f t="shared" si="21"/>
        <v>43721</v>
      </c>
      <c r="Z27" s="409">
        <f t="shared" si="21"/>
        <v>43728</v>
      </c>
      <c r="AA27" s="409">
        <f t="shared" si="21"/>
        <v>43735</v>
      </c>
      <c r="AB27" s="409">
        <f t="shared" si="21"/>
        <v>43742</v>
      </c>
      <c r="AC27" s="409">
        <f t="shared" si="21"/>
        <v>43749</v>
      </c>
      <c r="AD27" s="409">
        <f t="shared" si="21"/>
        <v>43756</v>
      </c>
    </row>
    <row r="28" spans="1:30" x14ac:dyDescent="0.25">
      <c r="A28" s="397" t="str">
        <f t="shared" si="15"/>
        <v>Juveniles</v>
      </c>
      <c r="B28" s="398">
        <f t="shared" si="16"/>
        <v>6.8940178579394343E-2</v>
      </c>
      <c r="C28" s="321"/>
      <c r="D28" s="391"/>
      <c r="E28" s="410"/>
      <c r="F28" s="348"/>
      <c r="G28" s="388" t="s">
        <v>644</v>
      </c>
      <c r="H28" s="396">
        <f>M16</f>
        <v>495040</v>
      </c>
      <c r="I28" s="351">
        <f t="shared" si="19"/>
        <v>7.1673232490149239E-3</v>
      </c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  <c r="X28" s="411"/>
      <c r="Y28" s="411"/>
      <c r="Z28" s="411"/>
      <c r="AA28" s="411"/>
      <c r="AB28" s="411"/>
      <c r="AC28" s="411"/>
      <c r="AD28" s="411"/>
    </row>
    <row r="29" spans="1:30" x14ac:dyDescent="0.25">
      <c r="A29" s="397" t="str">
        <f t="shared" si="15"/>
        <v>Compra</v>
      </c>
      <c r="B29" s="398">
        <f t="shared" si="16"/>
        <v>0</v>
      </c>
      <c r="D29" s="328" t="s">
        <v>662</v>
      </c>
      <c r="E29" s="337">
        <f>SUM(E30:E34)</f>
        <v>4837081</v>
      </c>
      <c r="F29" s="338">
        <f>E29/E35</f>
        <v>7.0032569304840739E-2</v>
      </c>
      <c r="G29" s="388" t="s">
        <v>648</v>
      </c>
      <c r="H29" s="396">
        <f>M18</f>
        <v>1109760</v>
      </c>
      <c r="I29" s="351">
        <f t="shared" si="19"/>
        <v>1.6067405964824664E-2</v>
      </c>
      <c r="K29" s="412"/>
      <c r="L29" s="412"/>
      <c r="M29" s="413" t="s">
        <v>639</v>
      </c>
      <c r="N29" s="414">
        <v>18</v>
      </c>
      <c r="O29" s="414">
        <v>18</v>
      </c>
      <c r="P29" s="414">
        <v>18</v>
      </c>
      <c r="Q29" s="414"/>
      <c r="R29" s="414"/>
      <c r="S29" s="414"/>
      <c r="T29" s="414"/>
      <c r="U29" s="414"/>
      <c r="V29" s="414"/>
      <c r="W29" s="414"/>
      <c r="X29" s="414"/>
      <c r="Y29" s="414"/>
      <c r="Z29" s="414"/>
      <c r="AA29" s="414"/>
      <c r="AB29" s="414"/>
      <c r="AC29" s="414"/>
      <c r="AD29" s="414"/>
    </row>
    <row r="30" spans="1:30" x14ac:dyDescent="0.25">
      <c r="A30" s="397" t="str">
        <f t="shared" si="15"/>
        <v>Entrenador</v>
      </c>
      <c r="B30" s="398">
        <f t="shared" si="16"/>
        <v>0</v>
      </c>
      <c r="D30" s="364" t="s">
        <v>612</v>
      </c>
      <c r="E30" s="399">
        <f>M11</f>
        <v>57872</v>
      </c>
      <c r="F30" s="348">
        <f>E30/E35</f>
        <v>8.3788649617604972E-4</v>
      </c>
      <c r="G30" s="388" t="s">
        <v>651</v>
      </c>
      <c r="H30" s="396">
        <f>M19</f>
        <v>340000</v>
      </c>
      <c r="I30" s="351">
        <f t="shared" si="19"/>
        <v>4.9226121215761838E-3</v>
      </c>
      <c r="K30" s="324"/>
      <c r="L30" s="461" t="s">
        <v>663</v>
      </c>
      <c r="M30" s="415" t="s">
        <v>12</v>
      </c>
      <c r="N30" s="414">
        <v>950340</v>
      </c>
      <c r="O30" s="414">
        <v>949900</v>
      </c>
      <c r="P30" s="414">
        <v>1007530</v>
      </c>
      <c r="Q30" s="414"/>
      <c r="R30" s="414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</row>
    <row r="31" spans="1:30" x14ac:dyDescent="0.25">
      <c r="A31" s="397" t="str">
        <f t="shared" si="15"/>
        <v>Viajes+Venta</v>
      </c>
      <c r="B31" s="398">
        <f t="shared" si="16"/>
        <v>1.2774209560299541E-2</v>
      </c>
      <c r="D31" s="364" t="s">
        <v>634</v>
      </c>
      <c r="E31" s="399">
        <f>M12</f>
        <v>400000</v>
      </c>
      <c r="F31" s="348">
        <f>E31/E35</f>
        <v>5.791308378324922E-3</v>
      </c>
      <c r="G31" s="388" t="s">
        <v>654</v>
      </c>
      <c r="H31" s="396">
        <f>M22</f>
        <v>63000</v>
      </c>
      <c r="I31" s="351">
        <f t="shared" si="19"/>
        <v>9.1213106958617531E-4</v>
      </c>
      <c r="K31" s="324"/>
      <c r="L31" s="461"/>
      <c r="M31" s="415" t="s">
        <v>50</v>
      </c>
      <c r="N31" s="414">
        <v>162436</v>
      </c>
      <c r="O31" s="414">
        <v>162436</v>
      </c>
      <c r="P31" s="414">
        <v>162436</v>
      </c>
      <c r="Q31" s="414"/>
      <c r="R31" s="414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</row>
    <row r="32" spans="1:30" x14ac:dyDescent="0.25">
      <c r="A32" s="397" t="str">
        <f>L24</f>
        <v>Intereses</v>
      </c>
      <c r="B32" s="398">
        <f>M24/$M$25</f>
        <v>0</v>
      </c>
      <c r="D32" s="364" t="s">
        <v>619</v>
      </c>
      <c r="E32" s="399">
        <f>M6</f>
        <v>2677789</v>
      </c>
      <c r="F32" s="348">
        <f>E32/E35</f>
        <v>3.876975467771579E-2</v>
      </c>
      <c r="G32" s="388" t="s">
        <v>656</v>
      </c>
      <c r="H32" s="396">
        <f>M24</f>
        <v>0</v>
      </c>
      <c r="I32" s="351">
        <f t="shared" si="19"/>
        <v>0</v>
      </c>
      <c r="K32" s="324"/>
      <c r="L32" s="461"/>
      <c r="M32" s="415" t="s">
        <v>664</v>
      </c>
      <c r="N32" s="414">
        <v>867000</v>
      </c>
      <c r="O32" s="414">
        <v>866870</v>
      </c>
      <c r="P32" s="414">
        <v>921130</v>
      </c>
      <c r="Q32" s="414"/>
      <c r="R32" s="414"/>
      <c r="S32" s="414"/>
      <c r="T32" s="414"/>
      <c r="U32" s="414"/>
      <c r="V32" s="414"/>
      <c r="W32" s="414"/>
      <c r="X32" s="414"/>
      <c r="Y32" s="414"/>
      <c r="Z32" s="414"/>
      <c r="AA32" s="414"/>
      <c r="AB32" s="414"/>
      <c r="AC32" s="414"/>
      <c r="AD32" s="414"/>
    </row>
    <row r="33" spans="1:30" ht="18.75" x14ac:dyDescent="0.3">
      <c r="A33" s="321"/>
      <c r="B33" s="416">
        <f>SUM(B24:B32)</f>
        <v>1.0000000000000002</v>
      </c>
      <c r="D33" s="364" t="s">
        <v>622</v>
      </c>
      <c r="E33" s="399">
        <f>M7</f>
        <v>1653310</v>
      </c>
      <c r="F33" s="348">
        <f>E33/E35</f>
        <v>2.3937070137420944E-2</v>
      </c>
      <c r="G33" s="391"/>
      <c r="H33" s="392"/>
      <c r="I33" s="393"/>
      <c r="K33" s="324"/>
      <c r="L33" s="461"/>
      <c r="M33" s="415" t="s">
        <v>665</v>
      </c>
      <c r="N33" s="414">
        <v>140830</v>
      </c>
      <c r="O33" s="414">
        <v>140830</v>
      </c>
      <c r="P33" s="414">
        <v>140830</v>
      </c>
      <c r="Q33" s="414"/>
      <c r="R33" s="414"/>
      <c r="S33" s="414"/>
      <c r="T33" s="414"/>
      <c r="U33" s="414"/>
      <c r="V33" s="414"/>
      <c r="W33" s="414"/>
      <c r="X33" s="414"/>
      <c r="Y33" s="414"/>
      <c r="Z33" s="414"/>
      <c r="AA33" s="414"/>
      <c r="AB33" s="414"/>
      <c r="AC33" s="414"/>
      <c r="AD33" s="414"/>
    </row>
    <row r="34" spans="1:30" ht="18.75" x14ac:dyDescent="0.3">
      <c r="A34" s="317"/>
      <c r="B34" s="417"/>
      <c r="D34" s="418" t="s">
        <v>628</v>
      </c>
      <c r="E34" s="419">
        <f>M10</f>
        <v>48110</v>
      </c>
      <c r="F34" s="348">
        <f>E34/E35</f>
        <v>6.9654961520302999E-4</v>
      </c>
      <c r="G34" s="420"/>
      <c r="H34" s="421"/>
      <c r="I34" s="422"/>
      <c r="K34" s="324"/>
      <c r="L34" s="461"/>
      <c r="M34" s="415" t="s">
        <v>666</v>
      </c>
      <c r="N34" s="423" t="s">
        <v>671</v>
      </c>
      <c r="O34" s="423" t="s">
        <v>676</v>
      </c>
      <c r="P34" s="423" t="s">
        <v>677</v>
      </c>
      <c r="Q34" s="423"/>
      <c r="R34" s="423"/>
      <c r="S34" s="423"/>
      <c r="T34" s="423"/>
      <c r="U34" s="423"/>
      <c r="V34" s="423"/>
      <c r="W34" s="423"/>
      <c r="X34" s="423"/>
      <c r="Y34" s="423"/>
      <c r="Z34" s="423"/>
      <c r="AA34" s="423"/>
      <c r="AB34" s="423"/>
      <c r="AC34" s="423"/>
      <c r="AD34" s="423"/>
    </row>
    <row r="35" spans="1:30" ht="18.75" x14ac:dyDescent="0.3">
      <c r="A35" s="463">
        <f>M25</f>
        <v>4931812</v>
      </c>
      <c r="B35" s="463"/>
      <c r="D35" s="424" t="s">
        <v>85</v>
      </c>
      <c r="E35" s="425">
        <f>E29+E21+E15+E5+E10+E24</f>
        <v>69069021</v>
      </c>
      <c r="F35" s="426">
        <f>F29+F21+F15+F5+F10+F24</f>
        <v>0.99999999999999989</v>
      </c>
      <c r="G35" s="424" t="s">
        <v>85</v>
      </c>
      <c r="H35" s="425">
        <f>H26+H18+H10+H5+H22</f>
        <v>69069021</v>
      </c>
      <c r="I35" s="427">
        <f>H35/$H$35</f>
        <v>1</v>
      </c>
      <c r="K35" s="324"/>
      <c r="L35" s="461"/>
      <c r="M35" s="415" t="s">
        <v>667</v>
      </c>
      <c r="N35" s="428">
        <v>6</v>
      </c>
      <c r="O35" s="428">
        <v>6</v>
      </c>
      <c r="P35" s="428">
        <v>6</v>
      </c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</row>
    <row r="36" spans="1:30" x14ac:dyDescent="0.25">
      <c r="E36" s="360"/>
      <c r="F36" s="330"/>
      <c r="G36" s="429"/>
      <c r="H36" s="430">
        <f>E35-H35</f>
        <v>0</v>
      </c>
      <c r="I36" s="360"/>
      <c r="K36" s="321"/>
      <c r="L36" s="461"/>
      <c r="M36" s="415" t="s">
        <v>668</v>
      </c>
      <c r="N36" s="428">
        <v>5.25</v>
      </c>
      <c r="O36" s="428">
        <v>5.25</v>
      </c>
      <c r="P36" s="428">
        <v>5.75</v>
      </c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</row>
    <row r="37" spans="1:30" x14ac:dyDescent="0.25">
      <c r="E37" s="360"/>
      <c r="F37" s="360"/>
      <c r="H37" s="360"/>
      <c r="I37" s="360"/>
      <c r="K37" s="321"/>
      <c r="L37" s="461"/>
      <c r="M37" s="415" t="s">
        <v>669</v>
      </c>
      <c r="N37" s="428">
        <v>4.25</v>
      </c>
      <c r="O37" s="428">
        <v>4.25</v>
      </c>
      <c r="P37" s="428">
        <v>4.25</v>
      </c>
      <c r="Q37" s="428"/>
      <c r="R37" s="428"/>
      <c r="S37" s="428"/>
      <c r="T37" s="428"/>
      <c r="U37" s="428"/>
      <c r="V37" s="428"/>
      <c r="W37" s="428"/>
      <c r="X37" s="428"/>
      <c r="Y37" s="428"/>
      <c r="Z37" s="428"/>
      <c r="AA37" s="428"/>
      <c r="AB37" s="428"/>
      <c r="AC37" s="428"/>
      <c r="AD37" s="428"/>
    </row>
    <row r="38" spans="1:30" ht="15.75" x14ac:dyDescent="0.25">
      <c r="D38" s="431"/>
      <c r="E38" s="432"/>
      <c r="F38" s="360"/>
      <c r="G38" s="46"/>
      <c r="H38" s="433"/>
      <c r="I38" s="433"/>
      <c r="K38" s="321"/>
      <c r="L38" s="321"/>
      <c r="M38" s="434" t="s">
        <v>670</v>
      </c>
      <c r="N38" s="435">
        <f t="shared" ref="N38:AD38" si="22">N30/N31</f>
        <v>5.8505503706075004</v>
      </c>
      <c r="O38" s="435">
        <f t="shared" si="22"/>
        <v>5.847841611465439</v>
      </c>
      <c r="P38" s="435">
        <f t="shared" si="22"/>
        <v>6.2026274963677999</v>
      </c>
      <c r="Q38" s="435" t="e">
        <f t="shared" si="22"/>
        <v>#DIV/0!</v>
      </c>
      <c r="R38" s="435" t="e">
        <f t="shared" si="22"/>
        <v>#DIV/0!</v>
      </c>
      <c r="S38" s="435" t="e">
        <f t="shared" si="22"/>
        <v>#DIV/0!</v>
      </c>
      <c r="T38" s="435" t="e">
        <f t="shared" si="22"/>
        <v>#DIV/0!</v>
      </c>
      <c r="U38" s="435" t="e">
        <f t="shared" si="22"/>
        <v>#DIV/0!</v>
      </c>
      <c r="V38" s="435" t="e">
        <f t="shared" si="22"/>
        <v>#DIV/0!</v>
      </c>
      <c r="W38" s="435" t="e">
        <f t="shared" si="22"/>
        <v>#DIV/0!</v>
      </c>
      <c r="X38" s="435" t="e">
        <f t="shared" si="22"/>
        <v>#DIV/0!</v>
      </c>
      <c r="Y38" s="435" t="e">
        <f t="shared" si="22"/>
        <v>#DIV/0!</v>
      </c>
      <c r="Z38" s="435" t="e">
        <f t="shared" si="22"/>
        <v>#DIV/0!</v>
      </c>
      <c r="AA38" s="435" t="e">
        <f t="shared" si="22"/>
        <v>#DIV/0!</v>
      </c>
      <c r="AB38" s="435" t="e">
        <f t="shared" si="22"/>
        <v>#DIV/0!</v>
      </c>
      <c r="AC38" s="435" t="e">
        <f t="shared" si="22"/>
        <v>#DIV/0!</v>
      </c>
      <c r="AD38" s="435" t="e">
        <f t="shared" si="22"/>
        <v>#DIV/0!</v>
      </c>
    </row>
    <row r="39" spans="1:30" x14ac:dyDescent="0.25">
      <c r="E39" s="433"/>
      <c r="F39" s="360"/>
      <c r="H39" s="360"/>
      <c r="I39" s="360"/>
      <c r="K39" s="321"/>
      <c r="L39" s="321"/>
      <c r="M39" s="321"/>
      <c r="N39" s="134"/>
      <c r="O39" s="436"/>
      <c r="P39" s="464"/>
      <c r="Q39" s="464"/>
      <c r="R39" s="464"/>
      <c r="S39" s="464"/>
    </row>
    <row r="40" spans="1:30" x14ac:dyDescent="0.25">
      <c r="E40" s="360"/>
      <c r="F40" s="360"/>
      <c r="H40" s="360"/>
      <c r="I40" s="360"/>
      <c r="K40" s="321"/>
      <c r="L40" s="321"/>
      <c r="M40" s="321"/>
      <c r="N40" s="437"/>
      <c r="O40" s="437"/>
      <c r="P40" s="437"/>
      <c r="Q40" s="437"/>
      <c r="R40" s="437"/>
      <c r="S40" s="437"/>
      <c r="T40" s="437"/>
      <c r="U40" s="437"/>
      <c r="V40" s="437"/>
      <c r="W40" s="437"/>
      <c r="X40" s="437"/>
      <c r="Y40" s="437"/>
    </row>
    <row r="41" spans="1:30" x14ac:dyDescent="0.25">
      <c r="K41" s="321"/>
      <c r="L41" s="321"/>
      <c r="M41" s="321"/>
      <c r="O41" s="436"/>
      <c r="P41" s="436"/>
      <c r="Q41" s="436"/>
      <c r="R41" s="436"/>
      <c r="S41" s="436"/>
      <c r="T41" s="436"/>
      <c r="U41" s="436"/>
      <c r="V41" s="436"/>
      <c r="W41" s="436"/>
      <c r="X41" s="436"/>
      <c r="Y41" s="436"/>
      <c r="Z41" s="436"/>
      <c r="AA41" s="436"/>
      <c r="AB41" s="436"/>
      <c r="AC41" s="436"/>
      <c r="AD41" s="436"/>
    </row>
    <row r="42" spans="1:30" x14ac:dyDescent="0.25">
      <c r="K42" s="321"/>
      <c r="L42" s="321"/>
      <c r="M42" s="321"/>
      <c r="O42" s="436"/>
      <c r="P42" s="454"/>
      <c r="Q42" s="454"/>
      <c r="R42" s="454"/>
      <c r="S42" s="454"/>
      <c r="V42" s="438"/>
    </row>
    <row r="43" spans="1:30" x14ac:dyDescent="0.25">
      <c r="K43" s="321"/>
      <c r="L43" s="321"/>
      <c r="M43" s="321"/>
      <c r="N43" s="438"/>
      <c r="O43" s="436"/>
      <c r="P43" s="439"/>
      <c r="Q43" s="439"/>
      <c r="R43" s="439"/>
      <c r="S43" s="439"/>
    </row>
    <row r="44" spans="1:30" x14ac:dyDescent="0.25">
      <c r="K44" s="321"/>
      <c r="L44" s="321"/>
      <c r="M44" s="321"/>
      <c r="O44" s="436"/>
      <c r="P44" s="454"/>
      <c r="Q44" s="454"/>
      <c r="R44" s="454"/>
      <c r="S44" s="454"/>
      <c r="Y44" s="438"/>
    </row>
    <row r="45" spans="1:30" x14ac:dyDescent="0.25">
      <c r="K45" s="321"/>
      <c r="L45" s="321"/>
      <c r="M45" s="321"/>
      <c r="O45" s="436"/>
      <c r="P45" s="454"/>
      <c r="Q45" s="454"/>
      <c r="R45" s="454"/>
      <c r="S45" s="440"/>
    </row>
    <row r="46" spans="1:30" x14ac:dyDescent="0.25">
      <c r="K46" s="321"/>
      <c r="L46" s="321"/>
      <c r="M46" s="321"/>
      <c r="O46" s="436"/>
    </row>
    <row r="47" spans="1:30" x14ac:dyDescent="0.25">
      <c r="K47" s="321"/>
      <c r="L47" s="321"/>
      <c r="M47" s="321"/>
      <c r="O47" s="436"/>
    </row>
    <row r="48" spans="1:30" x14ac:dyDescent="0.25">
      <c r="K48" s="321"/>
      <c r="L48" s="321"/>
      <c r="M48" s="321"/>
      <c r="O48" s="436"/>
    </row>
    <row r="49" spans="11:15" x14ac:dyDescent="0.25">
      <c r="K49" s="321"/>
      <c r="L49" s="321"/>
      <c r="M49" s="321"/>
      <c r="O49" s="436"/>
    </row>
    <row r="50" spans="11:15" x14ac:dyDescent="0.25">
      <c r="K50" s="321"/>
      <c r="L50" s="321"/>
      <c r="M50" s="321"/>
      <c r="O50" s="436"/>
    </row>
    <row r="51" spans="11:15" x14ac:dyDescent="0.25">
      <c r="K51" s="321"/>
      <c r="L51" s="321"/>
      <c r="M51" s="321"/>
      <c r="O51" s="436"/>
    </row>
    <row r="52" spans="11:15" x14ac:dyDescent="0.25">
      <c r="K52" s="321"/>
      <c r="L52" s="321"/>
      <c r="M52" s="321"/>
      <c r="O52" s="436"/>
    </row>
    <row r="53" spans="11:15" x14ac:dyDescent="0.25">
      <c r="K53" s="321"/>
      <c r="L53" s="321"/>
      <c r="M53" s="321"/>
      <c r="O53" s="436"/>
    </row>
    <row r="54" spans="11:15" x14ac:dyDescent="0.25">
      <c r="K54" s="321"/>
      <c r="L54" s="321"/>
      <c r="M54" s="321"/>
      <c r="O54" s="436"/>
    </row>
    <row r="55" spans="11:15" x14ac:dyDescent="0.25">
      <c r="K55" s="321"/>
      <c r="L55" s="321"/>
      <c r="M55" s="321"/>
      <c r="O55" s="436"/>
    </row>
    <row r="56" spans="11:15" x14ac:dyDescent="0.25">
      <c r="K56" s="321"/>
      <c r="L56" s="321"/>
      <c r="M56" s="321"/>
      <c r="O56" s="436"/>
    </row>
    <row r="57" spans="11:15" x14ac:dyDescent="0.25">
      <c r="K57" s="321"/>
      <c r="L57" s="321"/>
      <c r="M57" s="321"/>
      <c r="O57" s="436"/>
    </row>
    <row r="58" spans="11:15" x14ac:dyDescent="0.25">
      <c r="K58" s="321"/>
      <c r="L58" s="321"/>
      <c r="M58" s="321"/>
      <c r="O58" s="436"/>
    </row>
    <row r="59" spans="11:15" x14ac:dyDescent="0.25">
      <c r="K59" s="321"/>
      <c r="L59" s="321"/>
      <c r="M59" s="321"/>
      <c r="O59" s="436"/>
    </row>
    <row r="60" spans="11:15" x14ac:dyDescent="0.25">
      <c r="K60" s="321"/>
      <c r="L60" s="321"/>
      <c r="M60" s="321"/>
      <c r="O60" s="436"/>
    </row>
    <row r="61" spans="11:15" x14ac:dyDescent="0.25">
      <c r="K61" s="321"/>
      <c r="L61" s="321"/>
      <c r="M61" s="321"/>
      <c r="O61" s="436"/>
    </row>
    <row r="62" spans="11:15" x14ac:dyDescent="0.25">
      <c r="K62" s="321"/>
      <c r="L62" s="321"/>
      <c r="M62" s="321"/>
      <c r="O62" s="436"/>
    </row>
    <row r="63" spans="11:15" x14ac:dyDescent="0.25">
      <c r="K63" s="321"/>
      <c r="L63" s="321"/>
      <c r="M63" s="321"/>
      <c r="O63" s="436"/>
    </row>
    <row r="64" spans="11:15" x14ac:dyDescent="0.25">
      <c r="K64" s="321"/>
      <c r="L64" s="321"/>
      <c r="M64" s="321"/>
      <c r="O64" s="436"/>
    </row>
    <row r="65" spans="11:15" x14ac:dyDescent="0.25">
      <c r="K65" s="321"/>
      <c r="L65" s="321"/>
      <c r="M65" s="321"/>
      <c r="O65" s="436"/>
    </row>
    <row r="66" spans="11:15" x14ac:dyDescent="0.25">
      <c r="K66" s="321"/>
      <c r="L66" s="321"/>
      <c r="M66" s="321"/>
      <c r="O66" s="436"/>
    </row>
    <row r="67" spans="11:15" x14ac:dyDescent="0.25">
      <c r="K67" s="321"/>
      <c r="L67" s="321"/>
      <c r="M67" s="321"/>
      <c r="O67" s="436"/>
    </row>
    <row r="68" spans="11:15" x14ac:dyDescent="0.25">
      <c r="K68" s="321"/>
      <c r="L68" s="321"/>
      <c r="M68" s="321"/>
      <c r="O68" s="436"/>
    </row>
    <row r="69" spans="11:15" x14ac:dyDescent="0.25">
      <c r="K69" s="321"/>
      <c r="L69" s="321"/>
      <c r="M69" s="321"/>
      <c r="O69" s="436"/>
    </row>
    <row r="70" spans="11:15" x14ac:dyDescent="0.25">
      <c r="K70" s="321"/>
      <c r="L70" s="321"/>
      <c r="M70" s="321"/>
      <c r="O70" s="436"/>
    </row>
    <row r="71" spans="11:15" x14ac:dyDescent="0.25">
      <c r="K71" s="321"/>
      <c r="L71" s="321"/>
      <c r="M71" s="321"/>
      <c r="O71" s="436"/>
    </row>
    <row r="72" spans="11:15" x14ac:dyDescent="0.25">
      <c r="K72" s="321"/>
      <c r="L72" s="321"/>
      <c r="M72" s="321"/>
      <c r="O72" s="436"/>
    </row>
    <row r="73" spans="11:15" x14ac:dyDescent="0.25">
      <c r="K73" s="321"/>
      <c r="L73" s="321"/>
      <c r="M73" s="321"/>
      <c r="O73" s="436"/>
    </row>
    <row r="74" spans="11:15" x14ac:dyDescent="0.25">
      <c r="K74" s="321"/>
      <c r="L74" s="321"/>
      <c r="M74" s="321"/>
      <c r="O74" s="436"/>
    </row>
    <row r="75" spans="11:15" x14ac:dyDescent="0.25">
      <c r="K75" s="321"/>
      <c r="L75" s="321"/>
      <c r="M75" s="321"/>
      <c r="O75" s="436"/>
    </row>
    <row r="76" spans="11:15" x14ac:dyDescent="0.25">
      <c r="K76" s="321"/>
      <c r="L76" s="321"/>
      <c r="M76" s="321"/>
      <c r="O76" s="436"/>
    </row>
    <row r="77" spans="11:15" x14ac:dyDescent="0.25">
      <c r="K77" s="321"/>
      <c r="L77" s="321"/>
      <c r="M77" s="321"/>
      <c r="O77" s="436"/>
    </row>
    <row r="78" spans="11:15" x14ac:dyDescent="0.25">
      <c r="K78" s="321"/>
      <c r="L78" s="321"/>
      <c r="M78" s="321"/>
      <c r="O78" s="436"/>
    </row>
    <row r="79" spans="11:15" x14ac:dyDescent="0.25">
      <c r="K79" s="321"/>
      <c r="L79" s="321"/>
      <c r="M79" s="321"/>
      <c r="O79" s="436"/>
    </row>
    <row r="80" spans="11:15" x14ac:dyDescent="0.25">
      <c r="K80" s="321"/>
      <c r="L80" s="321"/>
      <c r="M80" s="321"/>
      <c r="O80" s="436"/>
    </row>
    <row r="81" spans="11:15" x14ac:dyDescent="0.25">
      <c r="K81" s="321"/>
      <c r="L81" s="321"/>
      <c r="M81" s="321"/>
      <c r="O81" s="436"/>
    </row>
  </sheetData>
  <mergeCells count="14">
    <mergeCell ref="P45:R45"/>
    <mergeCell ref="K21:K23"/>
    <mergeCell ref="L30:L37"/>
    <mergeCell ref="A15:B15"/>
    <mergeCell ref="A35:B35"/>
    <mergeCell ref="P39:Q39"/>
    <mergeCell ref="R39:S39"/>
    <mergeCell ref="P42:S42"/>
    <mergeCell ref="D1:I1"/>
    <mergeCell ref="D2:I2"/>
    <mergeCell ref="D3:E3"/>
    <mergeCell ref="G3:H3"/>
    <mergeCell ref="P44:S44"/>
    <mergeCell ref="K11:K13"/>
  </mergeCells>
  <conditionalFormatting sqref="H11:H16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E39">
    <cfRule type="cellIs" dxfId="8" priority="1" operator="greaterThan">
      <formula>0</formula>
    </cfRule>
    <cfRule type="cellIs" dxfId="7" priority="2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65" t="s">
        <v>122</v>
      </c>
      <c r="B1" s="465"/>
      <c r="C1" s="465"/>
      <c r="D1" s="465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107</v>
      </c>
      <c r="M1" s="31" t="s">
        <v>187</v>
      </c>
      <c r="N1" s="74" t="s">
        <v>108</v>
      </c>
      <c r="O1" s="74" t="s">
        <v>109</v>
      </c>
      <c r="P1" s="74" t="s">
        <v>182</v>
      </c>
      <c r="Q1" s="74" t="s">
        <v>86</v>
      </c>
      <c r="R1" s="75" t="s">
        <v>110</v>
      </c>
      <c r="S1" s="75" t="s">
        <v>111</v>
      </c>
      <c r="T1" s="75" t="s">
        <v>182</v>
      </c>
      <c r="U1" s="75" t="s">
        <v>86</v>
      </c>
    </row>
    <row r="2" spans="1:21" x14ac:dyDescent="0.25">
      <c r="A2" s="466" t="s">
        <v>123</v>
      </c>
      <c r="B2" s="467" t="s">
        <v>124</v>
      </c>
      <c r="C2" s="467" t="s">
        <v>125</v>
      </c>
      <c r="D2" s="467" t="s">
        <v>126</v>
      </c>
      <c r="F2" s="104" t="s">
        <v>230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70">
        <v>3</v>
      </c>
      <c r="N2" s="50">
        <v>325000</v>
      </c>
      <c r="O2" s="50">
        <f>L2+N2</f>
        <v>326000</v>
      </c>
      <c r="P2" s="76">
        <v>6.5</v>
      </c>
      <c r="Q2" s="87">
        <f>O2/P2</f>
        <v>50153.846153846156</v>
      </c>
      <c r="R2" s="50">
        <v>2375000</v>
      </c>
      <c r="S2" s="50">
        <f>R2+L2</f>
        <v>2376000</v>
      </c>
      <c r="T2" s="77">
        <f>P2</f>
        <v>6.5</v>
      </c>
      <c r="U2" s="87">
        <f>S2/T2</f>
        <v>365538.46153846156</v>
      </c>
    </row>
    <row r="3" spans="1:21" x14ac:dyDescent="0.25">
      <c r="A3" s="466"/>
      <c r="B3" s="467"/>
      <c r="C3" s="467"/>
      <c r="D3" s="467"/>
      <c r="F3" s="104" t="s">
        <v>231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70">
        <v>3</v>
      </c>
      <c r="N3" s="50">
        <v>335000</v>
      </c>
      <c r="O3" s="50">
        <f>L3+N3</f>
        <v>745000</v>
      </c>
      <c r="P3" s="76">
        <v>8</v>
      </c>
      <c r="Q3" s="87">
        <f>O3/P3</f>
        <v>93125</v>
      </c>
      <c r="R3" s="50">
        <v>2390000</v>
      </c>
      <c r="S3" s="50">
        <f>R3+L3</f>
        <v>2800000</v>
      </c>
      <c r="T3" s="77">
        <f>P3</f>
        <v>8</v>
      </c>
      <c r="U3" s="87">
        <f>S3/T3</f>
        <v>350000</v>
      </c>
    </row>
    <row r="4" spans="1:21" x14ac:dyDescent="0.25">
      <c r="A4" s="83" t="s">
        <v>124</v>
      </c>
      <c r="B4" s="84" t="s">
        <v>127</v>
      </c>
      <c r="C4" s="84" t="s">
        <v>128</v>
      </c>
      <c r="D4" s="84" t="s">
        <v>128</v>
      </c>
      <c r="F4" s="104" t="s">
        <v>232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70">
        <v>3</v>
      </c>
      <c r="N4" s="50">
        <v>259000</v>
      </c>
      <c r="O4" s="50">
        <f>L4+N4</f>
        <v>1504000</v>
      </c>
      <c r="P4" s="76">
        <v>6.5</v>
      </c>
      <c r="Q4" s="87">
        <f>O4/P4</f>
        <v>231384.61538461538</v>
      </c>
      <c r="R4" s="50">
        <v>1850000</v>
      </c>
      <c r="S4" s="50">
        <f>R4+L4</f>
        <v>3095000</v>
      </c>
      <c r="T4" s="77">
        <f>P4</f>
        <v>6.5</v>
      </c>
      <c r="U4" s="87">
        <f>S4/T4</f>
        <v>476153.84615384613</v>
      </c>
    </row>
    <row r="5" spans="1:21" x14ac:dyDescent="0.25">
      <c r="A5" s="85" t="s">
        <v>125</v>
      </c>
      <c r="B5" s="86" t="s">
        <v>129</v>
      </c>
      <c r="C5" s="86" t="s">
        <v>130</v>
      </c>
      <c r="D5" s="86" t="s">
        <v>128</v>
      </c>
      <c r="F5" s="104" t="s">
        <v>233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70">
        <v>3</v>
      </c>
      <c r="N5" s="78">
        <v>337500</v>
      </c>
      <c r="O5" s="50">
        <f>L5+N5</f>
        <v>742500</v>
      </c>
      <c r="P5" s="76">
        <v>8</v>
      </c>
      <c r="Q5" s="87">
        <f>O5/P5</f>
        <v>92812.5</v>
      </c>
      <c r="R5" s="50">
        <v>2400000</v>
      </c>
      <c r="S5" s="50">
        <f>R5+L5</f>
        <v>2805000</v>
      </c>
      <c r="T5" s="77">
        <f>P5</f>
        <v>8</v>
      </c>
      <c r="U5" s="87">
        <f>S5/T5</f>
        <v>350625</v>
      </c>
    </row>
    <row r="6" spans="1:21" x14ac:dyDescent="0.25">
      <c r="A6" s="83" t="s">
        <v>126</v>
      </c>
      <c r="B6" s="84" t="s">
        <v>131</v>
      </c>
      <c r="C6" s="84" t="s">
        <v>132</v>
      </c>
      <c r="D6" s="84" t="s">
        <v>133</v>
      </c>
      <c r="F6" s="104" t="s">
        <v>235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70">
        <v>3</v>
      </c>
      <c r="N6" s="50">
        <v>305000</v>
      </c>
      <c r="O6" s="50">
        <f>L6+N6</f>
        <v>630000</v>
      </c>
      <c r="P6" s="76">
        <v>8</v>
      </c>
      <c r="Q6" s="87">
        <f>O6/P6</f>
        <v>78750</v>
      </c>
      <c r="R6" s="50">
        <v>2200000</v>
      </c>
      <c r="S6" s="50">
        <f>R6+L6</f>
        <v>2525000</v>
      </c>
      <c r="T6" s="77">
        <f>P6</f>
        <v>8</v>
      </c>
      <c r="U6" s="87">
        <f>S6/T6</f>
        <v>315625</v>
      </c>
    </row>
    <row r="7" spans="1:21" x14ac:dyDescent="0.25">
      <c r="A7" s="85" t="s">
        <v>134</v>
      </c>
      <c r="B7" s="86" t="s">
        <v>135</v>
      </c>
      <c r="C7" s="86" t="s">
        <v>136</v>
      </c>
      <c r="D7" s="86" t="s">
        <v>137</v>
      </c>
      <c r="I7" s="61">
        <v>0</v>
      </c>
      <c r="J7" s="62">
        <v>0</v>
      </c>
      <c r="K7" s="50"/>
      <c r="L7" s="50"/>
      <c r="M7" s="70">
        <v>3</v>
      </c>
      <c r="N7" s="50"/>
      <c r="O7" s="50">
        <f t="shared" ref="O7:O14" si="0">L7+N7</f>
        <v>0</v>
      </c>
      <c r="P7" s="76">
        <v>9</v>
      </c>
      <c r="Q7" s="87">
        <f t="shared" ref="Q7:Q14" si="1">O7/P7</f>
        <v>0</v>
      </c>
      <c r="R7" s="50"/>
      <c r="S7" s="50">
        <f t="shared" ref="S7:S14" si="2">R7+L7</f>
        <v>0</v>
      </c>
      <c r="T7" s="77">
        <f t="shared" ref="T7:T14" si="3">P7</f>
        <v>9</v>
      </c>
      <c r="U7" s="87">
        <f t="shared" ref="U7:U14" si="4">S7/T7</f>
        <v>0</v>
      </c>
    </row>
    <row r="8" spans="1:21" x14ac:dyDescent="0.25">
      <c r="A8" s="83" t="s">
        <v>138</v>
      </c>
      <c r="B8" s="84" t="s">
        <v>139</v>
      </c>
      <c r="C8" s="84" t="s">
        <v>140</v>
      </c>
      <c r="D8" s="84" t="s">
        <v>141</v>
      </c>
      <c r="F8" s="104" t="s">
        <v>234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70">
        <v>3</v>
      </c>
      <c r="N8" s="50">
        <v>269000</v>
      </c>
      <c r="O8" s="50">
        <f t="shared" si="0"/>
        <v>589000</v>
      </c>
      <c r="P8" s="76">
        <v>6.5</v>
      </c>
      <c r="Q8" s="87">
        <f t="shared" si="1"/>
        <v>90615.38461538461</v>
      </c>
      <c r="R8" s="50">
        <v>1900000</v>
      </c>
      <c r="S8" s="50">
        <f t="shared" si="2"/>
        <v>2220000</v>
      </c>
      <c r="T8" s="77">
        <f t="shared" si="3"/>
        <v>6.5</v>
      </c>
      <c r="U8" s="87">
        <f t="shared" si="4"/>
        <v>341538.46153846156</v>
      </c>
    </row>
    <row r="9" spans="1:21" x14ac:dyDescent="0.25">
      <c r="A9" s="85" t="s">
        <v>142</v>
      </c>
      <c r="B9" s="86" t="s">
        <v>143</v>
      </c>
      <c r="C9" s="86" t="s">
        <v>144</v>
      </c>
      <c r="D9" s="86" t="s">
        <v>145</v>
      </c>
      <c r="F9" s="104" t="s">
        <v>236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70">
        <v>3</v>
      </c>
      <c r="N9" s="50">
        <v>125000</v>
      </c>
      <c r="O9" s="50">
        <f t="shared" si="0"/>
        <v>1045000</v>
      </c>
      <c r="P9" s="76">
        <v>6.5</v>
      </c>
      <c r="Q9" s="87">
        <f t="shared" si="1"/>
        <v>160769.23076923078</v>
      </c>
      <c r="R9" s="50">
        <v>1050000</v>
      </c>
      <c r="S9" s="50">
        <f t="shared" si="2"/>
        <v>1970000</v>
      </c>
      <c r="T9" s="77">
        <f t="shared" si="3"/>
        <v>6.5</v>
      </c>
      <c r="U9" s="87">
        <f t="shared" si="4"/>
        <v>303076.92307692306</v>
      </c>
    </row>
    <row r="10" spans="1:21" x14ac:dyDescent="0.25">
      <c r="A10" s="83" t="s">
        <v>146</v>
      </c>
      <c r="B10" s="84" t="s">
        <v>147</v>
      </c>
      <c r="C10" s="84" t="s">
        <v>148</v>
      </c>
      <c r="D10" s="84" t="s">
        <v>149</v>
      </c>
      <c r="F10" s="104" t="s">
        <v>237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70">
        <v>3</v>
      </c>
      <c r="N10" s="50">
        <v>305000</v>
      </c>
      <c r="O10" s="50">
        <f t="shared" si="0"/>
        <v>315000</v>
      </c>
      <c r="P10" s="76">
        <v>6.5</v>
      </c>
      <c r="Q10" s="87">
        <f t="shared" si="1"/>
        <v>48461.538461538461</v>
      </c>
      <c r="R10" s="50">
        <v>2200000</v>
      </c>
      <c r="S10" s="50">
        <f t="shared" si="2"/>
        <v>2210000</v>
      </c>
      <c r="T10" s="77">
        <f t="shared" si="3"/>
        <v>6.5</v>
      </c>
      <c r="U10" s="87">
        <f t="shared" si="4"/>
        <v>340000</v>
      </c>
    </row>
    <row r="11" spans="1:21" x14ac:dyDescent="0.25">
      <c r="A11" s="85" t="s">
        <v>150</v>
      </c>
      <c r="B11" s="86" t="s">
        <v>151</v>
      </c>
      <c r="C11" s="86" t="s">
        <v>152</v>
      </c>
      <c r="D11" s="86" t="s">
        <v>153</v>
      </c>
      <c r="F11" s="104" t="s">
        <v>238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70">
        <v>3</v>
      </c>
      <c r="N11" s="78">
        <v>283000</v>
      </c>
      <c r="O11" s="50">
        <f t="shared" si="0"/>
        <v>293000</v>
      </c>
      <c r="P11" s="76">
        <v>6.5</v>
      </c>
      <c r="Q11" s="87">
        <f t="shared" si="1"/>
        <v>45076.923076923078</v>
      </c>
      <c r="R11" s="50">
        <v>2005000</v>
      </c>
      <c r="S11" s="50">
        <f t="shared" si="2"/>
        <v>2015000</v>
      </c>
      <c r="T11" s="77">
        <f t="shared" si="3"/>
        <v>6.5</v>
      </c>
      <c r="U11" s="87">
        <f t="shared" si="4"/>
        <v>310000</v>
      </c>
    </row>
    <row r="12" spans="1:21" x14ac:dyDescent="0.25">
      <c r="A12" s="83" t="s">
        <v>154</v>
      </c>
      <c r="B12" s="84" t="s">
        <v>155</v>
      </c>
      <c r="C12" s="84" t="s">
        <v>156</v>
      </c>
      <c r="D12" s="84" t="s">
        <v>157</v>
      </c>
      <c r="F12" s="104" t="s">
        <v>239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70">
        <v>3</v>
      </c>
      <c r="N12" s="50">
        <v>315000</v>
      </c>
      <c r="O12" s="50">
        <f t="shared" si="0"/>
        <v>320000</v>
      </c>
      <c r="P12" s="76">
        <v>6.5</v>
      </c>
      <c r="Q12" s="87">
        <f t="shared" si="1"/>
        <v>49230.769230769234</v>
      </c>
      <c r="R12" s="50">
        <v>2242290</v>
      </c>
      <c r="S12" s="50">
        <f t="shared" si="2"/>
        <v>2247290</v>
      </c>
      <c r="T12" s="77">
        <f t="shared" si="3"/>
        <v>6.5</v>
      </c>
      <c r="U12" s="87">
        <f t="shared" si="4"/>
        <v>345736.92307692306</v>
      </c>
    </row>
    <row r="13" spans="1:21" x14ac:dyDescent="0.25">
      <c r="A13" s="85" t="s">
        <v>158</v>
      </c>
      <c r="B13" s="86" t="s">
        <v>159</v>
      </c>
      <c r="C13" s="86" t="s">
        <v>160</v>
      </c>
      <c r="D13" s="86" t="s">
        <v>161</v>
      </c>
      <c r="F13" s="104" t="s">
        <v>242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70">
        <v>3</v>
      </c>
      <c r="N13" s="50">
        <v>296000</v>
      </c>
      <c r="O13" s="50">
        <f t="shared" si="0"/>
        <v>421000</v>
      </c>
      <c r="P13" s="76">
        <v>6.5</v>
      </c>
      <c r="Q13" s="87">
        <f t="shared" si="1"/>
        <v>64769.230769230766</v>
      </c>
      <c r="R13" s="50">
        <v>2105000</v>
      </c>
      <c r="S13" s="50">
        <f t="shared" si="2"/>
        <v>2230000</v>
      </c>
      <c r="T13" s="77">
        <f t="shared" si="3"/>
        <v>6.5</v>
      </c>
      <c r="U13" s="87">
        <f t="shared" si="4"/>
        <v>343076.92307692306</v>
      </c>
    </row>
    <row r="14" spans="1:21" x14ac:dyDescent="0.25">
      <c r="A14" s="83" t="s">
        <v>162</v>
      </c>
      <c r="B14" s="84" t="s">
        <v>163</v>
      </c>
      <c r="C14" s="84" t="s">
        <v>164</v>
      </c>
      <c r="D14" s="84" t="s">
        <v>165</v>
      </c>
      <c r="I14" s="61">
        <v>0</v>
      </c>
      <c r="J14" s="62">
        <v>0</v>
      </c>
      <c r="K14" s="50"/>
      <c r="L14" s="50"/>
      <c r="M14" s="70">
        <v>3</v>
      </c>
      <c r="N14" s="50"/>
      <c r="O14" s="50">
        <f t="shared" si="0"/>
        <v>0</v>
      </c>
      <c r="P14" s="76">
        <v>9</v>
      </c>
      <c r="Q14" s="87">
        <f t="shared" si="1"/>
        <v>0</v>
      </c>
      <c r="R14" s="50"/>
      <c r="S14" s="50">
        <f t="shared" si="2"/>
        <v>0</v>
      </c>
      <c r="T14" s="77">
        <f t="shared" si="3"/>
        <v>9</v>
      </c>
      <c r="U14" s="87">
        <f t="shared" si="4"/>
        <v>0</v>
      </c>
    </row>
    <row r="15" spans="1:21" x14ac:dyDescent="0.25">
      <c r="A15" s="85" t="s">
        <v>166</v>
      </c>
      <c r="B15" s="86" t="s">
        <v>167</v>
      </c>
      <c r="C15" s="86" t="s">
        <v>168</v>
      </c>
      <c r="D15" s="86" t="s">
        <v>169</v>
      </c>
      <c r="F15" s="104" t="s">
        <v>344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70">
        <v>2</v>
      </c>
      <c r="N15" s="50">
        <v>296000</v>
      </c>
      <c r="O15" s="50">
        <f t="shared" ref="O15:O46" si="5">L15+N15</f>
        <v>1396000</v>
      </c>
      <c r="P15" s="76">
        <v>8</v>
      </c>
      <c r="Q15" s="87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7">
        <f t="shared" ref="T15:T46" si="8">P15</f>
        <v>8</v>
      </c>
      <c r="U15" s="87">
        <f t="shared" ref="U15:U46" si="9">S15/T15</f>
        <v>400000</v>
      </c>
    </row>
    <row r="16" spans="1:21" x14ac:dyDescent="0.25">
      <c r="A16" s="83" t="s">
        <v>170</v>
      </c>
      <c r="B16" s="84" t="s">
        <v>171</v>
      </c>
      <c r="C16" s="84" t="s">
        <v>172</v>
      </c>
      <c r="D16" s="84" t="s">
        <v>173</v>
      </c>
      <c r="F16" s="104" t="s">
        <v>345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70">
        <v>3</v>
      </c>
      <c r="N16" s="78">
        <v>161800</v>
      </c>
      <c r="O16" s="50">
        <f t="shared" si="5"/>
        <v>3661800</v>
      </c>
      <c r="P16" s="76">
        <v>8</v>
      </c>
      <c r="Q16" s="87">
        <f t="shared" si="6"/>
        <v>457725</v>
      </c>
      <c r="R16" s="50">
        <v>1150800</v>
      </c>
      <c r="S16" s="50">
        <f t="shared" si="7"/>
        <v>4650800</v>
      </c>
      <c r="T16" s="77">
        <f t="shared" si="8"/>
        <v>8</v>
      </c>
      <c r="U16" s="87">
        <f t="shared" si="9"/>
        <v>581350</v>
      </c>
    </row>
    <row r="17" spans="1:21" x14ac:dyDescent="0.25">
      <c r="A17" s="85" t="s">
        <v>174</v>
      </c>
      <c r="B17" s="86" t="s">
        <v>175</v>
      </c>
      <c r="C17" s="86" t="s">
        <v>176</v>
      </c>
      <c r="D17" s="86" t="s">
        <v>177</v>
      </c>
      <c r="I17" s="61">
        <v>0</v>
      </c>
      <c r="J17" s="62">
        <v>0</v>
      </c>
      <c r="K17" s="50"/>
      <c r="L17" s="50"/>
      <c r="M17" s="70">
        <v>3</v>
      </c>
      <c r="N17" s="50"/>
      <c r="O17" s="50">
        <f t="shared" si="5"/>
        <v>0</v>
      </c>
      <c r="P17" s="76">
        <v>9</v>
      </c>
      <c r="Q17" s="87">
        <f t="shared" si="6"/>
        <v>0</v>
      </c>
      <c r="R17" s="50"/>
      <c r="S17" s="50">
        <f t="shared" si="7"/>
        <v>0</v>
      </c>
      <c r="T17" s="77">
        <f t="shared" si="8"/>
        <v>9</v>
      </c>
      <c r="U17" s="87">
        <f t="shared" si="9"/>
        <v>0</v>
      </c>
    </row>
    <row r="18" spans="1:21" x14ac:dyDescent="0.25">
      <c r="A18" s="83" t="s">
        <v>178</v>
      </c>
      <c r="B18" s="84" t="s">
        <v>179</v>
      </c>
      <c r="C18" s="84" t="s">
        <v>180</v>
      </c>
      <c r="D18" s="84" t="s">
        <v>181</v>
      </c>
      <c r="I18" s="61">
        <v>0</v>
      </c>
      <c r="J18" s="62">
        <v>0</v>
      </c>
      <c r="K18" s="50"/>
      <c r="L18" s="50"/>
      <c r="M18" s="70">
        <v>3</v>
      </c>
      <c r="N18" s="50"/>
      <c r="O18" s="50">
        <f t="shared" si="5"/>
        <v>0</v>
      </c>
      <c r="P18" s="76">
        <v>9</v>
      </c>
      <c r="Q18" s="87">
        <f t="shared" si="6"/>
        <v>0</v>
      </c>
      <c r="R18" s="50"/>
      <c r="S18" s="50">
        <f t="shared" si="7"/>
        <v>0</v>
      </c>
      <c r="T18" s="77">
        <f t="shared" si="8"/>
        <v>9</v>
      </c>
      <c r="U18" s="87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70">
        <v>3</v>
      </c>
      <c r="N19" s="50"/>
      <c r="O19" s="50">
        <f t="shared" si="5"/>
        <v>0</v>
      </c>
      <c r="P19" s="76">
        <v>9</v>
      </c>
      <c r="Q19" s="87">
        <f t="shared" si="6"/>
        <v>0</v>
      </c>
      <c r="R19" s="50"/>
      <c r="S19" s="50">
        <f t="shared" si="7"/>
        <v>0</v>
      </c>
      <c r="T19" s="77">
        <f t="shared" si="8"/>
        <v>9</v>
      </c>
      <c r="U19" s="87">
        <f t="shared" si="9"/>
        <v>0</v>
      </c>
    </row>
    <row r="20" spans="1:21" x14ac:dyDescent="0.25">
      <c r="A20" s="10" t="s">
        <v>120</v>
      </c>
      <c r="B20" s="10" t="s">
        <v>121</v>
      </c>
      <c r="I20" s="61">
        <v>0</v>
      </c>
      <c r="J20" s="62">
        <v>0</v>
      </c>
      <c r="K20" s="50"/>
      <c r="L20" s="50"/>
      <c r="M20" s="70">
        <v>3</v>
      </c>
      <c r="N20" s="50"/>
      <c r="O20" s="50">
        <f t="shared" si="5"/>
        <v>0</v>
      </c>
      <c r="P20" s="76">
        <v>9</v>
      </c>
      <c r="Q20" s="87">
        <f t="shared" si="6"/>
        <v>0</v>
      </c>
      <c r="R20" s="50"/>
      <c r="S20" s="50">
        <f t="shared" si="7"/>
        <v>0</v>
      </c>
      <c r="T20" s="77">
        <f t="shared" si="8"/>
        <v>9</v>
      </c>
      <c r="U20" s="87">
        <f t="shared" si="9"/>
        <v>0</v>
      </c>
    </row>
    <row r="21" spans="1:21" x14ac:dyDescent="0.25">
      <c r="A21" s="88" t="s">
        <v>119</v>
      </c>
      <c r="B21" s="88">
        <v>2</v>
      </c>
      <c r="I21" s="61">
        <v>0</v>
      </c>
      <c r="J21" s="62">
        <v>0</v>
      </c>
      <c r="K21" s="50"/>
      <c r="L21" s="50"/>
      <c r="M21" s="70">
        <v>3</v>
      </c>
      <c r="N21" s="78"/>
      <c r="O21" s="50">
        <f t="shared" si="5"/>
        <v>0</v>
      </c>
      <c r="P21" s="76">
        <v>9</v>
      </c>
      <c r="Q21" s="87">
        <f t="shared" si="6"/>
        <v>0</v>
      </c>
      <c r="R21" s="50"/>
      <c r="S21" s="50">
        <f t="shared" si="7"/>
        <v>0</v>
      </c>
      <c r="T21" s="77">
        <f t="shared" si="8"/>
        <v>9</v>
      </c>
      <c r="U21" s="87">
        <f t="shared" si="9"/>
        <v>0</v>
      </c>
    </row>
    <row r="22" spans="1:21" x14ac:dyDescent="0.25">
      <c r="A22" s="88" t="s">
        <v>118</v>
      </c>
      <c r="B22" s="88">
        <v>1.5</v>
      </c>
      <c r="I22" s="61">
        <v>0</v>
      </c>
      <c r="J22" s="62">
        <v>0</v>
      </c>
      <c r="K22" s="50"/>
      <c r="L22" s="50"/>
      <c r="M22" s="70">
        <v>3</v>
      </c>
      <c r="N22" s="50"/>
      <c r="O22" s="50">
        <f t="shared" si="5"/>
        <v>0</v>
      </c>
      <c r="P22" s="76">
        <v>9</v>
      </c>
      <c r="Q22" s="87">
        <f t="shared" si="6"/>
        <v>0</v>
      </c>
      <c r="R22" s="50"/>
      <c r="S22" s="50">
        <f t="shared" si="7"/>
        <v>0</v>
      </c>
      <c r="T22" s="77">
        <f t="shared" si="8"/>
        <v>9</v>
      </c>
      <c r="U22" s="87">
        <f t="shared" si="9"/>
        <v>0</v>
      </c>
    </row>
    <row r="23" spans="1:21" x14ac:dyDescent="0.25">
      <c r="A23" s="88" t="s">
        <v>117</v>
      </c>
      <c r="B23" s="88">
        <v>1.5</v>
      </c>
      <c r="I23" s="61">
        <v>0</v>
      </c>
      <c r="J23" s="62">
        <v>0</v>
      </c>
      <c r="K23" s="50"/>
      <c r="L23" s="50"/>
      <c r="M23" s="70">
        <v>3</v>
      </c>
      <c r="N23" s="50"/>
      <c r="O23" s="50">
        <f t="shared" si="5"/>
        <v>0</v>
      </c>
      <c r="P23" s="76">
        <v>9</v>
      </c>
      <c r="Q23" s="87">
        <f t="shared" si="6"/>
        <v>0</v>
      </c>
      <c r="R23" s="50"/>
      <c r="S23" s="50">
        <f t="shared" si="7"/>
        <v>0</v>
      </c>
      <c r="T23" s="77">
        <f t="shared" si="8"/>
        <v>9</v>
      </c>
      <c r="U23" s="87">
        <f t="shared" si="9"/>
        <v>0</v>
      </c>
    </row>
    <row r="24" spans="1:21" x14ac:dyDescent="0.25">
      <c r="A24" s="88" t="s">
        <v>114</v>
      </c>
      <c r="B24" s="88">
        <v>1.5</v>
      </c>
      <c r="I24" s="61">
        <v>0</v>
      </c>
      <c r="J24" s="62">
        <v>0</v>
      </c>
      <c r="K24" s="50"/>
      <c r="L24" s="50"/>
      <c r="M24" s="70">
        <v>3</v>
      </c>
      <c r="N24" s="50"/>
      <c r="O24" s="50">
        <f t="shared" si="5"/>
        <v>0</v>
      </c>
      <c r="P24" s="76">
        <v>9</v>
      </c>
      <c r="Q24" s="87">
        <f t="shared" si="6"/>
        <v>0</v>
      </c>
      <c r="R24" s="50"/>
      <c r="S24" s="50">
        <f t="shared" si="7"/>
        <v>0</v>
      </c>
      <c r="T24" s="77">
        <f t="shared" si="8"/>
        <v>9</v>
      </c>
      <c r="U24" s="87">
        <f t="shared" si="9"/>
        <v>0</v>
      </c>
    </row>
    <row r="25" spans="1:21" x14ac:dyDescent="0.25">
      <c r="A25" s="88" t="s">
        <v>115</v>
      </c>
      <c r="B25" s="88">
        <v>1.5</v>
      </c>
      <c r="I25" s="61">
        <v>0</v>
      </c>
      <c r="J25" s="62">
        <v>0</v>
      </c>
      <c r="K25" s="50"/>
      <c r="L25" s="50"/>
      <c r="M25" s="70">
        <v>3</v>
      </c>
      <c r="N25" s="50"/>
      <c r="O25" s="50">
        <f t="shared" si="5"/>
        <v>0</v>
      </c>
      <c r="P25" s="76">
        <v>9</v>
      </c>
      <c r="Q25" s="87">
        <f t="shared" si="6"/>
        <v>0</v>
      </c>
      <c r="R25" s="50"/>
      <c r="S25" s="50">
        <f t="shared" si="7"/>
        <v>0</v>
      </c>
      <c r="T25" s="77">
        <f t="shared" si="8"/>
        <v>9</v>
      </c>
      <c r="U25" s="87">
        <f t="shared" si="9"/>
        <v>0</v>
      </c>
    </row>
    <row r="26" spans="1:21" x14ac:dyDescent="0.25">
      <c r="A26" s="88" t="s">
        <v>116</v>
      </c>
      <c r="B26" s="88">
        <v>1.5</v>
      </c>
      <c r="I26" s="61">
        <v>0</v>
      </c>
      <c r="J26" s="62">
        <v>0</v>
      </c>
      <c r="K26" s="50"/>
      <c r="L26" s="50"/>
      <c r="M26" s="70">
        <v>3</v>
      </c>
      <c r="N26" s="78"/>
      <c r="O26" s="50">
        <f t="shared" si="5"/>
        <v>0</v>
      </c>
      <c r="P26" s="76">
        <v>9</v>
      </c>
      <c r="Q26" s="87">
        <f t="shared" si="6"/>
        <v>0</v>
      </c>
      <c r="R26" s="50"/>
      <c r="S26" s="50">
        <f t="shared" si="7"/>
        <v>0</v>
      </c>
      <c r="T26" s="77">
        <f t="shared" si="8"/>
        <v>9</v>
      </c>
      <c r="U26" s="87">
        <f t="shared" si="9"/>
        <v>0</v>
      </c>
    </row>
    <row r="27" spans="1:21" x14ac:dyDescent="0.25">
      <c r="A27" s="88"/>
      <c r="B27" s="88"/>
      <c r="I27" s="61">
        <v>0</v>
      </c>
      <c r="J27" s="62">
        <v>0</v>
      </c>
      <c r="K27" s="50"/>
      <c r="L27" s="50"/>
      <c r="M27" s="70">
        <v>3</v>
      </c>
      <c r="N27" s="50"/>
      <c r="O27" s="50">
        <f t="shared" si="5"/>
        <v>0</v>
      </c>
      <c r="P27" s="76">
        <v>9</v>
      </c>
      <c r="Q27" s="87">
        <f t="shared" si="6"/>
        <v>0</v>
      </c>
      <c r="R27" s="50"/>
      <c r="S27" s="50">
        <f t="shared" si="7"/>
        <v>0</v>
      </c>
      <c r="T27" s="77">
        <f t="shared" si="8"/>
        <v>9</v>
      </c>
      <c r="U27" s="87">
        <f t="shared" si="9"/>
        <v>0</v>
      </c>
    </row>
    <row r="28" spans="1:21" x14ac:dyDescent="0.25">
      <c r="A28" s="10" t="s">
        <v>183</v>
      </c>
      <c r="B28" s="10" t="s">
        <v>184</v>
      </c>
      <c r="I28" s="61">
        <v>0</v>
      </c>
      <c r="J28" s="62">
        <v>0</v>
      </c>
      <c r="K28" s="50"/>
      <c r="L28" s="50"/>
      <c r="M28" s="70">
        <v>3</v>
      </c>
      <c r="N28" s="50"/>
      <c r="O28" s="50">
        <f t="shared" si="5"/>
        <v>0</v>
      </c>
      <c r="P28" s="76">
        <v>9</v>
      </c>
      <c r="Q28" s="87">
        <f t="shared" si="6"/>
        <v>0</v>
      </c>
      <c r="R28" s="50"/>
      <c r="S28" s="50">
        <f t="shared" si="7"/>
        <v>0</v>
      </c>
      <c r="T28" s="77">
        <f t="shared" si="8"/>
        <v>9</v>
      </c>
      <c r="U28" s="87">
        <f t="shared" si="9"/>
        <v>0</v>
      </c>
    </row>
    <row r="29" spans="1:21" x14ac:dyDescent="0.25">
      <c r="A29" s="88" t="s">
        <v>87</v>
      </c>
      <c r="B29" s="34">
        <v>9.5</v>
      </c>
      <c r="I29" s="61">
        <v>0</v>
      </c>
      <c r="J29" s="62">
        <v>0</v>
      </c>
      <c r="K29" s="50"/>
      <c r="L29" s="50"/>
      <c r="M29" s="70">
        <v>3</v>
      </c>
      <c r="N29" s="50"/>
      <c r="O29" s="50">
        <f t="shared" si="5"/>
        <v>0</v>
      </c>
      <c r="P29" s="76">
        <v>9</v>
      </c>
      <c r="Q29" s="87">
        <f t="shared" si="6"/>
        <v>0</v>
      </c>
      <c r="R29" s="50"/>
      <c r="S29" s="50">
        <f t="shared" si="7"/>
        <v>0</v>
      </c>
      <c r="T29" s="77">
        <f t="shared" si="8"/>
        <v>9</v>
      </c>
      <c r="U29" s="87">
        <f t="shared" si="9"/>
        <v>0</v>
      </c>
    </row>
    <row r="30" spans="1:21" x14ac:dyDescent="0.25">
      <c r="A30" s="88" t="s">
        <v>81</v>
      </c>
      <c r="B30" s="34">
        <v>8</v>
      </c>
      <c r="I30" s="61">
        <v>0</v>
      </c>
      <c r="J30" s="62">
        <v>0</v>
      </c>
      <c r="K30" s="50"/>
      <c r="L30" s="50"/>
      <c r="M30" s="70">
        <v>3</v>
      </c>
      <c r="N30" s="50"/>
      <c r="O30" s="50">
        <f t="shared" si="5"/>
        <v>0</v>
      </c>
      <c r="P30" s="76">
        <v>9</v>
      </c>
      <c r="Q30" s="87">
        <f t="shared" si="6"/>
        <v>0</v>
      </c>
      <c r="R30" s="50"/>
      <c r="S30" s="50">
        <f t="shared" si="7"/>
        <v>0</v>
      </c>
      <c r="T30" s="77">
        <f t="shared" si="8"/>
        <v>9</v>
      </c>
      <c r="U30" s="87">
        <f t="shared" si="9"/>
        <v>0</v>
      </c>
    </row>
    <row r="31" spans="1:21" x14ac:dyDescent="0.25">
      <c r="A31" s="88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70">
        <v>3</v>
      </c>
      <c r="N31" s="78"/>
      <c r="O31" s="50">
        <f t="shared" si="5"/>
        <v>0</v>
      </c>
      <c r="P31" s="76">
        <v>9</v>
      </c>
      <c r="Q31" s="87">
        <f t="shared" si="6"/>
        <v>0</v>
      </c>
      <c r="R31" s="50"/>
      <c r="S31" s="50">
        <f t="shared" si="7"/>
        <v>0</v>
      </c>
      <c r="T31" s="77">
        <f t="shared" si="8"/>
        <v>9</v>
      </c>
      <c r="U31" s="87">
        <f t="shared" si="9"/>
        <v>0</v>
      </c>
    </row>
    <row r="32" spans="1:21" x14ac:dyDescent="0.25">
      <c r="A32" s="88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70">
        <v>3</v>
      </c>
      <c r="N32" s="50"/>
      <c r="O32" s="50">
        <f t="shared" si="5"/>
        <v>0</v>
      </c>
      <c r="P32" s="76">
        <v>9</v>
      </c>
      <c r="Q32" s="87">
        <f t="shared" si="6"/>
        <v>0</v>
      </c>
      <c r="R32" s="50"/>
      <c r="S32" s="50">
        <f t="shared" si="7"/>
        <v>0</v>
      </c>
      <c r="T32" s="77">
        <f t="shared" si="8"/>
        <v>9</v>
      </c>
      <c r="U32" s="87">
        <f t="shared" si="9"/>
        <v>0</v>
      </c>
    </row>
    <row r="33" spans="1:21" x14ac:dyDescent="0.25">
      <c r="A33" s="88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70">
        <v>3</v>
      </c>
      <c r="N33" s="50"/>
      <c r="O33" s="50">
        <f t="shared" si="5"/>
        <v>0</v>
      </c>
      <c r="P33" s="76">
        <v>9</v>
      </c>
      <c r="Q33" s="87">
        <f t="shared" si="6"/>
        <v>0</v>
      </c>
      <c r="R33" s="50"/>
      <c r="S33" s="50">
        <f t="shared" si="7"/>
        <v>0</v>
      </c>
      <c r="T33" s="77">
        <f t="shared" si="8"/>
        <v>9</v>
      </c>
      <c r="U33" s="87">
        <f t="shared" si="9"/>
        <v>0</v>
      </c>
    </row>
    <row r="34" spans="1:21" x14ac:dyDescent="0.25">
      <c r="A34" s="88" t="s">
        <v>186</v>
      </c>
      <c r="B34" s="34">
        <v>2</v>
      </c>
      <c r="I34" s="61">
        <v>0</v>
      </c>
      <c r="J34" s="62">
        <v>0</v>
      </c>
      <c r="K34" s="50"/>
      <c r="L34" s="50"/>
      <c r="M34" s="70">
        <v>3</v>
      </c>
      <c r="N34" s="50"/>
      <c r="O34" s="50">
        <f t="shared" si="5"/>
        <v>0</v>
      </c>
      <c r="P34" s="76">
        <v>9</v>
      </c>
      <c r="Q34" s="87">
        <f t="shared" si="6"/>
        <v>0</v>
      </c>
      <c r="R34" s="50"/>
      <c r="S34" s="50">
        <f t="shared" si="7"/>
        <v>0</v>
      </c>
      <c r="T34" s="77">
        <f t="shared" si="8"/>
        <v>9</v>
      </c>
      <c r="U34" s="87">
        <f t="shared" si="9"/>
        <v>0</v>
      </c>
    </row>
    <row r="35" spans="1:21" x14ac:dyDescent="0.25">
      <c r="A35" s="88" t="s">
        <v>185</v>
      </c>
      <c r="B35" s="34">
        <v>1</v>
      </c>
      <c r="I35" s="61">
        <v>0</v>
      </c>
      <c r="J35" s="62">
        <v>0</v>
      </c>
      <c r="K35" s="50"/>
      <c r="L35" s="50"/>
      <c r="M35" s="70">
        <v>3</v>
      </c>
      <c r="N35" s="50"/>
      <c r="O35" s="50">
        <f t="shared" si="5"/>
        <v>0</v>
      </c>
      <c r="P35" s="76">
        <v>9</v>
      </c>
      <c r="Q35" s="87">
        <f t="shared" si="6"/>
        <v>0</v>
      </c>
      <c r="R35" s="50"/>
      <c r="S35" s="50">
        <f t="shared" si="7"/>
        <v>0</v>
      </c>
      <c r="T35" s="77">
        <f t="shared" si="8"/>
        <v>9</v>
      </c>
      <c r="U35" s="87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70">
        <v>3</v>
      </c>
      <c r="N36" s="78"/>
      <c r="O36" s="50">
        <f t="shared" si="5"/>
        <v>0</v>
      </c>
      <c r="P36" s="76">
        <v>9</v>
      </c>
      <c r="Q36" s="87">
        <f t="shared" si="6"/>
        <v>0</v>
      </c>
      <c r="R36" s="50"/>
      <c r="S36" s="50">
        <f t="shared" si="7"/>
        <v>0</v>
      </c>
      <c r="T36" s="77">
        <f t="shared" si="8"/>
        <v>9</v>
      </c>
      <c r="U36" s="87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70">
        <v>3</v>
      </c>
      <c r="N37" s="50"/>
      <c r="O37" s="50">
        <f t="shared" si="5"/>
        <v>0</v>
      </c>
      <c r="P37" s="76">
        <v>9</v>
      </c>
      <c r="Q37" s="87">
        <f t="shared" si="6"/>
        <v>0</v>
      </c>
      <c r="R37" s="50"/>
      <c r="S37" s="50">
        <f t="shared" si="7"/>
        <v>0</v>
      </c>
      <c r="T37" s="77">
        <f t="shared" si="8"/>
        <v>9</v>
      </c>
      <c r="U37" s="87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70">
        <v>3</v>
      </c>
      <c r="N38" s="50"/>
      <c r="O38" s="50">
        <f t="shared" si="5"/>
        <v>0</v>
      </c>
      <c r="P38" s="76">
        <v>9</v>
      </c>
      <c r="Q38" s="87">
        <f t="shared" si="6"/>
        <v>0</v>
      </c>
      <c r="R38" s="50"/>
      <c r="S38" s="50">
        <f t="shared" si="7"/>
        <v>0</v>
      </c>
      <c r="T38" s="77">
        <f t="shared" si="8"/>
        <v>9</v>
      </c>
      <c r="U38" s="87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70">
        <v>3</v>
      </c>
      <c r="N39" s="50"/>
      <c r="O39" s="50">
        <f t="shared" si="5"/>
        <v>0</v>
      </c>
      <c r="P39" s="76">
        <v>9</v>
      </c>
      <c r="Q39" s="87">
        <f t="shared" si="6"/>
        <v>0</v>
      </c>
      <c r="R39" s="50"/>
      <c r="S39" s="50">
        <f t="shared" si="7"/>
        <v>0</v>
      </c>
      <c r="T39" s="77">
        <f t="shared" si="8"/>
        <v>9</v>
      </c>
      <c r="U39" s="87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70">
        <v>3</v>
      </c>
      <c r="N40" s="50"/>
      <c r="O40" s="50">
        <f t="shared" si="5"/>
        <v>0</v>
      </c>
      <c r="P40" s="76">
        <v>9</v>
      </c>
      <c r="Q40" s="87">
        <f t="shared" si="6"/>
        <v>0</v>
      </c>
      <c r="R40" s="50"/>
      <c r="S40" s="50">
        <f t="shared" si="7"/>
        <v>0</v>
      </c>
      <c r="T40" s="77">
        <f t="shared" si="8"/>
        <v>9</v>
      </c>
      <c r="U40" s="87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70">
        <v>3</v>
      </c>
      <c r="N41" s="78"/>
      <c r="O41" s="50">
        <f t="shared" si="5"/>
        <v>0</v>
      </c>
      <c r="P41" s="76">
        <v>9</v>
      </c>
      <c r="Q41" s="87">
        <f t="shared" si="6"/>
        <v>0</v>
      </c>
      <c r="R41" s="50"/>
      <c r="S41" s="50">
        <f t="shared" si="7"/>
        <v>0</v>
      </c>
      <c r="T41" s="77">
        <f t="shared" si="8"/>
        <v>9</v>
      </c>
      <c r="U41" s="87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70">
        <v>3</v>
      </c>
      <c r="N42" s="50"/>
      <c r="O42" s="50">
        <f t="shared" si="5"/>
        <v>0</v>
      </c>
      <c r="P42" s="76">
        <v>9</v>
      </c>
      <c r="Q42" s="87">
        <f t="shared" si="6"/>
        <v>0</v>
      </c>
      <c r="R42" s="50"/>
      <c r="S42" s="50">
        <f t="shared" si="7"/>
        <v>0</v>
      </c>
      <c r="T42" s="77">
        <f t="shared" si="8"/>
        <v>9</v>
      </c>
      <c r="U42" s="87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70">
        <v>3</v>
      </c>
      <c r="N43" s="50"/>
      <c r="O43" s="50">
        <f t="shared" si="5"/>
        <v>0</v>
      </c>
      <c r="P43" s="76">
        <v>9</v>
      </c>
      <c r="Q43" s="87">
        <f t="shared" si="6"/>
        <v>0</v>
      </c>
      <c r="R43" s="50"/>
      <c r="S43" s="50">
        <f t="shared" si="7"/>
        <v>0</v>
      </c>
      <c r="T43" s="77">
        <f t="shared" si="8"/>
        <v>9</v>
      </c>
      <c r="U43" s="87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70">
        <v>3</v>
      </c>
      <c r="N44" s="50"/>
      <c r="O44" s="50">
        <f t="shared" si="5"/>
        <v>0</v>
      </c>
      <c r="P44" s="76">
        <v>9</v>
      </c>
      <c r="Q44" s="87">
        <f t="shared" si="6"/>
        <v>0</v>
      </c>
      <c r="R44" s="50"/>
      <c r="S44" s="50">
        <f t="shared" si="7"/>
        <v>0</v>
      </c>
      <c r="T44" s="77">
        <f t="shared" si="8"/>
        <v>9</v>
      </c>
      <c r="U44" s="87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70">
        <v>3</v>
      </c>
      <c r="N45" s="50"/>
      <c r="O45" s="50">
        <f t="shared" si="5"/>
        <v>0</v>
      </c>
      <c r="P45" s="76">
        <v>9</v>
      </c>
      <c r="Q45" s="87">
        <f t="shared" si="6"/>
        <v>0</v>
      </c>
      <c r="R45" s="50"/>
      <c r="S45" s="50">
        <f t="shared" si="7"/>
        <v>0</v>
      </c>
      <c r="T45" s="77">
        <f t="shared" si="8"/>
        <v>9</v>
      </c>
      <c r="U45" s="87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70">
        <v>3</v>
      </c>
      <c r="N46" s="50"/>
      <c r="O46" s="50">
        <f t="shared" si="5"/>
        <v>0</v>
      </c>
      <c r="P46" s="76">
        <v>9</v>
      </c>
      <c r="Q46" s="87">
        <f t="shared" si="6"/>
        <v>0</v>
      </c>
      <c r="R46" s="50"/>
      <c r="S46" s="50">
        <f t="shared" si="7"/>
        <v>0</v>
      </c>
      <c r="T46" s="77">
        <f t="shared" si="8"/>
        <v>9</v>
      </c>
      <c r="U46" s="87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70">
        <v>3</v>
      </c>
      <c r="N47" s="78"/>
      <c r="O47" s="50">
        <f t="shared" ref="O47:O76" si="10">L47+N47</f>
        <v>0</v>
      </c>
      <c r="P47" s="76">
        <v>9</v>
      </c>
      <c r="Q47" s="87">
        <f t="shared" ref="Q47:Q76" si="11">O47/P47</f>
        <v>0</v>
      </c>
      <c r="R47" s="50"/>
      <c r="S47" s="50">
        <f t="shared" ref="S47:S76" si="12">R47+L47</f>
        <v>0</v>
      </c>
      <c r="T47" s="77">
        <f t="shared" ref="T47:T76" si="13">P47</f>
        <v>9</v>
      </c>
      <c r="U47" s="87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70">
        <v>3</v>
      </c>
      <c r="N48" s="50"/>
      <c r="O48" s="50">
        <f t="shared" si="10"/>
        <v>0</v>
      </c>
      <c r="P48" s="76">
        <v>9</v>
      </c>
      <c r="Q48" s="87">
        <f t="shared" si="11"/>
        <v>0</v>
      </c>
      <c r="R48" s="50"/>
      <c r="S48" s="50">
        <f t="shared" si="12"/>
        <v>0</v>
      </c>
      <c r="T48" s="77">
        <f t="shared" si="13"/>
        <v>9</v>
      </c>
      <c r="U48" s="87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70">
        <v>3</v>
      </c>
      <c r="N49" s="50"/>
      <c r="O49" s="50">
        <f t="shared" si="10"/>
        <v>0</v>
      </c>
      <c r="P49" s="76">
        <v>9</v>
      </c>
      <c r="Q49" s="87">
        <f t="shared" si="11"/>
        <v>0</v>
      </c>
      <c r="R49" s="50"/>
      <c r="S49" s="50">
        <f t="shared" si="12"/>
        <v>0</v>
      </c>
      <c r="T49" s="77">
        <f t="shared" si="13"/>
        <v>9</v>
      </c>
      <c r="U49" s="87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70">
        <v>3</v>
      </c>
      <c r="N50" s="50"/>
      <c r="O50" s="50">
        <f t="shared" si="10"/>
        <v>0</v>
      </c>
      <c r="P50" s="76">
        <v>9</v>
      </c>
      <c r="Q50" s="87">
        <f t="shared" si="11"/>
        <v>0</v>
      </c>
      <c r="R50" s="50"/>
      <c r="S50" s="50">
        <f t="shared" si="12"/>
        <v>0</v>
      </c>
      <c r="T50" s="77">
        <f t="shared" si="13"/>
        <v>9</v>
      </c>
      <c r="U50" s="87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70">
        <v>3</v>
      </c>
      <c r="N51" s="50"/>
      <c r="O51" s="50">
        <f t="shared" si="10"/>
        <v>0</v>
      </c>
      <c r="P51" s="76">
        <v>9</v>
      </c>
      <c r="Q51" s="87">
        <f t="shared" si="11"/>
        <v>0</v>
      </c>
      <c r="R51" s="50"/>
      <c r="S51" s="50">
        <f t="shared" si="12"/>
        <v>0</v>
      </c>
      <c r="T51" s="77">
        <f t="shared" si="13"/>
        <v>9</v>
      </c>
      <c r="U51" s="87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70">
        <v>3</v>
      </c>
      <c r="N52" s="78"/>
      <c r="O52" s="50">
        <f t="shared" si="10"/>
        <v>0</v>
      </c>
      <c r="P52" s="76">
        <v>9</v>
      </c>
      <c r="Q52" s="87">
        <f t="shared" si="11"/>
        <v>0</v>
      </c>
      <c r="R52" s="50"/>
      <c r="S52" s="50">
        <f t="shared" si="12"/>
        <v>0</v>
      </c>
      <c r="T52" s="77">
        <f t="shared" si="13"/>
        <v>9</v>
      </c>
      <c r="U52" s="87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70">
        <v>3</v>
      </c>
      <c r="N53" s="50"/>
      <c r="O53" s="50">
        <f t="shared" si="10"/>
        <v>0</v>
      </c>
      <c r="P53" s="76">
        <v>9</v>
      </c>
      <c r="Q53" s="87">
        <f t="shared" si="11"/>
        <v>0</v>
      </c>
      <c r="R53" s="50"/>
      <c r="S53" s="50">
        <f t="shared" si="12"/>
        <v>0</v>
      </c>
      <c r="T53" s="77">
        <f t="shared" si="13"/>
        <v>9</v>
      </c>
      <c r="U53" s="87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70">
        <v>3</v>
      </c>
      <c r="N54" s="50"/>
      <c r="O54" s="50">
        <f t="shared" si="10"/>
        <v>0</v>
      </c>
      <c r="P54" s="76">
        <v>9</v>
      </c>
      <c r="Q54" s="87">
        <f t="shared" si="11"/>
        <v>0</v>
      </c>
      <c r="R54" s="50"/>
      <c r="S54" s="50">
        <f t="shared" si="12"/>
        <v>0</v>
      </c>
      <c r="T54" s="77">
        <f t="shared" si="13"/>
        <v>9</v>
      </c>
      <c r="U54" s="87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70">
        <v>3</v>
      </c>
      <c r="N55" s="50"/>
      <c r="O55" s="50">
        <f t="shared" si="10"/>
        <v>0</v>
      </c>
      <c r="P55" s="76">
        <v>9</v>
      </c>
      <c r="Q55" s="87">
        <f t="shared" si="11"/>
        <v>0</v>
      </c>
      <c r="R55" s="50"/>
      <c r="S55" s="50">
        <f t="shared" si="12"/>
        <v>0</v>
      </c>
      <c r="T55" s="77">
        <f t="shared" si="13"/>
        <v>9</v>
      </c>
      <c r="U55" s="87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70">
        <v>3</v>
      </c>
      <c r="N56" s="50"/>
      <c r="O56" s="50">
        <f t="shared" si="10"/>
        <v>0</v>
      </c>
      <c r="P56" s="76">
        <v>9</v>
      </c>
      <c r="Q56" s="87">
        <f t="shared" si="11"/>
        <v>0</v>
      </c>
      <c r="R56" s="50"/>
      <c r="S56" s="50">
        <f t="shared" si="12"/>
        <v>0</v>
      </c>
      <c r="T56" s="77">
        <f t="shared" si="13"/>
        <v>9</v>
      </c>
      <c r="U56" s="87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70">
        <v>3</v>
      </c>
      <c r="N57" s="50"/>
      <c r="O57" s="50">
        <f t="shared" si="10"/>
        <v>0</v>
      </c>
      <c r="P57" s="76">
        <v>9</v>
      </c>
      <c r="Q57" s="87">
        <f t="shared" si="11"/>
        <v>0</v>
      </c>
      <c r="R57" s="50"/>
      <c r="S57" s="50">
        <f t="shared" si="12"/>
        <v>0</v>
      </c>
      <c r="T57" s="77">
        <f t="shared" si="13"/>
        <v>9</v>
      </c>
      <c r="U57" s="87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70">
        <v>3</v>
      </c>
      <c r="N58" s="78"/>
      <c r="O58" s="50">
        <f t="shared" si="10"/>
        <v>0</v>
      </c>
      <c r="P58" s="76">
        <v>9</v>
      </c>
      <c r="Q58" s="87">
        <f t="shared" si="11"/>
        <v>0</v>
      </c>
      <c r="R58" s="50"/>
      <c r="S58" s="50">
        <f t="shared" si="12"/>
        <v>0</v>
      </c>
      <c r="T58" s="77">
        <f t="shared" si="13"/>
        <v>9</v>
      </c>
      <c r="U58" s="87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70">
        <v>3</v>
      </c>
      <c r="N59" s="50"/>
      <c r="O59" s="50">
        <f t="shared" si="10"/>
        <v>0</v>
      </c>
      <c r="P59" s="76">
        <v>9</v>
      </c>
      <c r="Q59" s="87">
        <f t="shared" si="11"/>
        <v>0</v>
      </c>
      <c r="R59" s="50"/>
      <c r="S59" s="50">
        <f t="shared" si="12"/>
        <v>0</v>
      </c>
      <c r="T59" s="77">
        <f t="shared" si="13"/>
        <v>9</v>
      </c>
      <c r="U59" s="87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70">
        <v>3</v>
      </c>
      <c r="N60" s="50"/>
      <c r="O60" s="50">
        <f t="shared" si="10"/>
        <v>0</v>
      </c>
      <c r="P60" s="76">
        <v>9</v>
      </c>
      <c r="Q60" s="87">
        <f t="shared" si="11"/>
        <v>0</v>
      </c>
      <c r="R60" s="50"/>
      <c r="S60" s="50">
        <f t="shared" si="12"/>
        <v>0</v>
      </c>
      <c r="T60" s="77">
        <f t="shared" si="13"/>
        <v>9</v>
      </c>
      <c r="U60" s="87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70">
        <v>3</v>
      </c>
      <c r="N61" s="50"/>
      <c r="O61" s="50">
        <f t="shared" si="10"/>
        <v>0</v>
      </c>
      <c r="P61" s="76">
        <v>9</v>
      </c>
      <c r="Q61" s="87">
        <f t="shared" si="11"/>
        <v>0</v>
      </c>
      <c r="R61" s="50"/>
      <c r="S61" s="50">
        <f t="shared" si="12"/>
        <v>0</v>
      </c>
      <c r="T61" s="77">
        <f t="shared" si="13"/>
        <v>9</v>
      </c>
      <c r="U61" s="87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70">
        <v>3</v>
      </c>
      <c r="N62" s="50"/>
      <c r="O62" s="50">
        <f t="shared" si="10"/>
        <v>0</v>
      </c>
      <c r="P62" s="76">
        <v>9</v>
      </c>
      <c r="Q62" s="87">
        <f t="shared" si="11"/>
        <v>0</v>
      </c>
      <c r="R62" s="50"/>
      <c r="S62" s="50">
        <f t="shared" si="12"/>
        <v>0</v>
      </c>
      <c r="T62" s="77">
        <f t="shared" si="13"/>
        <v>9</v>
      </c>
      <c r="U62" s="87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70">
        <v>3</v>
      </c>
      <c r="N63" s="78"/>
      <c r="O63" s="50">
        <f t="shared" si="10"/>
        <v>0</v>
      </c>
      <c r="P63" s="76">
        <v>9</v>
      </c>
      <c r="Q63" s="87">
        <f t="shared" si="11"/>
        <v>0</v>
      </c>
      <c r="R63" s="50"/>
      <c r="S63" s="50">
        <f t="shared" si="12"/>
        <v>0</v>
      </c>
      <c r="T63" s="77">
        <f t="shared" si="13"/>
        <v>9</v>
      </c>
      <c r="U63" s="87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70">
        <v>3</v>
      </c>
      <c r="N64" s="50"/>
      <c r="O64" s="50">
        <f t="shared" si="10"/>
        <v>0</v>
      </c>
      <c r="P64" s="76">
        <v>9</v>
      </c>
      <c r="Q64" s="87">
        <f t="shared" si="11"/>
        <v>0</v>
      </c>
      <c r="R64" s="50"/>
      <c r="S64" s="50">
        <f t="shared" si="12"/>
        <v>0</v>
      </c>
      <c r="T64" s="77">
        <f t="shared" si="13"/>
        <v>9</v>
      </c>
      <c r="U64" s="87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70">
        <v>3</v>
      </c>
      <c r="N65" s="50"/>
      <c r="O65" s="50">
        <f t="shared" si="10"/>
        <v>0</v>
      </c>
      <c r="P65" s="76">
        <v>9</v>
      </c>
      <c r="Q65" s="87">
        <f t="shared" si="11"/>
        <v>0</v>
      </c>
      <c r="R65" s="50"/>
      <c r="S65" s="50">
        <f t="shared" si="12"/>
        <v>0</v>
      </c>
      <c r="T65" s="77">
        <f t="shared" si="13"/>
        <v>9</v>
      </c>
      <c r="U65" s="87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70">
        <v>3</v>
      </c>
      <c r="N66" s="50"/>
      <c r="O66" s="50">
        <f t="shared" si="10"/>
        <v>0</v>
      </c>
      <c r="P66" s="76">
        <v>9</v>
      </c>
      <c r="Q66" s="87">
        <f t="shared" si="11"/>
        <v>0</v>
      </c>
      <c r="R66" s="50"/>
      <c r="S66" s="50">
        <f t="shared" si="12"/>
        <v>0</v>
      </c>
      <c r="T66" s="77">
        <f t="shared" si="13"/>
        <v>9</v>
      </c>
      <c r="U66" s="87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70">
        <v>3</v>
      </c>
      <c r="N67" s="50"/>
      <c r="O67" s="50">
        <f t="shared" si="10"/>
        <v>0</v>
      </c>
      <c r="P67" s="76">
        <v>9</v>
      </c>
      <c r="Q67" s="87">
        <f t="shared" si="11"/>
        <v>0</v>
      </c>
      <c r="R67" s="50"/>
      <c r="S67" s="50">
        <f t="shared" si="12"/>
        <v>0</v>
      </c>
      <c r="T67" s="77">
        <f t="shared" si="13"/>
        <v>9</v>
      </c>
      <c r="U67" s="87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70">
        <v>3</v>
      </c>
      <c r="N68" s="50"/>
      <c r="O68" s="50">
        <f t="shared" si="10"/>
        <v>0</v>
      </c>
      <c r="P68" s="76">
        <v>9</v>
      </c>
      <c r="Q68" s="87">
        <f t="shared" si="11"/>
        <v>0</v>
      </c>
      <c r="R68" s="50"/>
      <c r="S68" s="50">
        <f t="shared" si="12"/>
        <v>0</v>
      </c>
      <c r="T68" s="77">
        <f t="shared" si="13"/>
        <v>9</v>
      </c>
      <c r="U68" s="87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70">
        <v>3</v>
      </c>
      <c r="N69" s="78"/>
      <c r="O69" s="50">
        <f t="shared" si="10"/>
        <v>0</v>
      </c>
      <c r="P69" s="76">
        <v>9</v>
      </c>
      <c r="Q69" s="87">
        <f t="shared" si="11"/>
        <v>0</v>
      </c>
      <c r="R69" s="50"/>
      <c r="S69" s="50">
        <f t="shared" si="12"/>
        <v>0</v>
      </c>
      <c r="T69" s="77">
        <f t="shared" si="13"/>
        <v>9</v>
      </c>
      <c r="U69" s="87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70">
        <v>3</v>
      </c>
      <c r="N70" s="50"/>
      <c r="O70" s="50">
        <f t="shared" si="10"/>
        <v>0</v>
      </c>
      <c r="P70" s="76">
        <v>9</v>
      </c>
      <c r="Q70" s="87">
        <f t="shared" si="11"/>
        <v>0</v>
      </c>
      <c r="R70" s="50"/>
      <c r="S70" s="50">
        <f t="shared" si="12"/>
        <v>0</v>
      </c>
      <c r="T70" s="77">
        <f t="shared" si="13"/>
        <v>9</v>
      </c>
      <c r="U70" s="87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70">
        <v>3</v>
      </c>
      <c r="N71" s="50"/>
      <c r="O71" s="50">
        <f t="shared" si="10"/>
        <v>0</v>
      </c>
      <c r="P71" s="76">
        <v>9</v>
      </c>
      <c r="Q71" s="87">
        <f t="shared" si="11"/>
        <v>0</v>
      </c>
      <c r="R71" s="50"/>
      <c r="S71" s="50">
        <f t="shared" si="12"/>
        <v>0</v>
      </c>
      <c r="T71" s="77">
        <f t="shared" si="13"/>
        <v>9</v>
      </c>
      <c r="U71" s="87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70">
        <v>3</v>
      </c>
      <c r="N72" s="50"/>
      <c r="O72" s="50">
        <f t="shared" si="10"/>
        <v>0</v>
      </c>
      <c r="P72" s="76">
        <v>9</v>
      </c>
      <c r="Q72" s="87">
        <f t="shared" si="11"/>
        <v>0</v>
      </c>
      <c r="R72" s="50"/>
      <c r="S72" s="50">
        <f t="shared" si="12"/>
        <v>0</v>
      </c>
      <c r="T72" s="77">
        <f t="shared" si="13"/>
        <v>9</v>
      </c>
      <c r="U72" s="87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70">
        <v>3</v>
      </c>
      <c r="N73" s="50"/>
      <c r="O73" s="50">
        <f t="shared" si="10"/>
        <v>0</v>
      </c>
      <c r="P73" s="76">
        <v>9</v>
      </c>
      <c r="Q73" s="87">
        <f t="shared" si="11"/>
        <v>0</v>
      </c>
      <c r="R73" s="50"/>
      <c r="S73" s="50">
        <f t="shared" si="12"/>
        <v>0</v>
      </c>
      <c r="T73" s="77">
        <f t="shared" si="13"/>
        <v>9</v>
      </c>
      <c r="U73" s="87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70">
        <v>3</v>
      </c>
      <c r="N74" s="78"/>
      <c r="O74" s="50">
        <f t="shared" si="10"/>
        <v>0</v>
      </c>
      <c r="P74" s="76">
        <v>9</v>
      </c>
      <c r="Q74" s="87">
        <f t="shared" si="11"/>
        <v>0</v>
      </c>
      <c r="R74" s="50"/>
      <c r="S74" s="50">
        <f t="shared" si="12"/>
        <v>0</v>
      </c>
      <c r="T74" s="77">
        <f t="shared" si="13"/>
        <v>9</v>
      </c>
      <c r="U74" s="87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70">
        <v>3</v>
      </c>
      <c r="N75" s="50"/>
      <c r="O75" s="50">
        <f t="shared" si="10"/>
        <v>0</v>
      </c>
      <c r="P75" s="76">
        <v>9</v>
      </c>
      <c r="Q75" s="87">
        <f t="shared" si="11"/>
        <v>0</v>
      </c>
      <c r="R75" s="50"/>
      <c r="S75" s="50">
        <f t="shared" si="12"/>
        <v>0</v>
      </c>
      <c r="T75" s="77">
        <f t="shared" si="13"/>
        <v>9</v>
      </c>
      <c r="U75" s="87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70">
        <v>3</v>
      </c>
      <c r="N76" s="50"/>
      <c r="O76" s="50">
        <f t="shared" si="10"/>
        <v>0</v>
      </c>
      <c r="P76" s="76">
        <v>9</v>
      </c>
      <c r="Q76" s="87">
        <f t="shared" si="11"/>
        <v>0</v>
      </c>
      <c r="R76" s="50"/>
      <c r="S76" s="50">
        <f t="shared" si="12"/>
        <v>0</v>
      </c>
      <c r="T76" s="77">
        <f t="shared" si="13"/>
        <v>9</v>
      </c>
      <c r="U76" s="87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L28" sqref="L28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1" t="s">
        <v>214</v>
      </c>
      <c r="F1" s="92" t="s">
        <v>215</v>
      </c>
      <c r="G1" s="93"/>
      <c r="H1" s="93"/>
      <c r="I1" s="94" t="s">
        <v>214</v>
      </c>
      <c r="J1" s="95" t="s">
        <v>215</v>
      </c>
      <c r="K1" s="52"/>
      <c r="P1" s="91" t="s">
        <v>214</v>
      </c>
      <c r="Q1" s="92" t="s">
        <v>215</v>
      </c>
      <c r="R1" s="91"/>
      <c r="S1" s="92"/>
    </row>
    <row r="2" spans="1:19" x14ac:dyDescent="0.25">
      <c r="A2" s="96" t="s">
        <v>3</v>
      </c>
      <c r="B2" s="96" t="s">
        <v>216</v>
      </c>
      <c r="C2" s="96" t="s">
        <v>217</v>
      </c>
      <c r="D2" s="96" t="s">
        <v>18</v>
      </c>
      <c r="E2" s="91" t="s">
        <v>8</v>
      </c>
      <c r="F2" s="92" t="s">
        <v>8</v>
      </c>
      <c r="G2" s="93" t="s">
        <v>7</v>
      </c>
      <c r="H2" s="93" t="s">
        <v>7</v>
      </c>
      <c r="I2" s="94" t="s">
        <v>218</v>
      </c>
      <c r="J2" s="95" t="s">
        <v>218</v>
      </c>
      <c r="K2" s="52"/>
      <c r="P2" s="91" t="s">
        <v>8</v>
      </c>
      <c r="Q2" s="92" t="s">
        <v>8</v>
      </c>
      <c r="R2" s="91" t="s">
        <v>7</v>
      </c>
      <c r="S2" s="92" t="s">
        <v>7</v>
      </c>
    </row>
    <row r="3" spans="1:19" x14ac:dyDescent="0.25">
      <c r="A3" s="97" t="str">
        <f>Plantilla!D4</f>
        <v>Cosme Fonteboa</v>
      </c>
      <c r="B3" s="98">
        <f>Plantilla!E4</f>
        <v>22</v>
      </c>
      <c r="C3" s="98">
        <f>Plantilla!H4</f>
        <v>4</v>
      </c>
      <c r="D3" s="99">
        <f>Plantilla!I4</f>
        <v>4.5999999999999996</v>
      </c>
      <c r="E3" s="100">
        <f>D3</f>
        <v>4.5999999999999996</v>
      </c>
      <c r="F3" s="100">
        <f>E3+0.1</f>
        <v>4.6999999999999993</v>
      </c>
      <c r="G3" s="100">
        <f>C3</f>
        <v>4</v>
      </c>
      <c r="H3" s="100">
        <f>G3+0.99</f>
        <v>4.99</v>
      </c>
      <c r="I3" s="101">
        <f>G3*G3*E3</f>
        <v>73.599999999999994</v>
      </c>
      <c r="J3" s="101">
        <f>H3*H3*F3</f>
        <v>117.03046999999999</v>
      </c>
      <c r="K3" s="102"/>
      <c r="N3" s="46" t="s">
        <v>218</v>
      </c>
      <c r="O3" t="str">
        <f>A12</f>
        <v>Valeri Gomis</v>
      </c>
      <c r="P3" s="103">
        <f>E12</f>
        <v>4.2</v>
      </c>
      <c r="Q3" s="103">
        <f t="shared" ref="Q3:S3" si="0">F12</f>
        <v>4.3</v>
      </c>
      <c r="R3" s="103">
        <f t="shared" si="0"/>
        <v>6</v>
      </c>
      <c r="S3" s="103">
        <f t="shared" si="0"/>
        <v>6.99</v>
      </c>
    </row>
    <row r="4" spans="1:19" x14ac:dyDescent="0.25">
      <c r="A4" s="97" t="str">
        <f>Plantilla!D5</f>
        <v>Nicolae Hornet</v>
      </c>
      <c r="B4" s="98">
        <f>Plantilla!E5</f>
        <v>22</v>
      </c>
      <c r="C4" s="98">
        <f>Plantilla!H5</f>
        <v>5</v>
      </c>
      <c r="D4" s="99">
        <f>Plantilla!I5</f>
        <v>1.4</v>
      </c>
      <c r="E4" s="100">
        <f t="shared" ref="E4:E20" si="1">D4</f>
        <v>1.4</v>
      </c>
      <c r="F4" s="100">
        <f t="shared" ref="F4:F20" si="2">E4+0.1</f>
        <v>1.5</v>
      </c>
      <c r="G4" s="100">
        <f t="shared" ref="G4:G20" si="3">C4</f>
        <v>5</v>
      </c>
      <c r="H4" s="100">
        <f t="shared" ref="H4:H20" si="4">G4+0.99</f>
        <v>5.99</v>
      </c>
      <c r="I4" s="101">
        <f t="shared" ref="I4:I20" si="5">G4*G4*E4</f>
        <v>35</v>
      </c>
      <c r="J4" s="101">
        <f t="shared" ref="J4:J20" si="6">H4*H4*F4</f>
        <v>53.820150000000012</v>
      </c>
      <c r="K4" s="102"/>
      <c r="O4" t="str">
        <f>A5</f>
        <v>Miguel Fernández</v>
      </c>
      <c r="P4" s="103">
        <f>E5</f>
        <v>2.6</v>
      </c>
      <c r="Q4" s="103">
        <f t="shared" ref="Q4:S4" si="7">F5</f>
        <v>2.7</v>
      </c>
      <c r="R4" s="103">
        <f t="shared" si="7"/>
        <v>5</v>
      </c>
      <c r="S4" s="103">
        <f t="shared" si="7"/>
        <v>5.99</v>
      </c>
    </row>
    <row r="5" spans="1:19" x14ac:dyDescent="0.25">
      <c r="A5" s="97" t="str">
        <f>Plantilla!D6</f>
        <v>Miguel Fernández</v>
      </c>
      <c r="B5" s="98">
        <f>Plantilla!E6</f>
        <v>22</v>
      </c>
      <c r="C5" s="98">
        <f>Plantilla!H6</f>
        <v>5</v>
      </c>
      <c r="D5" s="99">
        <f>Plantilla!I6</f>
        <v>2.6</v>
      </c>
      <c r="E5" s="100">
        <f t="shared" si="1"/>
        <v>2.6</v>
      </c>
      <c r="F5" s="100">
        <f t="shared" si="2"/>
        <v>2.7</v>
      </c>
      <c r="G5" s="100">
        <f t="shared" si="3"/>
        <v>5</v>
      </c>
      <c r="H5" s="100">
        <f t="shared" si="4"/>
        <v>5.99</v>
      </c>
      <c r="I5" s="101">
        <f t="shared" si="5"/>
        <v>65</v>
      </c>
      <c r="J5" s="101">
        <f t="shared" si="6"/>
        <v>96.876270000000019</v>
      </c>
      <c r="K5" s="102"/>
      <c r="L5" s="81"/>
      <c r="O5" t="str">
        <f>A3</f>
        <v>Cosme Fonteboa</v>
      </c>
      <c r="P5" s="103">
        <f>E3</f>
        <v>4.5999999999999996</v>
      </c>
      <c r="Q5" s="103">
        <f t="shared" ref="Q5:S5" si="8">F3</f>
        <v>4.6999999999999993</v>
      </c>
      <c r="R5" s="103">
        <f t="shared" si="8"/>
        <v>4</v>
      </c>
      <c r="S5" s="103">
        <f t="shared" si="8"/>
        <v>4.99</v>
      </c>
    </row>
    <row r="6" spans="1:19" x14ac:dyDescent="0.25">
      <c r="A6" s="97" t="str">
        <f>Plantilla!D7</f>
        <v>Iván Real Figueroa</v>
      </c>
      <c r="B6" s="98">
        <f>Plantilla!E7</f>
        <v>22</v>
      </c>
      <c r="C6" s="98">
        <f>Plantilla!H7</f>
        <v>4</v>
      </c>
      <c r="D6" s="99">
        <f>Plantilla!I7</f>
        <v>3.6</v>
      </c>
      <c r="E6" s="100">
        <f t="shared" si="1"/>
        <v>3.6</v>
      </c>
      <c r="F6" s="100">
        <f t="shared" si="2"/>
        <v>3.7</v>
      </c>
      <c r="G6" s="100">
        <f t="shared" si="3"/>
        <v>4</v>
      </c>
      <c r="H6" s="100">
        <f t="shared" si="4"/>
        <v>4.99</v>
      </c>
      <c r="I6" s="101">
        <f t="shared" si="5"/>
        <v>57.6</v>
      </c>
      <c r="J6" s="101">
        <f t="shared" si="6"/>
        <v>92.130370000000013</v>
      </c>
      <c r="K6" s="102"/>
      <c r="O6" t="str">
        <f>A7</f>
        <v>Berto Abandero</v>
      </c>
      <c r="P6" s="103">
        <f>E7</f>
        <v>3.8</v>
      </c>
      <c r="Q6" s="103">
        <f t="shared" ref="Q6:S6" si="9">F7</f>
        <v>3.9</v>
      </c>
      <c r="R6" s="103">
        <f t="shared" si="9"/>
        <v>1</v>
      </c>
      <c r="S6" s="103">
        <f t="shared" si="9"/>
        <v>1.99</v>
      </c>
    </row>
    <row r="7" spans="1:19" x14ac:dyDescent="0.25">
      <c r="A7" s="97" t="str">
        <f>Plantilla!D8</f>
        <v>Berto Abandero</v>
      </c>
      <c r="B7" s="98">
        <f>Plantilla!E8</f>
        <v>22</v>
      </c>
      <c r="C7" s="98">
        <f>Plantilla!H8</f>
        <v>1</v>
      </c>
      <c r="D7" s="99">
        <f>Plantilla!I8</f>
        <v>3.8</v>
      </c>
      <c r="E7" s="100">
        <f t="shared" si="1"/>
        <v>3.8</v>
      </c>
      <c r="F7" s="100">
        <f t="shared" si="2"/>
        <v>3.9</v>
      </c>
      <c r="G7" s="100">
        <f t="shared" si="3"/>
        <v>1</v>
      </c>
      <c r="H7" s="100">
        <f t="shared" si="4"/>
        <v>1.99</v>
      </c>
      <c r="I7" s="101">
        <f t="shared" si="5"/>
        <v>3.8</v>
      </c>
      <c r="J7" s="101">
        <f t="shared" si="6"/>
        <v>15.44439</v>
      </c>
      <c r="K7" s="102"/>
      <c r="O7" t="str">
        <f>A6</f>
        <v>Iván Real Figueroa</v>
      </c>
      <c r="P7" s="103">
        <f>E6</f>
        <v>3.6</v>
      </c>
      <c r="Q7" s="103">
        <f t="shared" ref="Q7:S7" si="10">F6</f>
        <v>3.7</v>
      </c>
      <c r="R7" s="103">
        <f t="shared" si="10"/>
        <v>4</v>
      </c>
      <c r="S7" s="103">
        <f t="shared" si="10"/>
        <v>4.99</v>
      </c>
    </row>
    <row r="8" spans="1:19" x14ac:dyDescent="0.25">
      <c r="A8" s="97" t="str">
        <f>Plantilla!D9</f>
        <v>Guillermo Pedrajas</v>
      </c>
      <c r="B8" s="98">
        <f>Plantilla!E9</f>
        <v>22</v>
      </c>
      <c r="C8" s="98">
        <f>Plantilla!H9</f>
        <v>4</v>
      </c>
      <c r="D8" s="99">
        <f>Plantilla!I9</f>
        <v>4.4000000000000004</v>
      </c>
      <c r="E8" s="100">
        <f t="shared" si="1"/>
        <v>4.4000000000000004</v>
      </c>
      <c r="F8" s="100">
        <f t="shared" si="2"/>
        <v>4.5</v>
      </c>
      <c r="G8" s="100">
        <f t="shared" si="3"/>
        <v>4</v>
      </c>
      <c r="H8" s="100">
        <f t="shared" si="4"/>
        <v>4.99</v>
      </c>
      <c r="I8" s="101">
        <f t="shared" si="5"/>
        <v>70.400000000000006</v>
      </c>
      <c r="J8" s="101">
        <f t="shared" si="6"/>
        <v>112.05045000000001</v>
      </c>
      <c r="K8" s="102"/>
      <c r="O8" t="str">
        <f>A10</f>
        <v>Francesc Añigas</v>
      </c>
      <c r="P8" s="103">
        <f>E10</f>
        <v>4.0999999999999996</v>
      </c>
      <c r="Q8" s="103">
        <f t="shared" ref="Q8:S8" si="11">F10</f>
        <v>4.1999999999999993</v>
      </c>
      <c r="R8" s="103">
        <f t="shared" si="11"/>
        <v>5</v>
      </c>
      <c r="S8" s="103">
        <f t="shared" si="11"/>
        <v>5.99</v>
      </c>
    </row>
    <row r="9" spans="1:19" x14ac:dyDescent="0.25">
      <c r="A9" s="97" t="str">
        <f>Plantilla!D10</f>
        <v>Eckardt Hägerling</v>
      </c>
      <c r="B9" s="98">
        <f>Plantilla!E10</f>
        <v>22</v>
      </c>
      <c r="C9" s="98">
        <f>Plantilla!H10</f>
        <v>3</v>
      </c>
      <c r="D9" s="99">
        <f>Plantilla!I10</f>
        <v>2.2000000000000002</v>
      </c>
      <c r="E9" s="100">
        <f t="shared" si="1"/>
        <v>2.2000000000000002</v>
      </c>
      <c r="F9" s="100">
        <f t="shared" si="2"/>
        <v>2.3000000000000003</v>
      </c>
      <c r="G9" s="100">
        <f t="shared" si="3"/>
        <v>3</v>
      </c>
      <c r="H9" s="100">
        <f t="shared" si="4"/>
        <v>3.99</v>
      </c>
      <c r="I9" s="101">
        <f t="shared" si="5"/>
        <v>19.8</v>
      </c>
      <c r="J9" s="101">
        <f t="shared" si="6"/>
        <v>36.616230000000009</v>
      </c>
      <c r="K9" s="102"/>
      <c r="O9" t="str">
        <f>A15</f>
        <v>David Garcia-Spiess</v>
      </c>
      <c r="P9" s="103">
        <f>E15</f>
        <v>7</v>
      </c>
      <c r="Q9" s="103">
        <f t="shared" ref="Q9:S9" si="12">F15</f>
        <v>7.1</v>
      </c>
      <c r="R9" s="103">
        <f t="shared" si="12"/>
        <v>1</v>
      </c>
      <c r="S9" s="103">
        <f t="shared" si="12"/>
        <v>1.99</v>
      </c>
    </row>
    <row r="10" spans="1:19" x14ac:dyDescent="0.25">
      <c r="A10" s="97" t="str">
        <f>Plantilla!D11</f>
        <v>Francesc Añigas</v>
      </c>
      <c r="B10" s="98">
        <f>Plantilla!E11</f>
        <v>22</v>
      </c>
      <c r="C10" s="98">
        <f>Plantilla!H11</f>
        <v>5</v>
      </c>
      <c r="D10" s="99">
        <f>Plantilla!I11</f>
        <v>4.0999999999999996</v>
      </c>
      <c r="E10" s="100">
        <f t="shared" si="1"/>
        <v>4.0999999999999996</v>
      </c>
      <c r="F10" s="100">
        <f t="shared" si="2"/>
        <v>4.1999999999999993</v>
      </c>
      <c r="G10" s="100">
        <f t="shared" si="3"/>
        <v>5</v>
      </c>
      <c r="H10" s="100">
        <f t="shared" si="4"/>
        <v>5.99</v>
      </c>
      <c r="I10" s="101">
        <f t="shared" si="5"/>
        <v>102.49999999999999</v>
      </c>
      <c r="J10" s="101">
        <f t="shared" si="6"/>
        <v>150.69641999999999</v>
      </c>
      <c r="K10" s="102"/>
      <c r="O10" t="str">
        <f>A14</f>
        <v>J. G. Peñuela</v>
      </c>
      <c r="P10" s="103">
        <f>E14</f>
        <v>4</v>
      </c>
      <c r="Q10" s="103">
        <f t="shared" ref="Q10:S10" si="13">F14</f>
        <v>4.0999999999999996</v>
      </c>
      <c r="R10" s="103">
        <f t="shared" si="13"/>
        <v>6</v>
      </c>
      <c r="S10" s="103">
        <f t="shared" si="13"/>
        <v>6.99</v>
      </c>
    </row>
    <row r="11" spans="1:19" x14ac:dyDescent="0.25">
      <c r="A11" s="97" t="str">
        <f>Plantilla!D12</f>
        <v>Will Duffill</v>
      </c>
      <c r="B11" s="98">
        <f>Plantilla!E12</f>
        <v>22</v>
      </c>
      <c r="C11" s="98">
        <f>Plantilla!H12</f>
        <v>3</v>
      </c>
      <c r="D11" s="99">
        <f>Plantilla!I12</f>
        <v>4.2</v>
      </c>
      <c r="E11" s="100">
        <f t="shared" si="1"/>
        <v>4.2</v>
      </c>
      <c r="F11" s="100">
        <f t="shared" si="2"/>
        <v>4.3</v>
      </c>
      <c r="G11" s="100">
        <f t="shared" si="3"/>
        <v>3</v>
      </c>
      <c r="H11" s="100">
        <f t="shared" si="4"/>
        <v>3.99</v>
      </c>
      <c r="I11" s="101">
        <f t="shared" si="5"/>
        <v>37.800000000000004</v>
      </c>
      <c r="J11" s="101">
        <f t="shared" si="6"/>
        <v>68.456429999999997</v>
      </c>
      <c r="K11" s="102"/>
      <c r="O11" t="str">
        <f>A13</f>
        <v>Enrique Cubas</v>
      </c>
      <c r="P11" s="103">
        <f>E13</f>
        <v>4.5999999999999996</v>
      </c>
      <c r="Q11" s="103">
        <f t="shared" ref="Q11:S11" si="14">F13</f>
        <v>4.6999999999999993</v>
      </c>
      <c r="R11" s="103">
        <f t="shared" si="14"/>
        <v>1</v>
      </c>
      <c r="S11" s="103">
        <f t="shared" si="14"/>
        <v>1.99</v>
      </c>
    </row>
    <row r="12" spans="1:19" x14ac:dyDescent="0.25">
      <c r="A12" s="97" t="str">
        <f>Plantilla!D13</f>
        <v>Valeri Gomis</v>
      </c>
      <c r="B12" s="98">
        <f>Plantilla!E13</f>
        <v>22</v>
      </c>
      <c r="C12" s="98">
        <f>Plantilla!H13</f>
        <v>6</v>
      </c>
      <c r="D12" s="99">
        <f>Plantilla!I13</f>
        <v>4.2</v>
      </c>
      <c r="E12" s="100">
        <f t="shared" si="1"/>
        <v>4.2</v>
      </c>
      <c r="F12" s="100">
        <f t="shared" si="2"/>
        <v>4.3</v>
      </c>
      <c r="G12" s="100">
        <f t="shared" si="3"/>
        <v>6</v>
      </c>
      <c r="H12" s="100">
        <f t="shared" si="4"/>
        <v>6.99</v>
      </c>
      <c r="I12" s="101">
        <f t="shared" si="5"/>
        <v>151.20000000000002</v>
      </c>
      <c r="J12" s="101">
        <f t="shared" si="6"/>
        <v>210.09843000000001</v>
      </c>
      <c r="K12" s="102"/>
      <c r="O12" t="str">
        <f>A20</f>
        <v>Leo Hilpinen</v>
      </c>
      <c r="P12" s="103">
        <f>E20</f>
        <v>5.9</v>
      </c>
      <c r="Q12" s="103">
        <f t="shared" ref="Q12:S12" si="15">F20</f>
        <v>6</v>
      </c>
      <c r="R12" s="103">
        <f t="shared" si="15"/>
        <v>3</v>
      </c>
      <c r="S12" s="103">
        <f t="shared" si="15"/>
        <v>3.99</v>
      </c>
    </row>
    <row r="13" spans="1:19" x14ac:dyDescent="0.25">
      <c r="A13" s="97" t="str">
        <f>Plantilla!D14</f>
        <v>Enrique Cubas</v>
      </c>
      <c r="B13" s="98">
        <f>Plantilla!E14</f>
        <v>22</v>
      </c>
      <c r="C13" s="98">
        <f>Plantilla!H14</f>
        <v>1</v>
      </c>
      <c r="D13" s="99">
        <f>Plantilla!I14</f>
        <v>4.5999999999999996</v>
      </c>
      <c r="E13" s="100">
        <f t="shared" si="1"/>
        <v>4.5999999999999996</v>
      </c>
      <c r="F13" s="100">
        <f t="shared" si="2"/>
        <v>4.6999999999999993</v>
      </c>
      <c r="G13" s="100">
        <f t="shared" si="3"/>
        <v>1</v>
      </c>
      <c r="H13" s="100">
        <f t="shared" si="4"/>
        <v>1.99</v>
      </c>
      <c r="I13" s="101">
        <f t="shared" si="5"/>
        <v>4.5999999999999996</v>
      </c>
      <c r="J13" s="101">
        <f t="shared" si="6"/>
        <v>18.612469999999998</v>
      </c>
      <c r="K13" s="102"/>
      <c r="O13" t="str">
        <f>A19</f>
        <v>Emilio Rojas</v>
      </c>
      <c r="P13" s="103">
        <f>E19</f>
        <v>6.3</v>
      </c>
      <c r="Q13" s="103">
        <f t="shared" ref="Q13:S13" si="16">F19</f>
        <v>6.3999999999999995</v>
      </c>
      <c r="R13" s="103">
        <f t="shared" si="16"/>
        <v>4</v>
      </c>
      <c r="S13" s="103">
        <f t="shared" si="16"/>
        <v>4.99</v>
      </c>
    </row>
    <row r="14" spans="1:19" x14ac:dyDescent="0.25">
      <c r="A14" s="97" t="str">
        <f>Plantilla!D15</f>
        <v>J. G. Peñuela</v>
      </c>
      <c r="B14" s="98">
        <f>Plantilla!E15</f>
        <v>22</v>
      </c>
      <c r="C14" s="98">
        <f>Plantilla!H15</f>
        <v>6</v>
      </c>
      <c r="D14" s="99">
        <f>Plantilla!I15</f>
        <v>4</v>
      </c>
      <c r="E14" s="100">
        <f t="shared" si="1"/>
        <v>4</v>
      </c>
      <c r="F14" s="100">
        <f t="shared" si="2"/>
        <v>4.0999999999999996</v>
      </c>
      <c r="G14" s="100">
        <f t="shared" si="3"/>
        <v>6</v>
      </c>
      <c r="H14" s="100">
        <f t="shared" si="4"/>
        <v>6.99</v>
      </c>
      <c r="I14" s="101">
        <f t="shared" si="5"/>
        <v>144</v>
      </c>
      <c r="J14" s="101">
        <f t="shared" si="6"/>
        <v>200.32640999999998</v>
      </c>
      <c r="K14" s="102"/>
      <c r="P14" s="32">
        <f>SUM(P4:P13)/10</f>
        <v>4.6499999999999995</v>
      </c>
      <c r="Q14" s="32">
        <f>SUM(Q4:Q13)/10</f>
        <v>4.7499999999999991</v>
      </c>
      <c r="R14" s="32"/>
      <c r="S14" s="32"/>
    </row>
    <row r="15" spans="1:19" x14ac:dyDescent="0.25">
      <c r="A15" s="97" t="str">
        <f>Plantilla!D16</f>
        <v>David Garcia-Spiess</v>
      </c>
      <c r="B15" s="98">
        <f>Plantilla!E16</f>
        <v>30</v>
      </c>
      <c r="C15" s="98">
        <f>Plantilla!H16</f>
        <v>1</v>
      </c>
      <c r="D15" s="99">
        <f>Plantilla!I16</f>
        <v>7</v>
      </c>
      <c r="E15" s="100">
        <f t="shared" si="1"/>
        <v>7</v>
      </c>
      <c r="F15" s="100">
        <f t="shared" si="2"/>
        <v>7.1</v>
      </c>
      <c r="G15" s="100">
        <f t="shared" si="3"/>
        <v>1</v>
      </c>
      <c r="H15" s="100">
        <f t="shared" si="4"/>
        <v>1.99</v>
      </c>
      <c r="I15" s="101">
        <f t="shared" si="5"/>
        <v>7</v>
      </c>
      <c r="J15" s="101">
        <f t="shared" si="6"/>
        <v>28.116710000000001</v>
      </c>
      <c r="K15" s="102"/>
    </row>
    <row r="16" spans="1:19" x14ac:dyDescent="0.25">
      <c r="A16" s="97" t="str">
        <f>Plantilla!D17</f>
        <v>Fabien Fabre</v>
      </c>
      <c r="B16" s="98">
        <f>Plantilla!E17</f>
        <v>31</v>
      </c>
      <c r="C16" s="98">
        <f>Plantilla!H17</f>
        <v>5</v>
      </c>
      <c r="D16" s="99">
        <f>Plantilla!I17</f>
        <v>4.8</v>
      </c>
      <c r="E16" s="100">
        <f t="shared" si="1"/>
        <v>4.8</v>
      </c>
      <c r="F16" s="100">
        <f t="shared" si="2"/>
        <v>4.8999999999999995</v>
      </c>
      <c r="G16" s="100">
        <f t="shared" si="3"/>
        <v>5</v>
      </c>
      <c r="H16" s="100">
        <f t="shared" si="4"/>
        <v>5.99</v>
      </c>
      <c r="I16" s="101">
        <f t="shared" si="5"/>
        <v>120</v>
      </c>
      <c r="J16" s="101">
        <f t="shared" si="6"/>
        <v>175.81249</v>
      </c>
      <c r="K16" s="102"/>
      <c r="L16" s="51" t="s">
        <v>219</v>
      </c>
      <c r="O16" t="s">
        <v>220</v>
      </c>
      <c r="P16" s="29">
        <f>SUM(P3:P13)</f>
        <v>50.699999999999996</v>
      </c>
      <c r="Q16" s="29">
        <f>SUM(Q3:Q13)</f>
        <v>51.800000000000004</v>
      </c>
      <c r="R16" s="29"/>
    </row>
    <row r="17" spans="1:18" x14ac:dyDescent="0.25">
      <c r="A17" s="97" t="str">
        <f>Plantilla!D18</f>
        <v>Fernando Gazón</v>
      </c>
      <c r="B17" s="98">
        <f>Plantilla!E18</f>
        <v>22</v>
      </c>
      <c r="C17" s="98">
        <f>Plantilla!H18</f>
        <v>3</v>
      </c>
      <c r="D17" s="99">
        <f>Plantilla!I18</f>
        <v>2.5</v>
      </c>
      <c r="E17" s="100">
        <f t="shared" si="1"/>
        <v>2.5</v>
      </c>
      <c r="F17" s="100">
        <f t="shared" si="2"/>
        <v>2.6</v>
      </c>
      <c r="G17" s="100">
        <f t="shared" si="3"/>
        <v>3</v>
      </c>
      <c r="H17" s="100">
        <f t="shared" si="4"/>
        <v>3.99</v>
      </c>
      <c r="I17" s="101">
        <f t="shared" si="5"/>
        <v>22.5</v>
      </c>
      <c r="J17" s="101">
        <f t="shared" si="6"/>
        <v>41.392260000000007</v>
      </c>
      <c r="K17" s="102"/>
      <c r="O17" t="s">
        <v>221</v>
      </c>
      <c r="P17" s="32">
        <f>P16/17</f>
        <v>2.9823529411764702</v>
      </c>
      <c r="Q17" s="32">
        <f>Q16/17</f>
        <v>3.047058823529412</v>
      </c>
      <c r="R17" s="32"/>
    </row>
    <row r="18" spans="1:18" x14ac:dyDescent="0.25">
      <c r="A18" s="97" t="str">
        <f>Plantilla!D19</f>
        <v>Miklós Gábriel</v>
      </c>
      <c r="B18" s="98">
        <f>Plantilla!E19</f>
        <v>31</v>
      </c>
      <c r="C18" s="98">
        <f>Plantilla!H19</f>
        <v>2</v>
      </c>
      <c r="D18" s="99">
        <f>Plantilla!I19</f>
        <v>6.6</v>
      </c>
      <c r="E18" s="100">
        <f t="shared" si="1"/>
        <v>6.6</v>
      </c>
      <c r="F18" s="100">
        <f t="shared" si="2"/>
        <v>6.6999999999999993</v>
      </c>
      <c r="G18" s="100">
        <f t="shared" si="3"/>
        <v>2</v>
      </c>
      <c r="H18" s="100">
        <f t="shared" si="4"/>
        <v>2.99</v>
      </c>
      <c r="I18" s="101">
        <f t="shared" si="5"/>
        <v>26.4</v>
      </c>
      <c r="J18" s="101">
        <f t="shared" si="6"/>
        <v>59.898670000000003</v>
      </c>
      <c r="K18" s="102"/>
      <c r="L18" s="51" t="s">
        <v>222</v>
      </c>
      <c r="O18" t="s">
        <v>223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7" t="str">
        <f>Plantilla!D20</f>
        <v>Emilio Rojas</v>
      </c>
      <c r="B19" s="98">
        <f>Plantilla!E20</f>
        <v>31</v>
      </c>
      <c r="C19" s="98">
        <f>Plantilla!H20</f>
        <v>4</v>
      </c>
      <c r="D19" s="99">
        <f>Plantilla!I20</f>
        <v>6.3</v>
      </c>
      <c r="E19" s="100">
        <f t="shared" si="1"/>
        <v>6.3</v>
      </c>
      <c r="F19" s="100">
        <f t="shared" si="2"/>
        <v>6.3999999999999995</v>
      </c>
      <c r="G19" s="100">
        <f t="shared" si="3"/>
        <v>4</v>
      </c>
      <c r="H19" s="100">
        <f t="shared" si="4"/>
        <v>4.99</v>
      </c>
      <c r="I19" s="101">
        <f t="shared" si="5"/>
        <v>100.8</v>
      </c>
      <c r="J19" s="101">
        <f t="shared" si="6"/>
        <v>159.36063999999999</v>
      </c>
      <c r="K19" s="102"/>
      <c r="L19" s="51" t="s">
        <v>224</v>
      </c>
      <c r="O19" t="s">
        <v>225</v>
      </c>
      <c r="P19" s="29">
        <f>P18*P3</f>
        <v>151.20000000000002</v>
      </c>
      <c r="Q19" s="29">
        <f>Q18*Q3</f>
        <v>210.09843000000001</v>
      </c>
      <c r="R19" s="29"/>
    </row>
    <row r="20" spans="1:18" x14ac:dyDescent="0.25">
      <c r="A20" s="97" t="str">
        <f>Plantilla!D21</f>
        <v>Leo Hilpinen</v>
      </c>
      <c r="B20" s="98">
        <f>Plantilla!E21</f>
        <v>30</v>
      </c>
      <c r="C20" s="98">
        <f>Plantilla!H21</f>
        <v>3</v>
      </c>
      <c r="D20" s="99">
        <f>Plantilla!I21</f>
        <v>5.9</v>
      </c>
      <c r="E20" s="100">
        <f t="shared" si="1"/>
        <v>5.9</v>
      </c>
      <c r="F20" s="100">
        <f t="shared" si="2"/>
        <v>6</v>
      </c>
      <c r="G20" s="100">
        <f t="shared" si="3"/>
        <v>3</v>
      </c>
      <c r="H20" s="100">
        <f t="shared" si="4"/>
        <v>3.99</v>
      </c>
      <c r="I20" s="101">
        <f t="shared" si="5"/>
        <v>53.1</v>
      </c>
      <c r="J20" s="101">
        <f t="shared" si="6"/>
        <v>95.520600000000002</v>
      </c>
      <c r="K20" s="102"/>
      <c r="L20" s="51" t="s">
        <v>226</v>
      </c>
      <c r="O20" t="s">
        <v>227</v>
      </c>
      <c r="P20" s="32">
        <f>(P19^(2/3))/30</f>
        <v>0.94604821957262919</v>
      </c>
      <c r="Q20" s="32">
        <f>(Q19^(2/3))/30</f>
        <v>1.1780415722385855</v>
      </c>
      <c r="R20" s="32"/>
    </row>
    <row r="21" spans="1:18" x14ac:dyDescent="0.25">
      <c r="A21" s="97"/>
      <c r="B21" s="98"/>
      <c r="C21" s="98"/>
      <c r="D21" s="99"/>
      <c r="E21" s="100"/>
      <c r="F21" s="100"/>
      <c r="G21" s="100"/>
      <c r="H21" s="100"/>
      <c r="I21" s="101"/>
      <c r="J21" s="101"/>
      <c r="K21" s="102"/>
      <c r="L21" s="51" t="s">
        <v>228</v>
      </c>
      <c r="O21" s="60" t="s">
        <v>95</v>
      </c>
      <c r="P21" s="82">
        <f>P17+P20</f>
        <v>3.9284011607490994</v>
      </c>
      <c r="Q21" s="82">
        <f>Q17+Q20</f>
        <v>4.2251003957679973</v>
      </c>
    </row>
    <row r="22" spans="1:18" x14ac:dyDescent="0.25">
      <c r="A22" s="97"/>
      <c r="B22" s="98"/>
      <c r="C22" s="98"/>
      <c r="D22" s="99"/>
      <c r="E22" s="100"/>
      <c r="F22" s="100"/>
      <c r="G22" s="100"/>
      <c r="H22" s="100"/>
      <c r="I22" s="101"/>
      <c r="J22" s="101"/>
      <c r="K22" s="102"/>
      <c r="L22" t="s">
        <v>229</v>
      </c>
    </row>
    <row r="23" spans="1:18" x14ac:dyDescent="0.25">
      <c r="A23" s="97"/>
      <c r="B23" s="98"/>
      <c r="C23" s="98"/>
      <c r="D23" s="99"/>
      <c r="E23" s="100"/>
      <c r="F23" s="100"/>
      <c r="G23" s="100"/>
      <c r="H23" s="100"/>
      <c r="I23" s="101"/>
      <c r="J23" s="101"/>
      <c r="K23" s="102"/>
      <c r="O23" s="28"/>
    </row>
    <row r="24" spans="1:18" x14ac:dyDescent="0.25">
      <c r="A24" s="97"/>
      <c r="B24" s="98"/>
      <c r="C24" s="98"/>
      <c r="D24" s="99"/>
      <c r="E24" s="100"/>
      <c r="F24" s="100"/>
      <c r="G24" s="100"/>
      <c r="H24" s="100"/>
      <c r="I24" s="101"/>
      <c r="J24" s="101"/>
    </row>
    <row r="25" spans="1:18" x14ac:dyDescent="0.25">
      <c r="A25" s="97"/>
      <c r="B25" s="98"/>
      <c r="C25" s="98"/>
      <c r="D25" s="99"/>
      <c r="E25" s="100"/>
      <c r="F25" s="100"/>
      <c r="G25" s="100"/>
      <c r="H25" s="100"/>
      <c r="I25" s="101"/>
      <c r="J25" s="101"/>
    </row>
    <row r="26" spans="1:18" x14ac:dyDescent="0.25">
      <c r="A26" s="97"/>
      <c r="B26" s="98"/>
      <c r="C26" s="98"/>
      <c r="D26" s="99"/>
      <c r="E26" s="100"/>
      <c r="F26" s="100"/>
      <c r="G26" s="100"/>
      <c r="H26" s="100"/>
      <c r="I26" s="101"/>
      <c r="J26" s="101"/>
    </row>
    <row r="27" spans="1:18" x14ac:dyDescent="0.25">
      <c r="A27" s="97"/>
      <c r="B27" s="98"/>
      <c r="C27" s="98"/>
      <c r="D27" s="99"/>
      <c r="E27" s="100"/>
      <c r="F27" s="100"/>
      <c r="G27" s="100"/>
      <c r="H27" s="100"/>
      <c r="I27" s="101"/>
      <c r="J27" s="101"/>
    </row>
    <row r="28" spans="1:18" x14ac:dyDescent="0.25">
      <c r="A28" s="97"/>
      <c r="B28" s="98"/>
      <c r="C28" s="98"/>
      <c r="D28" s="99"/>
      <c r="E28" s="100"/>
      <c r="F28" s="100"/>
      <c r="G28" s="100"/>
      <c r="H28" s="100"/>
      <c r="I28" s="101"/>
      <c r="J28" s="101"/>
    </row>
    <row r="29" spans="1:18" x14ac:dyDescent="0.25">
      <c r="A29" s="97"/>
      <c r="B29" s="98"/>
      <c r="C29" s="98"/>
      <c r="D29" s="99"/>
      <c r="E29" s="100"/>
      <c r="F29" s="100"/>
      <c r="G29" s="100"/>
      <c r="H29" s="100"/>
      <c r="I29" s="101"/>
      <c r="J29" s="101"/>
    </row>
    <row r="30" spans="1:18" x14ac:dyDescent="0.25">
      <c r="A30" s="97"/>
      <c r="B30" s="98"/>
      <c r="C30" s="98"/>
      <c r="D30" s="99"/>
      <c r="E30" s="100"/>
      <c r="F30" s="100"/>
      <c r="G30" s="100"/>
      <c r="H30" s="100"/>
      <c r="I30" s="101"/>
      <c r="J30" s="101"/>
    </row>
    <row r="31" spans="1:18" x14ac:dyDescent="0.25">
      <c r="A31" s="97"/>
      <c r="B31" s="98"/>
      <c r="C31" s="98"/>
      <c r="D31" s="99"/>
      <c r="E31" s="100"/>
      <c r="F31" s="100"/>
      <c r="G31" s="100"/>
      <c r="H31" s="100"/>
      <c r="I31" s="101"/>
      <c r="J31" s="101"/>
    </row>
  </sheetData>
  <conditionalFormatting sqref="I3:J31">
    <cfRule type="cellIs" dxfId="6" priority="1" operator="between">
      <formula>70</formula>
      <formula>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N29" sqref="N29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5" t="s">
        <v>3</v>
      </c>
      <c r="B1" s="135" t="s">
        <v>29</v>
      </c>
      <c r="C1" s="135" t="s">
        <v>69</v>
      </c>
      <c r="D1" s="136" t="s">
        <v>373</v>
      </c>
      <c r="E1" s="136" t="s">
        <v>214</v>
      </c>
      <c r="F1" s="136" t="s">
        <v>215</v>
      </c>
      <c r="H1" s="135" t="s">
        <v>374</v>
      </c>
      <c r="I1" s="135" t="s">
        <v>29</v>
      </c>
      <c r="J1" s="135" t="s">
        <v>69</v>
      </c>
      <c r="K1" s="135" t="str">
        <f>D1</f>
        <v>N_CA</v>
      </c>
      <c r="L1" s="136" t="s">
        <v>214</v>
      </c>
      <c r="M1" s="136" t="s">
        <v>215</v>
      </c>
      <c r="O1" s="135" t="s">
        <v>374</v>
      </c>
      <c r="P1" s="135" t="s">
        <v>29</v>
      </c>
      <c r="Q1" s="135" t="s">
        <v>69</v>
      </c>
      <c r="R1" s="135" t="str">
        <f>K1</f>
        <v>N_CA</v>
      </c>
      <c r="S1" s="136" t="s">
        <v>214</v>
      </c>
      <c r="T1" s="136" t="s">
        <v>215</v>
      </c>
    </row>
    <row r="2" spans="1:20" x14ac:dyDescent="0.25">
      <c r="A2" t="str">
        <f>Plantilla!D4</f>
        <v>Cosme Fonteboa</v>
      </c>
      <c r="B2" s="29">
        <f ca="1">Plantilla!Y4+Plantilla!N4+Plantilla!J4</f>
        <v>12.259219487084248</v>
      </c>
      <c r="C2" s="29">
        <f ca="1">Plantilla!AB4+Plantilla!N4+Plantilla!J4</f>
        <v>1.6877909156556778</v>
      </c>
      <c r="D2" s="82">
        <f ca="1">(C2*2+B2)/8</f>
        <v>1.9543501647994506</v>
      </c>
      <c r="E2" s="29">
        <f ca="1">D2*Plantilla!R4</f>
        <v>1.4773498602278412</v>
      </c>
      <c r="F2" s="29">
        <f ca="1">D2*Plantilla!S4</f>
        <v>1.6500748029620478</v>
      </c>
      <c r="H2" s="32" t="str">
        <f>A6</f>
        <v>Berto Abandero</v>
      </c>
      <c r="I2" s="29">
        <f t="shared" ref="I2:M2" ca="1" si="0">B6</f>
        <v>14.189950814567696</v>
      </c>
      <c r="J2" s="29">
        <f t="shared" ca="1" si="0"/>
        <v>11.769496269113151</v>
      </c>
      <c r="K2" s="82">
        <f ca="1">(J2*2+I2)/8</f>
        <v>4.7161179190992497</v>
      </c>
      <c r="L2" s="32">
        <f t="shared" ca="1" si="0"/>
        <v>4.7161179190992497</v>
      </c>
      <c r="M2" s="32">
        <f t="shared" ca="1" si="0"/>
        <v>4.7161179190992497</v>
      </c>
      <c r="O2" t="str">
        <f>A2</f>
        <v>Cosme Fonteboa</v>
      </c>
      <c r="P2" s="29">
        <f ca="1">I2</f>
        <v>14.189950814567696</v>
      </c>
      <c r="Q2" s="29">
        <f ca="1">J2</f>
        <v>11.769496269113151</v>
      </c>
      <c r="R2" s="82">
        <f ca="1">(Q2*2+P2)/8</f>
        <v>4.7161179190992497</v>
      </c>
      <c r="S2" s="32">
        <f ca="1">E2</f>
        <v>1.4773498602278412</v>
      </c>
      <c r="T2" s="32">
        <f ca="1">F2</f>
        <v>1.6500748029620478</v>
      </c>
    </row>
    <row r="3" spans="1:20" x14ac:dyDescent="0.25">
      <c r="A3" t="str">
        <f>Plantilla!D5</f>
        <v>Nicolae Hornet</v>
      </c>
      <c r="B3" s="29">
        <f ca="1">Plantilla!Y5+Plantilla!N5+Plantilla!J5</f>
        <v>5.1948373809043176</v>
      </c>
      <c r="C3" s="29">
        <f ca="1">Plantilla!AB5+Plantilla!N5+Plantilla!J5</f>
        <v>1.1948373809043173</v>
      </c>
      <c r="D3" s="82">
        <f t="shared" ref="D3:D19" ca="1" si="1">(C3*2+B3)/8</f>
        <v>0.94806401783911909</v>
      </c>
      <c r="E3" s="29">
        <f ca="1">D3*Plantilla!R5</f>
        <v>0.87773672358657917</v>
      </c>
      <c r="F3" s="29">
        <f ca="1">D3*Plantilla!S5</f>
        <v>0.94738658722897595</v>
      </c>
      <c r="H3" s="32" t="str">
        <f>A7</f>
        <v>Guillermo Pedrajas</v>
      </c>
      <c r="I3" s="29">
        <f t="shared" ref="I3:M3" ca="1" si="2">B7</f>
        <v>12.097855905056489</v>
      </c>
      <c r="J3" s="29">
        <f t="shared" ca="1" si="2"/>
        <v>10.796268603469187</v>
      </c>
      <c r="K3" s="82">
        <f t="shared" ref="K3:K6" ca="1" si="3">(J3*2+I3)/8</f>
        <v>4.2112991389993581</v>
      </c>
      <c r="L3" s="32">
        <f t="shared" ca="1" si="2"/>
        <v>4.2112991389993581</v>
      </c>
      <c r="M3" s="32">
        <f t="shared" ca="1" si="2"/>
        <v>4.2112991389993581</v>
      </c>
      <c r="O3" t="str">
        <f>A7</f>
        <v>Guillermo Pedrajas</v>
      </c>
      <c r="P3" s="29">
        <f t="shared" ref="P3:P5" ca="1" si="4">I3</f>
        <v>12.097855905056489</v>
      </c>
      <c r="Q3" s="29">
        <f t="shared" ref="Q3:Q5" ca="1" si="5">J3</f>
        <v>10.796268603469187</v>
      </c>
      <c r="R3" s="82">
        <f t="shared" ref="R3:R5" ca="1" si="6">(Q3*2+P3)/8</f>
        <v>4.2112991389993581</v>
      </c>
      <c r="S3" s="32">
        <f ca="1">E7</f>
        <v>4.2112991389993581</v>
      </c>
      <c r="T3" s="32">
        <f ca="1">F7</f>
        <v>4.2112991389993581</v>
      </c>
    </row>
    <row r="4" spans="1:20" x14ac:dyDescent="0.25">
      <c r="A4" t="str">
        <f>Plantilla!D6</f>
        <v>Miguel Fernández</v>
      </c>
      <c r="B4" s="29">
        <f ca="1">Plantilla!Y6+Plantilla!N6+Plantilla!J6</f>
        <v>16.024851885733732</v>
      </c>
      <c r="C4" s="29">
        <f ca="1">Plantilla!AB6+Plantilla!N6+Plantilla!J6</f>
        <v>7.3998518857337325</v>
      </c>
      <c r="D4" s="82">
        <f t="shared" ca="1" si="1"/>
        <v>3.8530694571501494</v>
      </c>
      <c r="E4" s="29">
        <f ca="1">D4*Plantilla!R6</f>
        <v>2.9126467336794106</v>
      </c>
      <c r="F4" s="29">
        <f ca="1">D4*Plantilla!S6</f>
        <v>3.25317997758019</v>
      </c>
      <c r="H4" t="str">
        <f>A10</f>
        <v>Will Duffill</v>
      </c>
      <c r="I4" s="29">
        <f t="shared" ref="I4:M4" ca="1" si="7">B10</f>
        <v>12.688141911006724</v>
      </c>
      <c r="J4" s="29">
        <f t="shared" ca="1" si="7"/>
        <v>9.0809990538638665</v>
      </c>
      <c r="K4" s="82">
        <f t="shared" ca="1" si="3"/>
        <v>3.8562675023418072</v>
      </c>
      <c r="L4" s="32">
        <f t="shared" ca="1" si="7"/>
        <v>3.2591408869754881</v>
      </c>
      <c r="M4" s="32">
        <f t="shared" ca="1" si="7"/>
        <v>3.5672335481075717</v>
      </c>
      <c r="O4" t="str">
        <f t="shared" ref="O4" si="8">A4</f>
        <v>Miguel Fernández</v>
      </c>
      <c r="P4" s="29">
        <f t="shared" ca="1" si="4"/>
        <v>12.688141911006724</v>
      </c>
      <c r="Q4" s="29">
        <f t="shared" ca="1" si="5"/>
        <v>9.0809990538638665</v>
      </c>
      <c r="R4" s="82">
        <f t="shared" ca="1" si="6"/>
        <v>3.8562675023418072</v>
      </c>
      <c r="S4" s="32">
        <f ca="1">E4</f>
        <v>2.9126467336794106</v>
      </c>
      <c r="T4" s="32">
        <f ca="1">F4</f>
        <v>3.25317997758019</v>
      </c>
    </row>
    <row r="5" spans="1:20" x14ac:dyDescent="0.25">
      <c r="A5" t="str">
        <f>Plantilla!D7</f>
        <v>Iván Real Figueroa</v>
      </c>
      <c r="B5" s="29">
        <f ca="1">Plantilla!Y7+Plantilla!N7+Plantilla!J7</f>
        <v>16.119076688748425</v>
      </c>
      <c r="C5" s="29">
        <f ca="1">Plantilla!AB7+Plantilla!N7+Plantilla!J7</f>
        <v>6.8065766887484243</v>
      </c>
      <c r="D5" s="82">
        <f t="shared" ca="1" si="1"/>
        <v>3.716528758280659</v>
      </c>
      <c r="E5" s="29">
        <f ca="1">D5*Plantilla!R7</f>
        <v>3.4408370257989565</v>
      </c>
      <c r="F5" s="29">
        <f ca="1">D5*Plantilla!S7</f>
        <v>3.7138731461100005</v>
      </c>
      <c r="H5" s="32" t="str">
        <f>A5</f>
        <v>Iván Real Figueroa</v>
      </c>
      <c r="I5" s="29">
        <f t="shared" ref="I5:M5" ca="1" si="9">B5</f>
        <v>16.119076688748425</v>
      </c>
      <c r="J5" s="29">
        <f t="shared" ca="1" si="9"/>
        <v>6.8065766887484243</v>
      </c>
      <c r="K5" s="82">
        <f t="shared" ca="1" si="3"/>
        <v>3.716528758280659</v>
      </c>
      <c r="L5" s="32">
        <f t="shared" ca="1" si="9"/>
        <v>3.4408370257989565</v>
      </c>
      <c r="M5" s="32">
        <f t="shared" ca="1" si="9"/>
        <v>3.7138731461100005</v>
      </c>
      <c r="O5" s="32" t="str">
        <f>H5</f>
        <v>Iván Real Figueroa</v>
      </c>
      <c r="P5" s="29">
        <f t="shared" ca="1" si="4"/>
        <v>16.119076688748425</v>
      </c>
      <c r="Q5" s="29">
        <f t="shared" ca="1" si="5"/>
        <v>6.8065766887484243</v>
      </c>
      <c r="R5" s="82">
        <f t="shared" ca="1" si="6"/>
        <v>3.716528758280659</v>
      </c>
      <c r="S5" s="32">
        <f ca="1">L5</f>
        <v>3.4408370257989565</v>
      </c>
      <c r="T5" s="32">
        <f ca="1">M5</f>
        <v>3.7138731461100005</v>
      </c>
    </row>
    <row r="6" spans="1:20" x14ac:dyDescent="0.25">
      <c r="A6" t="str">
        <f>Plantilla!D8</f>
        <v>Berto Abandero</v>
      </c>
      <c r="B6" s="29">
        <f ca="1">Plantilla!Y8+Plantilla!N8+Plantilla!J8</f>
        <v>14.189950814567696</v>
      </c>
      <c r="C6" s="29">
        <f ca="1">Plantilla!AB8+Plantilla!N8+Plantilla!J8</f>
        <v>11.769496269113151</v>
      </c>
      <c r="D6" s="82">
        <f t="shared" ca="1" si="1"/>
        <v>4.7161179190992497</v>
      </c>
      <c r="E6" s="29">
        <f ca="1">D6*Plantilla!R8</f>
        <v>4.7161179190992497</v>
      </c>
      <c r="F6" s="29">
        <f ca="1">D6*Plantilla!S8</f>
        <v>4.7161179190992497</v>
      </c>
      <c r="H6" t="str">
        <f>A4</f>
        <v>Miguel Fernández</v>
      </c>
      <c r="I6" s="29">
        <f t="shared" ref="I6:M6" ca="1" si="10">B4</f>
        <v>16.024851885733732</v>
      </c>
      <c r="J6" s="29">
        <f t="shared" ca="1" si="10"/>
        <v>7.3998518857337325</v>
      </c>
      <c r="K6" s="82">
        <f t="shared" ca="1" si="3"/>
        <v>3.8530694571501494</v>
      </c>
      <c r="L6" s="32">
        <f t="shared" ca="1" si="10"/>
        <v>2.9126467336794106</v>
      </c>
      <c r="M6" s="32">
        <f t="shared" ca="1" si="10"/>
        <v>3.25317997758019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12.097855905056489</v>
      </c>
      <c r="C7" s="29">
        <f ca="1">Plantilla!AB9+Plantilla!N9+Plantilla!J9</f>
        <v>10.796268603469187</v>
      </c>
      <c r="D7" s="82">
        <f t="shared" ca="1" si="1"/>
        <v>4.2112991389993581</v>
      </c>
      <c r="E7" s="29">
        <f ca="1">D7*Plantilla!R9</f>
        <v>4.2112991389993581</v>
      </c>
      <c r="F7" s="29">
        <f ca="1">D7*Plantilla!S9</f>
        <v>4.2112991389993581</v>
      </c>
      <c r="K7" s="137">
        <f ca="1">SUM(K2:K6)</f>
        <v>20.353282775871225</v>
      </c>
      <c r="L7" s="137">
        <f t="shared" ref="L7:M7" ca="1" si="11">SUM(L2:L6)</f>
        <v>18.540041704552461</v>
      </c>
      <c r="M7" s="137">
        <f t="shared" ca="1" si="11"/>
        <v>19.461703729896371</v>
      </c>
      <c r="N7" s="137"/>
      <c r="O7" s="137"/>
      <c r="P7" s="137"/>
      <c r="Q7" s="137"/>
      <c r="R7" s="137">
        <f ca="1">SUM(R2:R6)</f>
        <v>16.500213318721077</v>
      </c>
      <c r="S7" s="137">
        <f t="shared" ref="S7:T7" ca="1" si="12">SUM(S2:S6)</f>
        <v>12.042132758705566</v>
      </c>
      <c r="T7" s="137">
        <f t="shared" ca="1" si="12"/>
        <v>12.828427065651596</v>
      </c>
    </row>
    <row r="8" spans="1:20" x14ac:dyDescent="0.25">
      <c r="A8" t="str">
        <f>Plantilla!D10</f>
        <v>Eckardt Hägerling</v>
      </c>
      <c r="B8" s="29">
        <f ca="1">Plantilla!Y10+Plantilla!N10+Plantilla!J10</f>
        <v>7.7065635744296088</v>
      </c>
      <c r="C8" s="29">
        <f ca="1">Plantilla!AB10+Plantilla!N10+Plantilla!J10</f>
        <v>4.4565635744296088</v>
      </c>
      <c r="D8" s="82">
        <f t="shared" ca="1" si="1"/>
        <v>2.0774613404111033</v>
      </c>
      <c r="E8" s="29">
        <f ca="1">D8*Plantilla!R10</f>
        <v>1.7557752908824511</v>
      </c>
      <c r="F8" s="29">
        <f ca="1">D8*Plantilla!S10</f>
        <v>1.9217520008429496</v>
      </c>
      <c r="L8" s="64">
        <f ca="1">(K7-L7)/K7</f>
        <v>8.908838398630993E-2</v>
      </c>
      <c r="M8" s="64">
        <f ca="1">(K7-M7)/K7</f>
        <v>4.3805171666549014E-2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13.59482292007076</v>
      </c>
      <c r="C9" s="29">
        <f ca="1">Plantilla!AB11+Plantilla!N11+Plantilla!J11</f>
        <v>6.3170451422929803</v>
      </c>
      <c r="D9" s="82">
        <f t="shared" ca="1" si="1"/>
        <v>3.27861415058209</v>
      </c>
      <c r="E9" s="29">
        <f ca="1">D9*Plantilla!R11</f>
        <v>3.0354068800076095</v>
      </c>
      <c r="F9" s="29">
        <f ca="1">D9*Plantilla!S11</f>
        <v>3.2762714463525642</v>
      </c>
    </row>
    <row r="10" spans="1:20" x14ac:dyDescent="0.25">
      <c r="A10" t="str">
        <f>Plantilla!D12</f>
        <v>Will Duffill</v>
      </c>
      <c r="B10" s="29">
        <f ca="1">Plantilla!Y12+Plantilla!N12+Plantilla!J12</f>
        <v>12.688141911006724</v>
      </c>
      <c r="C10" s="29">
        <f ca="1">Plantilla!AB12+Plantilla!N12+Plantilla!J12</f>
        <v>9.0809990538638665</v>
      </c>
      <c r="D10" s="82">
        <f t="shared" ca="1" si="1"/>
        <v>3.8562675023418072</v>
      </c>
      <c r="E10" s="29">
        <f ca="1">D10*Plantilla!R12</f>
        <v>3.2591408869754881</v>
      </c>
      <c r="F10" s="29">
        <f ca="1">D10*Plantilla!S12</f>
        <v>3.5672335481075717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12.259570482435295</v>
      </c>
      <c r="C11" s="29">
        <f ca="1">Plantilla!AB13+Plantilla!N13+Plantilla!J13</f>
        <v>8.0309990538638676</v>
      </c>
      <c r="D11" s="82">
        <f t="shared" ca="1" si="1"/>
        <v>3.540196073770379</v>
      </c>
      <c r="E11" s="29">
        <f ca="1">D11*Plantilla!R13</f>
        <v>2.992011774320225</v>
      </c>
      <c r="F11" s="29">
        <f ca="1">D11*Plantilla!S13</f>
        <v>3.274852222664359</v>
      </c>
    </row>
    <row r="12" spans="1:20" x14ac:dyDescent="0.25">
      <c r="A12" t="str">
        <f>Plantilla!D14</f>
        <v>Enrique Cubas</v>
      </c>
      <c r="B12" s="29">
        <f>Plantilla!Y14+Plantilla!N14+Plantilla!J14</f>
        <v>11.383677108908765</v>
      </c>
      <c r="C12" s="29">
        <f>Plantilla!AB14+Plantilla!N14+Plantilla!J14</f>
        <v>8.5836771089087662</v>
      </c>
      <c r="D12" s="82">
        <f t="shared" si="1"/>
        <v>3.568878915840787</v>
      </c>
      <c r="E12" s="29">
        <f>D12*Plantilla!R14</f>
        <v>3.0162532003337366</v>
      </c>
      <c r="F12" s="29">
        <f>D12*Plantilla!S14</f>
        <v>3.3013852358504243</v>
      </c>
      <c r="H12" s="138" t="s">
        <v>374</v>
      </c>
      <c r="I12" s="138" t="s">
        <v>29</v>
      </c>
      <c r="J12" s="138" t="s">
        <v>69</v>
      </c>
      <c r="K12" s="139" t="s">
        <v>373</v>
      </c>
      <c r="L12" s="139" t="s">
        <v>214</v>
      </c>
      <c r="M12" s="139" t="s">
        <v>215</v>
      </c>
      <c r="O12" s="138" t="s">
        <v>374</v>
      </c>
      <c r="P12" s="138" t="s">
        <v>29</v>
      </c>
      <c r="Q12" s="138" t="s">
        <v>69</v>
      </c>
      <c r="R12" s="138" t="str">
        <f>K12</f>
        <v>N_CA</v>
      </c>
      <c r="S12" s="139" t="s">
        <v>214</v>
      </c>
      <c r="T12" s="139" t="s">
        <v>215</v>
      </c>
    </row>
    <row r="13" spans="1:20" x14ac:dyDescent="0.25">
      <c r="A13" t="str">
        <f>Plantilla!D15</f>
        <v>J. G. Peñuela</v>
      </c>
      <c r="B13" s="29">
        <f ca="1">Plantilla!Y15+Plantilla!N15+Plantilla!J15</f>
        <v>11.231318083675379</v>
      </c>
      <c r="C13" s="29">
        <f ca="1">Plantilla!AB15+Plantilla!N15+Plantilla!J15</f>
        <v>7.0527466551039497</v>
      </c>
      <c r="D13" s="82">
        <f t="shared" ca="1" si="1"/>
        <v>3.1671014242354101</v>
      </c>
      <c r="E13" s="29">
        <f ca="1">D13*Plantilla!R15</f>
        <v>2.6766892438493013</v>
      </c>
      <c r="F13" s="29">
        <f ca="1">D13*Plantilla!S15</f>
        <v>2.9297216658157095</v>
      </c>
      <c r="H13" s="32" t="str">
        <f>H2</f>
        <v>Berto Abandero</v>
      </c>
      <c r="I13" s="29">
        <f ca="1">I2</f>
        <v>14.189950814567696</v>
      </c>
      <c r="J13" s="29">
        <f ca="1">J2</f>
        <v>11.769496269113151</v>
      </c>
      <c r="K13" s="82">
        <f ca="1">(J13*2+I13)/8</f>
        <v>4.7161179190992497</v>
      </c>
      <c r="L13" s="32">
        <f ca="1">K13*(1-$L$8)</f>
        <v>4.295966594997819</v>
      </c>
      <c r="M13" s="32">
        <f ca="1">K13*(1-$M$8)</f>
        <v>4.5095275640534185</v>
      </c>
      <c r="O13" s="32" t="str">
        <f>H13</f>
        <v>Berto Abandero</v>
      </c>
      <c r="P13" s="32">
        <f t="shared" ref="P13:Q13" ca="1" si="13">I13</f>
        <v>14.189950814567696</v>
      </c>
      <c r="Q13" s="32">
        <f t="shared" ca="1" si="13"/>
        <v>11.769496269113151</v>
      </c>
      <c r="R13" s="82">
        <f ca="1">(Q13*2+P13)/8</f>
        <v>4.7161179190992497</v>
      </c>
      <c r="S13" s="32">
        <f ca="1">L13</f>
        <v>4.295966594997819</v>
      </c>
      <c r="T13" s="32">
        <f ca="1">M13</f>
        <v>4.5095275640534185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10.469344896029902</v>
      </c>
      <c r="C14" s="29">
        <f ca="1">Plantilla!AB16+Plantilla!N16+Plantilla!J16</f>
        <v>8.6122020388870464</v>
      </c>
      <c r="D14" s="82">
        <f t="shared" ca="1" si="1"/>
        <v>3.4617186217254994</v>
      </c>
      <c r="E14" s="29">
        <f ca="1">D14*Plantilla!R16</f>
        <v>2.9256862218242419</v>
      </c>
      <c r="F14" s="29">
        <f ca="1">D14*Plantilla!S16</f>
        <v>3.2022567920998317</v>
      </c>
      <c r="H14" s="32" t="str">
        <f t="shared" ref="H14:I17" si="14">H3</f>
        <v>Guillermo Pedrajas</v>
      </c>
      <c r="I14" s="29">
        <f t="shared" ca="1" si="14"/>
        <v>12.097855905056489</v>
      </c>
      <c r="J14" s="29">
        <f t="shared" ref="J14:J17" ca="1" si="15">J3</f>
        <v>10.796268603469187</v>
      </c>
      <c r="K14" s="82">
        <f t="shared" ref="K14:K17" ca="1" si="16">(J14*2+I14)/8</f>
        <v>4.2112991389993581</v>
      </c>
      <c r="L14" s="32">
        <f t="shared" ref="L14:L17" ca="1" si="17">K14*(1-$L$8)</f>
        <v>3.8361213042229672</v>
      </c>
      <c r="M14" s="32">
        <f t="shared" ref="M14:M17" ca="1" si="18">K14*(1-$M$8)</f>
        <v>4.0268224572763014</v>
      </c>
      <c r="O14" s="32" t="str">
        <f t="shared" ref="O14:O16" si="19">H14</f>
        <v>Guillermo Pedrajas</v>
      </c>
      <c r="P14" s="32">
        <f t="shared" ref="P14:P16" ca="1" si="20">I14</f>
        <v>12.097855905056489</v>
      </c>
      <c r="Q14" s="32">
        <f t="shared" ref="Q14:Q16" ca="1" si="21">J14</f>
        <v>10.796268603469187</v>
      </c>
      <c r="R14" s="82">
        <f t="shared" ref="R14:R16" ca="1" si="22">(Q14*2+P14)/8</f>
        <v>4.2112991389993581</v>
      </c>
      <c r="S14" s="32">
        <f t="shared" ref="S14:S16" ca="1" si="23">L14</f>
        <v>3.8361213042229672</v>
      </c>
      <c r="T14" s="32">
        <f t="shared" ref="T14:T16" ca="1" si="24">M14</f>
        <v>4.0268224572763014</v>
      </c>
    </row>
    <row r="15" spans="1:20" x14ac:dyDescent="0.25">
      <c r="A15" t="str">
        <f>Plantilla!D17</f>
        <v>Fabien Fabre</v>
      </c>
      <c r="B15" s="29">
        <f ca="1">Plantilla!Y17+Plantilla!N17+Plantilla!J17</f>
        <v>6.7124354565810282</v>
      </c>
      <c r="C15" s="29">
        <f ca="1">Plantilla!AB17+Plantilla!N17+Plantilla!J17</f>
        <v>5.7541021232476952</v>
      </c>
      <c r="D15" s="82">
        <f t="shared" ca="1" si="1"/>
        <v>2.2775799628845523</v>
      </c>
      <c r="E15" s="29">
        <f ca="1">D15*Plantilla!R17</f>
        <v>2.1086293084777403</v>
      </c>
      <c r="F15" s="29">
        <f ca="1">D15*Plantilla!S17</f>
        <v>2.2759525386232418</v>
      </c>
      <c r="H15" s="32" t="str">
        <f t="shared" si="14"/>
        <v>Will Duffill</v>
      </c>
      <c r="I15" s="29">
        <f t="shared" ca="1" si="14"/>
        <v>12.688141911006724</v>
      </c>
      <c r="J15" s="29">
        <f t="shared" ca="1" si="15"/>
        <v>9.0809990538638665</v>
      </c>
      <c r="K15" s="82">
        <f t="shared" ca="1" si="16"/>
        <v>3.8562675023418072</v>
      </c>
      <c r="L15" s="32">
        <f t="shared" ca="1" si="17"/>
        <v>3.512718862339252</v>
      </c>
      <c r="M15" s="32">
        <f t="shared" ca="1" si="18"/>
        <v>3.6873430424095899</v>
      </c>
      <c r="O15" s="32" t="str">
        <f t="shared" si="19"/>
        <v>Will Duffill</v>
      </c>
      <c r="P15" s="32">
        <f t="shared" ca="1" si="20"/>
        <v>12.688141911006724</v>
      </c>
      <c r="Q15" s="32">
        <f t="shared" ca="1" si="21"/>
        <v>9.0809990538638665</v>
      </c>
      <c r="R15" s="82">
        <f t="shared" ca="1" si="22"/>
        <v>3.8562675023418072</v>
      </c>
      <c r="S15" s="32">
        <f t="shared" ca="1" si="23"/>
        <v>3.512718862339252</v>
      </c>
      <c r="T15" s="32">
        <f t="shared" ca="1" si="24"/>
        <v>3.6873430424095899</v>
      </c>
    </row>
    <row r="16" spans="1:20" x14ac:dyDescent="0.25">
      <c r="A16" t="str">
        <f>Plantilla!D18</f>
        <v>Fernando Gazón</v>
      </c>
      <c r="B16" s="29">
        <f ca="1">Plantilla!Y18+Plantilla!N18+Plantilla!J18</f>
        <v>5.5305866782293833</v>
      </c>
      <c r="C16" s="29">
        <f ca="1">Plantilla!AB18+Plantilla!N18+Plantilla!J18</f>
        <v>5.8430866782293833</v>
      </c>
      <c r="D16" s="82">
        <f t="shared" ca="1" si="1"/>
        <v>2.1520950043360187</v>
      </c>
      <c r="E16" s="29">
        <f ca="1">D16*Plantilla!R18</f>
        <v>1.8188522494945716</v>
      </c>
      <c r="F16" s="29">
        <f ca="1">D16*Plantilla!S18</f>
        <v>1.9907917418903396</v>
      </c>
      <c r="H16" s="32" t="str">
        <f t="shared" si="14"/>
        <v>Iván Real Figueroa</v>
      </c>
      <c r="I16" s="29">
        <f t="shared" ca="1" si="14"/>
        <v>16.119076688748425</v>
      </c>
      <c r="J16" s="29">
        <f t="shared" ca="1" si="15"/>
        <v>6.8065766887484243</v>
      </c>
      <c r="K16" s="82">
        <f t="shared" ca="1" si="16"/>
        <v>3.716528758280659</v>
      </c>
      <c r="L16" s="32">
        <f t="shared" ca="1" si="17"/>
        <v>3.3854292171667879</v>
      </c>
      <c r="M16" s="32">
        <f t="shared" ca="1" si="18"/>
        <v>3.5537255780205084</v>
      </c>
      <c r="O16" s="32" t="str">
        <f t="shared" si="19"/>
        <v>Iván Real Figueroa</v>
      </c>
      <c r="P16" s="32">
        <f t="shared" ca="1" si="20"/>
        <v>16.119076688748425</v>
      </c>
      <c r="Q16" s="32">
        <f t="shared" ca="1" si="21"/>
        <v>6.8065766887484243</v>
      </c>
      <c r="R16" s="82">
        <f t="shared" ca="1" si="22"/>
        <v>3.716528758280659</v>
      </c>
      <c r="S16" s="32">
        <f t="shared" ca="1" si="23"/>
        <v>3.3854292171667879</v>
      </c>
      <c r="T16" s="32">
        <f t="shared" ca="1" si="24"/>
        <v>3.5537255780205084</v>
      </c>
    </row>
    <row r="17" spans="1:20" x14ac:dyDescent="0.25">
      <c r="A17" t="str">
        <f>Plantilla!D19</f>
        <v>Miklós Gábriel</v>
      </c>
      <c r="B17" s="29">
        <f ca="1">Plantilla!Y19+Plantilla!N19+Plantilla!J19</f>
        <v>6.8860317446432422</v>
      </c>
      <c r="C17" s="29">
        <f ca="1">Plantilla!AB19+Plantilla!N19+Plantilla!J19</f>
        <v>9.0860317446432433</v>
      </c>
      <c r="D17" s="82">
        <f t="shared" ca="1" si="1"/>
        <v>3.1322619042412159</v>
      </c>
      <c r="E17" s="29">
        <f ca="1">D17*Plantilla!R19</f>
        <v>2.6472444752935091</v>
      </c>
      <c r="F17" s="29">
        <f ca="1">D17*Plantilla!S19</f>
        <v>2.8974934284209279</v>
      </c>
      <c r="H17" s="32" t="str">
        <f t="shared" si="14"/>
        <v>Miguel Fernández</v>
      </c>
      <c r="I17" s="29">
        <f t="shared" ca="1" si="14"/>
        <v>16.024851885733732</v>
      </c>
      <c r="J17" s="29">
        <f t="shared" ca="1" si="15"/>
        <v>7.3998518857337325</v>
      </c>
      <c r="K17" s="82">
        <f t="shared" ca="1" si="16"/>
        <v>3.8530694571501494</v>
      </c>
      <c r="L17" s="32">
        <f t="shared" ca="1" si="17"/>
        <v>3.5098057258256343</v>
      </c>
      <c r="M17" s="32">
        <f t="shared" ca="1" si="18"/>
        <v>3.6842850881365501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7.8655881435012462</v>
      </c>
      <c r="C18" s="29">
        <f ca="1">Plantilla!AB20+Plantilla!N20+Plantilla!J20</f>
        <v>10.976699254612358</v>
      </c>
      <c r="D18" s="82">
        <f t="shared" ca="1" si="1"/>
        <v>3.7273733315907451</v>
      </c>
      <c r="E18" s="29">
        <f ca="1">D18*Plantilla!R20</f>
        <v>3.7273733315907451</v>
      </c>
      <c r="F18" s="29">
        <f ca="1">D18*Plantilla!S20</f>
        <v>3.7273733315907451</v>
      </c>
      <c r="K18" s="137">
        <f ca="1">SUM(K13:K17)</f>
        <v>20.353282775871225</v>
      </c>
      <c r="L18" s="137">
        <f t="shared" ref="L18:M18" ca="1" si="25">SUM(L13:L17)</f>
        <v>18.540041704552458</v>
      </c>
      <c r="M18" s="137">
        <f t="shared" ca="1" si="25"/>
        <v>19.461703729896371</v>
      </c>
      <c r="N18" s="137"/>
      <c r="O18" s="137"/>
      <c r="P18" s="137"/>
      <c r="Q18" s="137"/>
      <c r="R18" s="137">
        <f ca="1">SUM(R13:R17)</f>
        <v>16.500213318721077</v>
      </c>
      <c r="S18" s="137">
        <f t="shared" ref="S18:T18" ca="1" si="26">SUM(S13:S17)</f>
        <v>15.030235978726825</v>
      </c>
      <c r="T18" s="137">
        <f t="shared" ca="1" si="26"/>
        <v>15.777418641759819</v>
      </c>
    </row>
    <row r="19" spans="1:20" x14ac:dyDescent="0.25">
      <c r="A19" t="str">
        <f>Plantilla!D21</f>
        <v>Leo Hilpinen</v>
      </c>
      <c r="B19" s="29">
        <f ca="1">Plantilla!Y21+Plantilla!N21+Plantilla!J21</f>
        <v>6.3738201677060964</v>
      </c>
      <c r="C19" s="29">
        <f ca="1">Plantilla!AB21+Plantilla!N21+Plantilla!J21</f>
        <v>10.516677310563239</v>
      </c>
      <c r="D19" s="82">
        <f t="shared" ca="1" si="1"/>
        <v>3.4258968486040717</v>
      </c>
      <c r="E19" s="29">
        <f ca="1">D19*Plantilla!R21</f>
        <v>3.4258968486040717</v>
      </c>
      <c r="F19" s="29">
        <f ca="1">D19*Plantilla!S21</f>
        <v>3.4258968486040717</v>
      </c>
    </row>
    <row r="20" spans="1:20" x14ac:dyDescent="0.25">
      <c r="B20" s="29"/>
      <c r="C20" s="29"/>
      <c r="D20" s="82"/>
      <c r="E20" s="29"/>
      <c r="F20" s="29"/>
    </row>
    <row r="21" spans="1:20" x14ac:dyDescent="0.25">
      <c r="B21" s="29"/>
      <c r="C21" s="29"/>
      <c r="D21" s="82"/>
      <c r="E21" s="29"/>
      <c r="F21" s="29"/>
    </row>
    <row r="22" spans="1:20" x14ac:dyDescent="0.25">
      <c r="B22" s="29"/>
      <c r="C22" s="29"/>
      <c r="D22" s="82"/>
      <c r="E22" s="29"/>
      <c r="F22" s="29"/>
    </row>
    <row r="23" spans="1:20" x14ac:dyDescent="0.25">
      <c r="B23" s="29"/>
      <c r="C23" s="29"/>
      <c r="D23" s="82"/>
      <c r="E23" s="29"/>
      <c r="F23" s="29"/>
    </row>
    <row r="24" spans="1:20" x14ac:dyDescent="0.25">
      <c r="B24" s="29"/>
      <c r="C24" s="29"/>
      <c r="D24" s="82"/>
      <c r="E24" s="29"/>
      <c r="F24" s="29"/>
    </row>
    <row r="25" spans="1:20" x14ac:dyDescent="0.25">
      <c r="B25" s="29"/>
      <c r="C25" s="29"/>
      <c r="D25" s="82"/>
      <c r="E25" s="29"/>
      <c r="F25" s="29"/>
    </row>
    <row r="26" spans="1:20" x14ac:dyDescent="0.25">
      <c r="B26" s="29"/>
      <c r="C26" s="29"/>
      <c r="D26" s="82"/>
      <c r="E26" s="29"/>
      <c r="F26" s="29"/>
    </row>
    <row r="27" spans="1:20" x14ac:dyDescent="0.25">
      <c r="B27" s="29"/>
      <c r="C27" s="29"/>
      <c r="D27" s="82"/>
      <c r="E27" s="29"/>
      <c r="F27" s="29"/>
    </row>
    <row r="28" spans="1:20" x14ac:dyDescent="0.25">
      <c r="B28" s="29"/>
      <c r="C28" s="29"/>
      <c r="D28" s="82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I23"/>
  <sheetViews>
    <sheetView workbookViewId="0">
      <selection activeCell="G14" sqref="G14"/>
    </sheetView>
  </sheetViews>
  <sheetFormatPr baseColWidth="10" defaultRowHeight="15" x14ac:dyDescent="0.25"/>
  <cols>
    <col min="1" max="1" width="12.5703125" style="134" customWidth="1"/>
    <col min="2" max="2" width="17.7109375" style="134" bestFit="1" customWidth="1"/>
    <col min="3" max="3" width="27.140625" style="134" bestFit="1" customWidth="1"/>
    <col min="4" max="4" width="17.28515625" style="134" bestFit="1" customWidth="1"/>
    <col min="5" max="5" width="4.28515625" style="134" bestFit="1" customWidth="1"/>
    <col min="6" max="6" width="13.5703125" style="134" bestFit="1" customWidth="1"/>
    <col min="7" max="7" width="11.7109375" style="134" bestFit="1" customWidth="1"/>
    <col min="8" max="8" width="16.85546875" style="134" bestFit="1" customWidth="1"/>
  </cols>
  <sheetData>
    <row r="1" spans="1:9" x14ac:dyDescent="0.25">
      <c r="D1" s="134">
        <f>SUM(D3:D40)</f>
        <v>143</v>
      </c>
      <c r="E1" s="134">
        <f>SUM(E3:E40)</f>
        <v>53</v>
      </c>
      <c r="F1" s="151">
        <f>E1/D1</f>
        <v>0.37062937062937062</v>
      </c>
    </row>
    <row r="2" spans="1:9" x14ac:dyDescent="0.25">
      <c r="A2" s="48" t="s">
        <v>382</v>
      </c>
      <c r="B2" s="48" t="s">
        <v>383</v>
      </c>
      <c r="C2" s="48" t="s">
        <v>384</v>
      </c>
      <c r="D2" s="48" t="s">
        <v>385</v>
      </c>
      <c r="E2" s="48" t="s">
        <v>386</v>
      </c>
      <c r="F2" s="48" t="s">
        <v>387</v>
      </c>
      <c r="G2" s="48" t="s">
        <v>388</v>
      </c>
      <c r="H2" s="48" t="s">
        <v>389</v>
      </c>
    </row>
    <row r="3" spans="1:9" x14ac:dyDescent="0.25">
      <c r="A3" s="150">
        <v>43617</v>
      </c>
      <c r="B3" s="134" t="s">
        <v>406</v>
      </c>
      <c r="C3" s="152" t="s">
        <v>390</v>
      </c>
      <c r="D3" s="134">
        <v>5</v>
      </c>
      <c r="E3" s="134">
        <v>3</v>
      </c>
      <c r="F3" s="43">
        <f t="shared" ref="F3:F23" si="0">E3/D3</f>
        <v>0.6</v>
      </c>
      <c r="G3" s="134">
        <v>16</v>
      </c>
      <c r="H3" s="34">
        <f>(15+10+14+10+11+10+13+14+13+10+12)/11</f>
        <v>12</v>
      </c>
    </row>
    <row r="4" spans="1:9" x14ac:dyDescent="0.25">
      <c r="A4" s="150">
        <v>43624</v>
      </c>
      <c r="B4" s="152" t="s">
        <v>405</v>
      </c>
      <c r="C4" s="152" t="s">
        <v>390</v>
      </c>
      <c r="D4" s="134">
        <v>4</v>
      </c>
      <c r="E4" s="134">
        <v>2</v>
      </c>
      <c r="F4" s="43">
        <f t="shared" si="0"/>
        <v>0.5</v>
      </c>
      <c r="G4" s="134">
        <v>16</v>
      </c>
      <c r="H4" s="34">
        <f t="shared" ref="H4:H21" si="1">(15+10+14+14+11+10+13+14+13+10+10)/11</f>
        <v>12.181818181818182</v>
      </c>
    </row>
    <row r="5" spans="1:9" x14ac:dyDescent="0.25">
      <c r="A5" s="150">
        <v>43633</v>
      </c>
      <c r="B5" s="152" t="s">
        <v>390</v>
      </c>
      <c r="C5" s="134" t="s">
        <v>403</v>
      </c>
      <c r="D5" s="134">
        <v>10</v>
      </c>
      <c r="E5" s="134">
        <v>3</v>
      </c>
      <c r="F5" s="151">
        <f t="shared" si="0"/>
        <v>0.3</v>
      </c>
      <c r="G5" s="134">
        <v>16</v>
      </c>
      <c r="H5" s="34">
        <f t="shared" si="1"/>
        <v>12.181818181818182</v>
      </c>
    </row>
    <row r="6" spans="1:9" x14ac:dyDescent="0.25">
      <c r="A6" s="150">
        <v>43633</v>
      </c>
      <c r="B6" s="152" t="s">
        <v>390</v>
      </c>
      <c r="C6" s="134" t="s">
        <v>404</v>
      </c>
      <c r="D6" s="134">
        <v>7</v>
      </c>
      <c r="E6" s="134">
        <v>3</v>
      </c>
      <c r="F6" s="151">
        <f t="shared" si="0"/>
        <v>0.42857142857142855</v>
      </c>
      <c r="G6" s="134">
        <v>16</v>
      </c>
      <c r="H6" s="34">
        <f t="shared" si="1"/>
        <v>12.181818181818182</v>
      </c>
    </row>
    <row r="7" spans="1:9" x14ac:dyDescent="0.25">
      <c r="A7" s="150">
        <v>43634</v>
      </c>
      <c r="B7" s="134" t="s">
        <v>401</v>
      </c>
      <c r="C7" s="152" t="s">
        <v>390</v>
      </c>
      <c r="D7" s="134">
        <v>9</v>
      </c>
      <c r="E7" s="134">
        <v>3</v>
      </c>
      <c r="F7" s="151">
        <f t="shared" si="0"/>
        <v>0.33333333333333331</v>
      </c>
      <c r="G7" s="134">
        <v>16</v>
      </c>
      <c r="H7" s="34">
        <f t="shared" si="1"/>
        <v>12.181818181818182</v>
      </c>
    </row>
    <row r="8" spans="1:9" x14ac:dyDescent="0.25">
      <c r="A8" s="150">
        <v>43634</v>
      </c>
      <c r="B8" s="134" t="s">
        <v>402</v>
      </c>
      <c r="C8" s="152" t="s">
        <v>390</v>
      </c>
      <c r="D8" s="134">
        <v>6</v>
      </c>
      <c r="E8" s="134">
        <v>2</v>
      </c>
      <c r="F8" s="151">
        <f t="shared" si="0"/>
        <v>0.33333333333333331</v>
      </c>
      <c r="G8" s="134">
        <v>16</v>
      </c>
      <c r="H8" s="34">
        <f t="shared" si="1"/>
        <v>12.181818181818182</v>
      </c>
    </row>
    <row r="9" spans="1:9" x14ac:dyDescent="0.25">
      <c r="A9" s="150">
        <v>43635</v>
      </c>
      <c r="B9" s="152" t="s">
        <v>390</v>
      </c>
      <c r="C9" s="134" t="s">
        <v>399</v>
      </c>
      <c r="D9" s="134">
        <v>7</v>
      </c>
      <c r="E9" s="134">
        <v>2</v>
      </c>
      <c r="F9" s="151">
        <f t="shared" si="0"/>
        <v>0.2857142857142857</v>
      </c>
      <c r="G9" s="134">
        <v>16</v>
      </c>
      <c r="H9" s="34">
        <f t="shared" si="1"/>
        <v>12.181818181818182</v>
      </c>
    </row>
    <row r="10" spans="1:9" x14ac:dyDescent="0.25">
      <c r="A10" s="150">
        <v>43635</v>
      </c>
      <c r="B10" s="152" t="s">
        <v>390</v>
      </c>
      <c r="C10" s="134" t="s">
        <v>400</v>
      </c>
      <c r="D10" s="134">
        <v>5</v>
      </c>
      <c r="E10" s="134">
        <v>2</v>
      </c>
      <c r="F10" s="151">
        <f t="shared" si="0"/>
        <v>0.4</v>
      </c>
      <c r="G10" s="134">
        <v>16</v>
      </c>
      <c r="H10" s="34">
        <f t="shared" si="1"/>
        <v>12.181818181818182</v>
      </c>
    </row>
    <row r="11" spans="1:9" x14ac:dyDescent="0.25">
      <c r="A11" s="150">
        <v>43636</v>
      </c>
      <c r="B11" s="134" t="s">
        <v>397</v>
      </c>
      <c r="C11" s="152" t="s">
        <v>390</v>
      </c>
      <c r="D11" s="134">
        <v>8</v>
      </c>
      <c r="E11" s="134">
        <v>3</v>
      </c>
      <c r="F11" s="151">
        <f t="shared" si="0"/>
        <v>0.375</v>
      </c>
      <c r="G11" s="134">
        <v>17</v>
      </c>
      <c r="H11" s="34">
        <f t="shared" si="1"/>
        <v>12.181818181818182</v>
      </c>
    </row>
    <row r="12" spans="1:9" x14ac:dyDescent="0.25">
      <c r="A12" s="150">
        <v>43636</v>
      </c>
      <c r="B12" s="134" t="s">
        <v>398</v>
      </c>
      <c r="C12" s="152" t="s">
        <v>390</v>
      </c>
      <c r="D12" s="134">
        <v>9</v>
      </c>
      <c r="E12" s="134">
        <v>2</v>
      </c>
      <c r="F12" s="151">
        <f t="shared" si="0"/>
        <v>0.22222222222222221</v>
      </c>
      <c r="G12" s="134">
        <v>16</v>
      </c>
      <c r="H12" s="34">
        <f t="shared" si="1"/>
        <v>12.181818181818182</v>
      </c>
      <c r="I12" s="34"/>
    </row>
    <row r="13" spans="1:9" x14ac:dyDescent="0.25">
      <c r="A13" s="150">
        <v>43640</v>
      </c>
      <c r="B13" s="134" t="s">
        <v>396</v>
      </c>
      <c r="C13" s="152" t="s">
        <v>390</v>
      </c>
      <c r="D13" s="134">
        <v>3</v>
      </c>
      <c r="E13" s="134">
        <v>2</v>
      </c>
      <c r="F13" s="151">
        <f t="shared" si="0"/>
        <v>0.66666666666666663</v>
      </c>
      <c r="G13" s="134">
        <v>16</v>
      </c>
      <c r="H13" s="34">
        <f t="shared" si="1"/>
        <v>12.181818181818182</v>
      </c>
    </row>
    <row r="14" spans="1:9" x14ac:dyDescent="0.25">
      <c r="A14" s="150">
        <v>43641</v>
      </c>
      <c r="B14" s="152" t="s">
        <v>390</v>
      </c>
      <c r="C14" s="134" t="s">
        <v>393</v>
      </c>
      <c r="D14" s="134">
        <v>8</v>
      </c>
      <c r="E14" s="134">
        <v>3</v>
      </c>
      <c r="F14" s="151">
        <f t="shared" si="0"/>
        <v>0.375</v>
      </c>
      <c r="G14" s="134">
        <v>17</v>
      </c>
      <c r="H14" s="34">
        <f t="shared" si="1"/>
        <v>12.181818181818182</v>
      </c>
    </row>
    <row r="15" spans="1:9" x14ac:dyDescent="0.25">
      <c r="A15" s="150">
        <v>43641</v>
      </c>
      <c r="B15" s="134" t="s">
        <v>394</v>
      </c>
      <c r="C15" s="152" t="s">
        <v>390</v>
      </c>
      <c r="D15" s="134">
        <v>6</v>
      </c>
      <c r="E15" s="134">
        <v>2</v>
      </c>
      <c r="F15" s="151">
        <f t="shared" si="0"/>
        <v>0.33333333333333331</v>
      </c>
      <c r="G15" s="134">
        <v>16</v>
      </c>
      <c r="H15" s="34">
        <f t="shared" si="1"/>
        <v>12.181818181818182</v>
      </c>
    </row>
    <row r="16" spans="1:9" x14ac:dyDescent="0.25">
      <c r="A16" s="150">
        <v>43641</v>
      </c>
      <c r="B16" s="152" t="s">
        <v>390</v>
      </c>
      <c r="C16" s="134" t="s">
        <v>395</v>
      </c>
      <c r="D16" s="134">
        <v>4</v>
      </c>
      <c r="E16" s="134">
        <v>2</v>
      </c>
      <c r="F16" s="151">
        <f t="shared" si="0"/>
        <v>0.5</v>
      </c>
      <c r="G16" s="134">
        <v>16</v>
      </c>
      <c r="H16" s="34">
        <f t="shared" si="1"/>
        <v>12.181818181818182</v>
      </c>
    </row>
    <row r="17" spans="1:8" x14ac:dyDescent="0.25">
      <c r="A17" s="150">
        <v>43642</v>
      </c>
      <c r="B17" s="152" t="s">
        <v>390</v>
      </c>
      <c r="C17" s="134" t="s">
        <v>391</v>
      </c>
      <c r="D17" s="134">
        <v>9</v>
      </c>
      <c r="E17" s="134">
        <v>3</v>
      </c>
      <c r="F17" s="151">
        <f t="shared" si="0"/>
        <v>0.33333333333333331</v>
      </c>
      <c r="G17" s="134">
        <v>16</v>
      </c>
      <c r="H17" s="34">
        <f t="shared" si="1"/>
        <v>12.181818181818182</v>
      </c>
    </row>
    <row r="18" spans="1:8" x14ac:dyDescent="0.25">
      <c r="A18" s="150">
        <v>43642</v>
      </c>
      <c r="B18" s="134" t="s">
        <v>392</v>
      </c>
      <c r="C18" s="152" t="s">
        <v>390</v>
      </c>
      <c r="D18" s="134">
        <v>7</v>
      </c>
      <c r="E18" s="134">
        <v>1</v>
      </c>
      <c r="F18" s="151">
        <f t="shared" si="0"/>
        <v>0.14285714285714285</v>
      </c>
      <c r="G18" s="134">
        <v>17</v>
      </c>
      <c r="H18" s="34">
        <f t="shared" si="1"/>
        <v>12.181818181818182</v>
      </c>
    </row>
    <row r="19" spans="1:8" x14ac:dyDescent="0.25">
      <c r="A19" s="150">
        <v>43643</v>
      </c>
      <c r="B19" s="134" t="s">
        <v>407</v>
      </c>
      <c r="C19" s="152" t="s">
        <v>390</v>
      </c>
      <c r="D19" s="134">
        <v>4</v>
      </c>
      <c r="E19" s="134">
        <v>2</v>
      </c>
      <c r="F19" s="43">
        <f t="shared" si="0"/>
        <v>0.5</v>
      </c>
      <c r="G19" s="134">
        <v>17</v>
      </c>
      <c r="H19" s="34">
        <f t="shared" si="1"/>
        <v>12.181818181818182</v>
      </c>
    </row>
    <row r="20" spans="1:8" x14ac:dyDescent="0.25">
      <c r="A20" s="150">
        <v>43643</v>
      </c>
      <c r="B20" s="152" t="s">
        <v>390</v>
      </c>
      <c r="C20" s="134" t="s">
        <v>408</v>
      </c>
      <c r="D20" s="134">
        <v>6</v>
      </c>
      <c r="E20" s="134">
        <v>1</v>
      </c>
      <c r="F20" s="43">
        <f t="shared" si="0"/>
        <v>0.16666666666666666</v>
      </c>
      <c r="G20" s="134">
        <v>17</v>
      </c>
      <c r="H20" s="34">
        <f t="shared" si="1"/>
        <v>12.181818181818182</v>
      </c>
    </row>
    <row r="21" spans="1:8" x14ac:dyDescent="0.25">
      <c r="A21" s="150">
        <v>43643</v>
      </c>
      <c r="B21" s="134" t="s">
        <v>409</v>
      </c>
      <c r="C21" s="152" t="s">
        <v>390</v>
      </c>
      <c r="D21" s="134">
        <v>7</v>
      </c>
      <c r="E21" s="134">
        <v>3</v>
      </c>
      <c r="F21" s="43">
        <f t="shared" si="0"/>
        <v>0.42857142857142855</v>
      </c>
      <c r="G21" s="134">
        <v>17</v>
      </c>
      <c r="H21" s="34">
        <f t="shared" si="1"/>
        <v>12.181818181818182</v>
      </c>
    </row>
    <row r="22" spans="1:8" x14ac:dyDescent="0.25">
      <c r="A22" s="150">
        <v>43644</v>
      </c>
      <c r="B22" s="152" t="s">
        <v>390</v>
      </c>
      <c r="C22" s="134" t="s">
        <v>675</v>
      </c>
      <c r="D22" s="134">
        <v>10</v>
      </c>
      <c r="E22" s="134">
        <v>4</v>
      </c>
      <c r="F22" s="43">
        <f t="shared" si="0"/>
        <v>0.4</v>
      </c>
      <c r="G22" s="134">
        <v>17</v>
      </c>
      <c r="H22" s="34">
        <f>(15+10+10+14+11+10+13+14+13+10+10)/11</f>
        <v>11.818181818181818</v>
      </c>
    </row>
    <row r="23" spans="1:8" x14ac:dyDescent="0.25">
      <c r="A23" s="150">
        <v>43652</v>
      </c>
      <c r="B23" s="152" t="s">
        <v>390</v>
      </c>
      <c r="C23" s="134" t="s">
        <v>679</v>
      </c>
      <c r="D23" s="134">
        <v>9</v>
      </c>
      <c r="E23" s="134">
        <v>5</v>
      </c>
      <c r="F23" s="43">
        <f t="shared" si="0"/>
        <v>0.55555555555555558</v>
      </c>
      <c r="G23" s="134">
        <v>19</v>
      </c>
      <c r="H23" s="34">
        <f>(15+10+14+10+12+10+14+13+14+10+9)/11</f>
        <v>11.909090909090908</v>
      </c>
    </row>
  </sheetData>
  <sortState ref="A3:H18">
    <sortCondition ref="A3:A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Hall_of_Fame</vt:lpstr>
      <vt:lpstr>Plantilla</vt:lpstr>
      <vt:lpstr>Juveniles</vt:lpstr>
      <vt:lpstr>Planning</vt:lpstr>
      <vt:lpstr>Economia</vt:lpstr>
      <vt:lpstr>Entrenador</vt:lpstr>
      <vt:lpstr>Capitán</vt:lpstr>
      <vt:lpstr>CA_Calcutator</vt:lpstr>
      <vt:lpstr>EstudioConversion</vt:lpstr>
      <vt:lpstr>Evaluacion Jugadores</vt:lpstr>
      <vt:lpstr>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2019-07-08T16:03:22Z</dcterms:modified>
</cp:coreProperties>
</file>