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1E0DF79B-603E-4CF6-BF6A-4DCBE95A21BA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V.252" sheetId="4" r:id="rId4"/>
    <sheet name="Planning" sheetId="5" r:id="rId5"/>
    <sheet name="Economia" sheetId="6" r:id="rId6"/>
    <sheet name="Capitán" sheetId="7" r:id="rId7"/>
    <sheet name="CA_Calcutator" sheetId="8" r:id="rId8"/>
    <sheet name="EstudioConversion" sheetId="9" r:id="rId9"/>
    <sheet name="El Tártaro" sheetId="10" r:id="rId10"/>
    <sheet name="Entrenador" sheetId="11" r:id="rId11"/>
    <sheet name="Banderas" sheetId="12" r:id="rId12"/>
    <sheet name="Evaluacion Jugadores" sheetId="13" r:id="rId13"/>
    <sheet name="LAT" sheetId="14" r:id="rId14"/>
    <sheet name="Delantero" sheetId="15" r:id="rId15"/>
    <sheet name="PorteroTitular" sheetId="16" r:id="rId16"/>
    <sheet name="PorteroSuplente" sheetId="17" r:id="rId17"/>
  </sheets>
  <externalReferences>
    <externalReference r:id="rId18"/>
  </externalReferences>
  <definedNames>
    <definedName name="_xlnm._FilterDatabase" localSheetId="8" hidden="1">EstudioConversion!$A$1:$H$159</definedName>
  </definedNames>
  <calcPr calcId="191029"/>
  <pivotCaches>
    <pivotCache cacheId="0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AE19" i="2" l="1"/>
  <c r="U19" i="2" l="1"/>
  <c r="AF25" i="15" l="1"/>
  <c r="AI25" i="15" s="1"/>
  <c r="AG25" i="15"/>
  <c r="AJ25" i="15" s="1"/>
  <c r="AH25" i="15"/>
  <c r="AK25" i="15" s="1"/>
  <c r="P25" i="15"/>
  <c r="Q25" i="15"/>
  <c r="R25" i="15"/>
  <c r="T25" i="15"/>
  <c r="V25" i="15" s="1"/>
  <c r="U25" i="15"/>
  <c r="X25" i="15"/>
  <c r="Z25" i="15" s="1"/>
  <c r="Y25" i="15"/>
  <c r="O25" i="15"/>
  <c r="S25" i="15"/>
  <c r="W25" i="15"/>
  <c r="AE20" i="2" l="1"/>
  <c r="AB20" i="2"/>
  <c r="Z20" i="2"/>
  <c r="AB16" i="2"/>
  <c r="Z16" i="2"/>
  <c r="AB15" i="2"/>
  <c r="Z15" i="2"/>
  <c r="AA14" i="2"/>
  <c r="Z14" i="2"/>
  <c r="AB9" i="2"/>
  <c r="AA9" i="2"/>
  <c r="Z9" i="2"/>
  <c r="AB7" i="2"/>
  <c r="AA7" i="2"/>
  <c r="AB10" i="2"/>
  <c r="Z10" i="2"/>
  <c r="AB8" i="2"/>
  <c r="AA8" i="2"/>
  <c r="AB6" i="2"/>
  <c r="AA6" i="2"/>
  <c r="AB11" i="2" l="1"/>
  <c r="AA11" i="2"/>
  <c r="AB13" i="2"/>
  <c r="AA13" i="2"/>
  <c r="Z13" i="2"/>
  <c r="AB12" i="2"/>
  <c r="Z12" i="2"/>
  <c r="AA12" i="2"/>
  <c r="AF19" i="15"/>
  <c r="AI19" i="15" s="1"/>
  <c r="AG19" i="15"/>
  <c r="AJ19" i="15" s="1"/>
  <c r="AH19" i="15"/>
  <c r="AK19" i="15" s="1"/>
  <c r="P19" i="15"/>
  <c r="Q19" i="15"/>
  <c r="R19" i="15"/>
  <c r="T19" i="15"/>
  <c r="V19" i="15" s="1"/>
  <c r="U19" i="15"/>
  <c r="X19" i="15"/>
  <c r="Z19" i="15" s="1"/>
  <c r="Y19" i="15"/>
  <c r="O19" i="15"/>
  <c r="S19" i="15"/>
  <c r="W19" i="15"/>
  <c r="AF23" i="15" l="1"/>
  <c r="AI23" i="15" s="1"/>
  <c r="AG23" i="15"/>
  <c r="AJ23" i="15" s="1"/>
  <c r="AH23" i="15"/>
  <c r="AK23" i="15" s="1"/>
  <c r="P23" i="15"/>
  <c r="Q23" i="15"/>
  <c r="R23" i="15"/>
  <c r="T23" i="15"/>
  <c r="V23" i="15" s="1"/>
  <c r="U23" i="15"/>
  <c r="X23" i="15"/>
  <c r="Z23" i="15" s="1"/>
  <c r="Y23" i="15"/>
  <c r="O23" i="15"/>
  <c r="S23" i="15"/>
  <c r="W23" i="15"/>
  <c r="AF9" i="15"/>
  <c r="AI9" i="15" s="1"/>
  <c r="AG9" i="15"/>
  <c r="AJ9" i="15" s="1"/>
  <c r="AH9" i="15"/>
  <c r="AK9" i="15" s="1"/>
  <c r="P9" i="15"/>
  <c r="Q9" i="15"/>
  <c r="R9" i="15"/>
  <c r="T9" i="15"/>
  <c r="V9" i="15" s="1"/>
  <c r="U9" i="15"/>
  <c r="X9" i="15"/>
  <c r="Z9" i="15" s="1"/>
  <c r="Y9" i="15"/>
  <c r="O9" i="15"/>
  <c r="S9" i="15"/>
  <c r="W9" i="15"/>
  <c r="AF5" i="15"/>
  <c r="AI5" i="15" s="1"/>
  <c r="AG5" i="15"/>
  <c r="AJ5" i="15" s="1"/>
  <c r="AH5" i="15"/>
  <c r="AK5" i="15" s="1"/>
  <c r="P5" i="15"/>
  <c r="Q5" i="15"/>
  <c r="R5" i="15"/>
  <c r="T5" i="15"/>
  <c r="V5" i="15" s="1"/>
  <c r="U5" i="15"/>
  <c r="X5" i="15"/>
  <c r="Z5" i="15" s="1"/>
  <c r="Y5" i="15"/>
  <c r="O5" i="15"/>
  <c r="S5" i="15"/>
  <c r="W5" i="15"/>
  <c r="AF8" i="15"/>
  <c r="AI8" i="15" s="1"/>
  <c r="AG8" i="15"/>
  <c r="AJ8" i="15" s="1"/>
  <c r="AH8" i="15"/>
  <c r="AK8" i="15" s="1"/>
  <c r="P8" i="15"/>
  <c r="Q8" i="15"/>
  <c r="R8" i="15"/>
  <c r="T8" i="15"/>
  <c r="V8" i="15" s="1"/>
  <c r="U8" i="15"/>
  <c r="X8" i="15"/>
  <c r="Z8" i="15" s="1"/>
  <c r="Y8" i="15"/>
  <c r="O8" i="15"/>
  <c r="S8" i="15"/>
  <c r="W8" i="15"/>
  <c r="AF10" i="15"/>
  <c r="AI10" i="15" s="1"/>
  <c r="AG10" i="15"/>
  <c r="AJ10" i="15" s="1"/>
  <c r="AH10" i="15"/>
  <c r="AK10" i="15" s="1"/>
  <c r="P10" i="15"/>
  <c r="Q10" i="15"/>
  <c r="R10" i="15"/>
  <c r="T10" i="15"/>
  <c r="V10" i="15" s="1"/>
  <c r="U10" i="15"/>
  <c r="X10" i="15"/>
  <c r="Z10" i="15" s="1"/>
  <c r="Y10" i="15"/>
  <c r="O10" i="15"/>
  <c r="S10" i="15"/>
  <c r="W10" i="15"/>
  <c r="AF14" i="15"/>
  <c r="AI14" i="15" s="1"/>
  <c r="AG14" i="15"/>
  <c r="AJ14" i="15" s="1"/>
  <c r="AH14" i="15"/>
  <c r="AK14" i="15" s="1"/>
  <c r="P14" i="15"/>
  <c r="Q14" i="15"/>
  <c r="R14" i="15"/>
  <c r="T14" i="15"/>
  <c r="V14" i="15" s="1"/>
  <c r="U14" i="15"/>
  <c r="X14" i="15"/>
  <c r="Z14" i="15" s="1"/>
  <c r="Y14" i="15"/>
  <c r="O14" i="15"/>
  <c r="S14" i="15"/>
  <c r="W14" i="15"/>
  <c r="AF27" i="15"/>
  <c r="AI27" i="15" s="1"/>
  <c r="AG27" i="15"/>
  <c r="AJ27" i="15" s="1"/>
  <c r="AH27" i="15"/>
  <c r="AK27" i="15" s="1"/>
  <c r="P27" i="15"/>
  <c r="Q27" i="15"/>
  <c r="R27" i="15"/>
  <c r="T27" i="15"/>
  <c r="V27" i="15" s="1"/>
  <c r="U27" i="15"/>
  <c r="X27" i="15"/>
  <c r="Z27" i="15" s="1"/>
  <c r="Y27" i="15"/>
  <c r="O27" i="15"/>
  <c r="S27" i="15"/>
  <c r="W27" i="15"/>
  <c r="AF7" i="15"/>
  <c r="AI7" i="15" s="1"/>
  <c r="AG7" i="15"/>
  <c r="AJ7" i="15" s="1"/>
  <c r="AH7" i="15"/>
  <c r="AK7" i="15" s="1"/>
  <c r="O7" i="15"/>
  <c r="P7" i="15"/>
  <c r="Q7" i="15"/>
  <c r="R7" i="15"/>
  <c r="S7" i="15"/>
  <c r="T7" i="15"/>
  <c r="V7" i="15" s="1"/>
  <c r="U7" i="15"/>
  <c r="W7" i="15"/>
  <c r="X7" i="15"/>
  <c r="Z7" i="15" s="1"/>
  <c r="Y7" i="15"/>
  <c r="A4" i="13" l="1"/>
  <c r="B4" i="13"/>
  <c r="D4" i="13"/>
  <c r="E4" i="13"/>
  <c r="F4" i="13"/>
  <c r="G4" i="13" s="1"/>
  <c r="J4" i="13"/>
  <c r="K4" i="13"/>
  <c r="L4" i="13"/>
  <c r="M4" i="13"/>
  <c r="N4" i="13"/>
  <c r="O4" i="13"/>
  <c r="R4" i="13" s="1"/>
  <c r="P4" i="13"/>
  <c r="Q4" i="13"/>
  <c r="T4" i="13" s="1"/>
  <c r="S4" i="13"/>
  <c r="A5" i="13"/>
  <c r="B5" i="13"/>
  <c r="D5" i="13"/>
  <c r="E5" i="13"/>
  <c r="F5" i="13"/>
  <c r="G5" i="13"/>
  <c r="H5" i="13"/>
  <c r="J5" i="13"/>
  <c r="K5" i="13"/>
  <c r="L5" i="13"/>
  <c r="M5" i="13"/>
  <c r="N5" i="13"/>
  <c r="O5" i="13"/>
  <c r="P5" i="13"/>
  <c r="Q5" i="13"/>
  <c r="A6" i="13"/>
  <c r="B6" i="13"/>
  <c r="D6" i="13"/>
  <c r="E6" i="13"/>
  <c r="F6" i="13"/>
  <c r="G6" i="13" s="1"/>
  <c r="H6" i="13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H7" i="13"/>
  <c r="J7" i="13"/>
  <c r="K7" i="13"/>
  <c r="L7" i="13"/>
  <c r="M7" i="13"/>
  <c r="N7" i="13"/>
  <c r="O7" i="13"/>
  <c r="R7" i="13" s="1"/>
  <c r="P7" i="13"/>
  <c r="Q7" i="13"/>
  <c r="A8" i="13"/>
  <c r="B8" i="13"/>
  <c r="D8" i="13"/>
  <c r="E8" i="13"/>
  <c r="F8" i="13"/>
  <c r="H8" i="13" s="1"/>
  <c r="J8" i="13"/>
  <c r="K8" i="13"/>
  <c r="L8" i="13"/>
  <c r="M8" i="13"/>
  <c r="N8" i="13"/>
  <c r="O8" i="13"/>
  <c r="R8" i="13" s="1"/>
  <c r="P8" i="13"/>
  <c r="Q8" i="13"/>
  <c r="A9" i="13"/>
  <c r="B9" i="13"/>
  <c r="D9" i="13"/>
  <c r="E9" i="13"/>
  <c r="F9" i="13"/>
  <c r="J9" i="13"/>
  <c r="K9" i="13"/>
  <c r="L9" i="13"/>
  <c r="M9" i="13"/>
  <c r="N9" i="13"/>
  <c r="O9" i="13"/>
  <c r="P9" i="13"/>
  <c r="Q9" i="13"/>
  <c r="R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P10" i="13"/>
  <c r="Q10" i="13"/>
  <c r="S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P11" i="13"/>
  <c r="S11" i="13" s="1"/>
  <c r="Q11" i="13"/>
  <c r="A12" i="13"/>
  <c r="B12" i="13"/>
  <c r="D12" i="13"/>
  <c r="E12" i="13"/>
  <c r="F12" i="13"/>
  <c r="H12" i="13" s="1"/>
  <c r="J12" i="13"/>
  <c r="K12" i="13"/>
  <c r="L12" i="13"/>
  <c r="M12" i="13"/>
  <c r="N12" i="13"/>
  <c r="O12" i="13"/>
  <c r="P12" i="13"/>
  <c r="Q12" i="13"/>
  <c r="T12" i="13" s="1"/>
  <c r="R12" i="13"/>
  <c r="S12" i="13"/>
  <c r="A13" i="13"/>
  <c r="B13" i="13"/>
  <c r="D13" i="13"/>
  <c r="E13" i="13"/>
  <c r="F13" i="13"/>
  <c r="G13" i="13" s="1"/>
  <c r="I13" i="13"/>
  <c r="J13" i="13"/>
  <c r="X13" i="13" s="1"/>
  <c r="K13" i="13"/>
  <c r="L13" i="13"/>
  <c r="M13" i="13"/>
  <c r="N13" i="13"/>
  <c r="O13" i="13"/>
  <c r="P13" i="13"/>
  <c r="Q13" i="13"/>
  <c r="T13" i="13" s="1"/>
  <c r="V13" i="13"/>
  <c r="AN13" i="13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 s="1"/>
  <c r="J16" i="13"/>
  <c r="K16" i="13"/>
  <c r="L16" i="13"/>
  <c r="M16" i="13"/>
  <c r="N16" i="13"/>
  <c r="O16" i="13"/>
  <c r="P16" i="13"/>
  <c r="Q16" i="13"/>
  <c r="S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Q17" i="13"/>
  <c r="S17" i="13"/>
  <c r="T17" i="13"/>
  <c r="A18" i="13"/>
  <c r="B18" i="13"/>
  <c r="D18" i="13"/>
  <c r="E18" i="13"/>
  <c r="F18" i="13"/>
  <c r="G18" i="13" s="1"/>
  <c r="J18" i="13"/>
  <c r="K18" i="13"/>
  <c r="L18" i="13"/>
  <c r="M18" i="13"/>
  <c r="N18" i="13"/>
  <c r="O18" i="13"/>
  <c r="R18" i="13" s="1"/>
  <c r="P18" i="13"/>
  <c r="Q18" i="13"/>
  <c r="A19" i="13"/>
  <c r="B19" i="13"/>
  <c r="D19" i="13"/>
  <c r="E19" i="13"/>
  <c r="F19" i="13"/>
  <c r="G19" i="13"/>
  <c r="H19" i="13"/>
  <c r="J19" i="13"/>
  <c r="K19" i="13"/>
  <c r="L19" i="13"/>
  <c r="M19" i="13"/>
  <c r="N19" i="13"/>
  <c r="O19" i="13"/>
  <c r="P19" i="13"/>
  <c r="S19" i="13" s="1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S18" i="13" l="1"/>
  <c r="AM13" i="13"/>
  <c r="U13" i="13"/>
  <c r="BN13" i="13"/>
  <c r="BJ13" i="13"/>
  <c r="H16" i="13"/>
  <c r="G15" i="13"/>
  <c r="G14" i="13"/>
  <c r="H13" i="13"/>
  <c r="BI13" i="13"/>
  <c r="AK13" i="13"/>
  <c r="BE13" i="13"/>
  <c r="AH13" i="13"/>
  <c r="AE13" i="13"/>
  <c r="CB13" i="13"/>
  <c r="CD13" i="13" s="1"/>
  <c r="CE13" i="13"/>
  <c r="AW13" i="13"/>
  <c r="AY13" i="13" s="1"/>
  <c r="AD13" i="13"/>
  <c r="AF13" i="13" s="1"/>
  <c r="BT13" i="13"/>
  <c r="AQ13" i="13"/>
  <c r="AA13" i="13"/>
  <c r="BO13" i="13"/>
  <c r="AP13" i="13"/>
  <c r="AR13" i="13" s="1"/>
  <c r="G8" i="13"/>
  <c r="H18" i="13"/>
  <c r="S14" i="13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BH13" i="13"/>
  <c r="BM13" i="13"/>
  <c r="AT13" i="13"/>
  <c r="AV13" i="13" s="1"/>
  <c r="BV13" i="13"/>
  <c r="R13" i="13"/>
  <c r="AO13" i="13" s="1"/>
  <c r="BW13" i="13"/>
  <c r="BL13" i="13"/>
  <c r="BY13" i="13"/>
  <c r="CA13" i="13" s="1"/>
  <c r="T15" i="13"/>
  <c r="R19" i="13"/>
  <c r="R16" i="13"/>
  <c r="BZ13" i="13"/>
  <c r="BF13" i="13"/>
  <c r="G17" i="13"/>
  <c r="H17" i="13"/>
  <c r="T10" i="13"/>
  <c r="T5" i="13"/>
  <c r="S15" i="13"/>
  <c r="BR13" i="13"/>
  <c r="R6" i="13"/>
  <c r="T6" i="13"/>
  <c r="T16" i="13"/>
  <c r="T19" i="13"/>
  <c r="R15" i="13"/>
  <c r="BQ13" i="13"/>
  <c r="BA13" i="13"/>
  <c r="BC13" i="13" s="1"/>
  <c r="T11" i="13"/>
  <c r="T14" i="13"/>
  <c r="S9" i="13"/>
  <c r="T9" i="13"/>
  <c r="R17" i="13"/>
  <c r="BB13" i="13"/>
  <c r="S13" i="13"/>
  <c r="AU13" i="13"/>
  <c r="CC13" i="13"/>
  <c r="S5" i="13"/>
  <c r="T7" i="13"/>
  <c r="S7" i="13"/>
  <c r="G12" i="13"/>
  <c r="S8" i="13"/>
  <c r="Z13" i="13"/>
  <c r="AB13" i="13" s="1"/>
  <c r="AI13" i="13"/>
  <c r="BS13" i="13"/>
  <c r="AL13" i="13"/>
  <c r="BD13" i="13"/>
  <c r="W13" i="13"/>
  <c r="Y13" i="13" s="1"/>
  <c r="AX13" i="13"/>
  <c r="BG13" i="13"/>
  <c r="H10" i="13"/>
  <c r="R10" i="13"/>
  <c r="T8" i="13"/>
  <c r="R11" i="13"/>
  <c r="G11" i="13"/>
  <c r="S6" i="13"/>
  <c r="R5" i="13"/>
  <c r="H4" i="13"/>
  <c r="N12" i="9" l="1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4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R13" i="7"/>
  <c r="S13" i="7"/>
  <c r="O13" i="7"/>
  <c r="R12" i="7"/>
  <c r="S12" i="7"/>
  <c r="O12" i="7"/>
  <c r="Q11" i="7"/>
  <c r="R11" i="7"/>
  <c r="S11" i="7"/>
  <c r="O11" i="7"/>
  <c r="R10" i="7"/>
  <c r="S10" i="7"/>
  <c r="O10" i="7"/>
  <c r="Q3" i="7"/>
  <c r="R3" i="7"/>
  <c r="S3" i="7"/>
  <c r="R5" i="7"/>
  <c r="S5" i="7"/>
  <c r="R6" i="7"/>
  <c r="S6" i="7"/>
  <c r="R7" i="7"/>
  <c r="S7" i="7"/>
  <c r="R8" i="7"/>
  <c r="S8" i="7"/>
  <c r="R9" i="7"/>
  <c r="S9" i="7"/>
  <c r="O9" i="7"/>
  <c r="O8" i="7"/>
  <c r="O7" i="7"/>
  <c r="O6" i="7"/>
  <c r="P3" i="7"/>
  <c r="O3" i="7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D6" i="7"/>
  <c r="E6" i="7" s="1"/>
  <c r="G6" i="7"/>
  <c r="H6" i="7"/>
  <c r="A7" i="7"/>
  <c r="B7" i="7"/>
  <c r="C7" i="7"/>
  <c r="D7" i="7"/>
  <c r="E7" i="7" s="1"/>
  <c r="G7" i="7"/>
  <c r="H7" i="7" s="1"/>
  <c r="A8" i="7"/>
  <c r="B8" i="7"/>
  <c r="C8" i="7"/>
  <c r="D8" i="7"/>
  <c r="E8" i="7"/>
  <c r="F8" i="7" s="1"/>
  <c r="G8" i="7"/>
  <c r="H8" i="7" s="1"/>
  <c r="I8" i="7"/>
  <c r="A9" i="7"/>
  <c r="B9" i="7"/>
  <c r="C9" i="7"/>
  <c r="D9" i="7"/>
  <c r="E9" i="7"/>
  <c r="F9" i="7" s="1"/>
  <c r="Q13" i="7" s="1"/>
  <c r="G9" i="7"/>
  <c r="H9" i="7" s="1"/>
  <c r="A10" i="7"/>
  <c r="B10" i="7"/>
  <c r="C10" i="7"/>
  <c r="D10" i="7"/>
  <c r="E10" i="7" s="1"/>
  <c r="G10" i="7"/>
  <c r="H10" i="7" s="1"/>
  <c r="A11" i="7"/>
  <c r="B11" i="7"/>
  <c r="C11" i="7"/>
  <c r="D11" i="7"/>
  <c r="E11" i="7"/>
  <c r="F11" i="7" s="1"/>
  <c r="Q9" i="7" s="1"/>
  <c r="G11" i="7"/>
  <c r="H11" i="7" s="1"/>
  <c r="A12" i="7"/>
  <c r="B12" i="7"/>
  <c r="C12" i="7"/>
  <c r="D12" i="7"/>
  <c r="E12" i="7"/>
  <c r="F12" i="7" s="1"/>
  <c r="G12" i="7"/>
  <c r="H12" i="7" s="1"/>
  <c r="A13" i="7"/>
  <c r="B13" i="7"/>
  <c r="C13" i="7"/>
  <c r="G13" i="7" s="1"/>
  <c r="D13" i="7"/>
  <c r="E13" i="7" s="1"/>
  <c r="A14" i="7"/>
  <c r="B14" i="7"/>
  <c r="C14" i="7"/>
  <c r="G14" i="7" s="1"/>
  <c r="D14" i="7"/>
  <c r="E14" i="7" s="1"/>
  <c r="F14" i="7" s="1"/>
  <c r="A15" i="7"/>
  <c r="B15" i="7"/>
  <c r="C15" i="7"/>
  <c r="D15" i="7"/>
  <c r="E15" i="7" s="1"/>
  <c r="G15" i="7"/>
  <c r="H15" i="7" s="1"/>
  <c r="A16" i="7"/>
  <c r="B16" i="7"/>
  <c r="C16" i="7"/>
  <c r="D16" i="7"/>
  <c r="E16" i="7"/>
  <c r="F16" i="7" s="1"/>
  <c r="Q6" i="7" s="1"/>
  <c r="G16" i="7"/>
  <c r="H16" i="7" s="1"/>
  <c r="A17" i="7"/>
  <c r="B17" i="7"/>
  <c r="C17" i="7"/>
  <c r="G17" i="7" s="1"/>
  <c r="D17" i="7"/>
  <c r="E17" i="7"/>
  <c r="F17" i="7" s="1"/>
  <c r="Q10" i="7" s="1"/>
  <c r="A18" i="7"/>
  <c r="O4" i="7" s="1"/>
  <c r="B18" i="7"/>
  <c r="C18" i="7"/>
  <c r="G18" i="7" s="1"/>
  <c r="R4" i="7" s="1"/>
  <c r="D18" i="7"/>
  <c r="E18" i="7" s="1"/>
  <c r="A19" i="7"/>
  <c r="B19" i="7"/>
  <c r="C19" i="7"/>
  <c r="D19" i="7"/>
  <c r="E19" i="7" s="1"/>
  <c r="G19" i="7"/>
  <c r="H19" i="7" s="1"/>
  <c r="P10" i="7" l="1"/>
  <c r="F15" i="7"/>
  <c r="I15" i="7"/>
  <c r="J8" i="7"/>
  <c r="P11" i="7"/>
  <c r="F6" i="7"/>
  <c r="I6" i="7"/>
  <c r="J6" i="7"/>
  <c r="P13" i="7"/>
  <c r="I9" i="7"/>
  <c r="P12" i="7"/>
  <c r="F7" i="7"/>
  <c r="Q12" i="7" s="1"/>
  <c r="J7" i="7"/>
  <c r="F10" i="7"/>
  <c r="Q8" i="7" s="1"/>
  <c r="P8" i="7"/>
  <c r="J10" i="7"/>
  <c r="I11" i="7"/>
  <c r="P9" i="7"/>
  <c r="J11" i="7"/>
  <c r="F19" i="7"/>
  <c r="I19" i="7"/>
  <c r="J19" i="7"/>
  <c r="J16" i="7"/>
  <c r="P6" i="7"/>
  <c r="F13" i="7"/>
  <c r="Q7" i="7" s="1"/>
  <c r="P7" i="7"/>
  <c r="F18" i="7"/>
  <c r="Q4" i="7" s="1"/>
  <c r="P4" i="7"/>
  <c r="I17" i="7"/>
  <c r="H17" i="7"/>
  <c r="J17" i="7" s="1"/>
  <c r="J15" i="7"/>
  <c r="H14" i="7"/>
  <c r="J14" i="7" s="1"/>
  <c r="I14" i="7"/>
  <c r="J12" i="7"/>
  <c r="I13" i="7"/>
  <c r="H13" i="7"/>
  <c r="H4" i="7"/>
  <c r="J4" i="7" s="1"/>
  <c r="I4" i="7"/>
  <c r="H18" i="7"/>
  <c r="I18" i="7"/>
  <c r="H5" i="7"/>
  <c r="J5" i="7" s="1"/>
  <c r="I5" i="7"/>
  <c r="J9" i="7"/>
  <c r="I16" i="7"/>
  <c r="I12" i="7"/>
  <c r="I7" i="7"/>
  <c r="I10" i="7"/>
  <c r="AA15" i="2"/>
  <c r="J13" i="7" l="1"/>
  <c r="J18" i="7"/>
  <c r="S4" i="7"/>
  <c r="U10" i="17" l="1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H24" i="15"/>
  <c r="AK24" i="15" s="1"/>
  <c r="AG24" i="15"/>
  <c r="AJ24" i="15" s="1"/>
  <c r="AF24" i="15"/>
  <c r="AI24" i="15" s="1"/>
  <c r="Y24" i="15"/>
  <c r="X24" i="15"/>
  <c r="Z24" i="15" s="1"/>
  <c r="W24" i="15"/>
  <c r="U24" i="15"/>
  <c r="T24" i="15"/>
  <c r="V24" i="15" s="1"/>
  <c r="S24" i="15"/>
  <c r="R24" i="15"/>
  <c r="Q24" i="15"/>
  <c r="P24" i="15"/>
  <c r="O24" i="15"/>
  <c r="AH31" i="15"/>
  <c r="AK31" i="15" s="1"/>
  <c r="AG31" i="15"/>
  <c r="AJ31" i="15" s="1"/>
  <c r="AF31" i="15"/>
  <c r="AI31" i="15" s="1"/>
  <c r="Y31" i="15"/>
  <c r="X31" i="15"/>
  <c r="Z31" i="15" s="1"/>
  <c r="W31" i="15"/>
  <c r="U31" i="15"/>
  <c r="T31" i="15"/>
  <c r="V31" i="15" s="1"/>
  <c r="S31" i="15"/>
  <c r="R31" i="15"/>
  <c r="Q31" i="15"/>
  <c r="P31" i="15"/>
  <c r="O31" i="15"/>
  <c r="AH17" i="15"/>
  <c r="AK17" i="15" s="1"/>
  <c r="AG17" i="15"/>
  <c r="AJ17" i="15" s="1"/>
  <c r="AF17" i="15"/>
  <c r="AI17" i="15" s="1"/>
  <c r="Y17" i="15"/>
  <c r="X17" i="15"/>
  <c r="Z17" i="15" s="1"/>
  <c r="W17" i="15"/>
  <c r="U17" i="15"/>
  <c r="T17" i="15"/>
  <c r="V17" i="15" s="1"/>
  <c r="S17" i="15"/>
  <c r="R17" i="15"/>
  <c r="Q17" i="15"/>
  <c r="P17" i="15"/>
  <c r="O17" i="15"/>
  <c r="AH18" i="15"/>
  <c r="AK18" i="15" s="1"/>
  <c r="AG18" i="15"/>
  <c r="AJ18" i="15" s="1"/>
  <c r="AF18" i="15"/>
  <c r="AI18" i="15" s="1"/>
  <c r="Y18" i="15"/>
  <c r="X18" i="15"/>
  <c r="Z18" i="15" s="1"/>
  <c r="W18" i="15"/>
  <c r="U18" i="15"/>
  <c r="T18" i="15"/>
  <c r="V18" i="15" s="1"/>
  <c r="S18" i="15"/>
  <c r="R18" i="15"/>
  <c r="Q18" i="15"/>
  <c r="P18" i="15"/>
  <c r="O18" i="15"/>
  <c r="AH26" i="15"/>
  <c r="AK26" i="15" s="1"/>
  <c r="AG26" i="15"/>
  <c r="AJ26" i="15" s="1"/>
  <c r="AB26" i="15"/>
  <c r="AF26" i="15" s="1"/>
  <c r="AI26" i="15" s="1"/>
  <c r="Y26" i="15"/>
  <c r="X26" i="15"/>
  <c r="Z26" i="15" s="1"/>
  <c r="W26" i="15"/>
  <c r="U26" i="15"/>
  <c r="T26" i="15"/>
  <c r="V26" i="15" s="1"/>
  <c r="S26" i="15"/>
  <c r="R26" i="15"/>
  <c r="Q26" i="15"/>
  <c r="P26" i="15"/>
  <c r="O26" i="15"/>
  <c r="AH16" i="15"/>
  <c r="AK16" i="15" s="1"/>
  <c r="AG16" i="15"/>
  <c r="AJ16" i="15" s="1"/>
  <c r="AF16" i="15"/>
  <c r="AI16" i="15" s="1"/>
  <c r="Y16" i="15"/>
  <c r="X16" i="15"/>
  <c r="Z16" i="15" s="1"/>
  <c r="W16" i="15"/>
  <c r="U16" i="15"/>
  <c r="T16" i="15"/>
  <c r="V16" i="15" s="1"/>
  <c r="S16" i="15"/>
  <c r="R16" i="15"/>
  <c r="Q16" i="15"/>
  <c r="P16" i="15"/>
  <c r="O16" i="15"/>
  <c r="AB29" i="15"/>
  <c r="AH29" i="15" s="1"/>
  <c r="AK29" i="15" s="1"/>
  <c r="Y29" i="15"/>
  <c r="X29" i="15"/>
  <c r="Z29" i="15" s="1"/>
  <c r="W29" i="15"/>
  <c r="U29" i="15"/>
  <c r="T29" i="15"/>
  <c r="V29" i="15" s="1"/>
  <c r="S29" i="15"/>
  <c r="R29" i="15"/>
  <c r="Q29" i="15"/>
  <c r="P29" i="15"/>
  <c r="O29" i="15"/>
  <c r="AH20" i="15"/>
  <c r="AK20" i="15" s="1"/>
  <c r="AG20" i="15"/>
  <c r="AJ20" i="15" s="1"/>
  <c r="AF20" i="15"/>
  <c r="AI20" i="15" s="1"/>
  <c r="Y20" i="15"/>
  <c r="X20" i="15"/>
  <c r="Z20" i="15" s="1"/>
  <c r="W20" i="15"/>
  <c r="U20" i="15"/>
  <c r="T20" i="15"/>
  <c r="V20" i="15" s="1"/>
  <c r="S20" i="15"/>
  <c r="R20" i="15"/>
  <c r="Q20" i="15"/>
  <c r="P20" i="15"/>
  <c r="O20" i="15"/>
  <c r="AH22" i="15"/>
  <c r="AK22" i="15" s="1"/>
  <c r="AG22" i="15"/>
  <c r="AJ22" i="15" s="1"/>
  <c r="AF22" i="15"/>
  <c r="AI22" i="15" s="1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B15" i="15"/>
  <c r="AH15" i="15" s="1"/>
  <c r="AK15" i="15" s="1"/>
  <c r="Y15" i="15"/>
  <c r="X15" i="15"/>
  <c r="Z15" i="15" s="1"/>
  <c r="W15" i="15"/>
  <c r="U15" i="15"/>
  <c r="T15" i="15"/>
  <c r="V15" i="15" s="1"/>
  <c r="S15" i="15"/>
  <c r="R15" i="15"/>
  <c r="Q15" i="15"/>
  <c r="P15" i="15"/>
  <c r="O15" i="15"/>
  <c r="AH30" i="15"/>
  <c r="AK30" i="15" s="1"/>
  <c r="AG30" i="15"/>
  <c r="AJ30" i="15" s="1"/>
  <c r="AF30" i="15"/>
  <c r="AI30" i="15" s="1"/>
  <c r="Y30" i="15"/>
  <c r="X30" i="15"/>
  <c r="Z30" i="15" s="1"/>
  <c r="W30" i="15"/>
  <c r="U30" i="15"/>
  <c r="T30" i="15"/>
  <c r="V30" i="15" s="1"/>
  <c r="S30" i="15"/>
  <c r="R30" i="15"/>
  <c r="Q30" i="15"/>
  <c r="P30" i="15"/>
  <c r="O30" i="15"/>
  <c r="AH28" i="15"/>
  <c r="AK28" i="15" s="1"/>
  <c r="AG28" i="15"/>
  <c r="AJ28" i="15" s="1"/>
  <c r="AF28" i="15"/>
  <c r="AI28" i="15" s="1"/>
  <c r="Y28" i="15"/>
  <c r="X28" i="15"/>
  <c r="Z28" i="15" s="1"/>
  <c r="W28" i="15"/>
  <c r="U28" i="15"/>
  <c r="T28" i="15"/>
  <c r="V28" i="15" s="1"/>
  <c r="S28" i="15"/>
  <c r="R28" i="15"/>
  <c r="Q28" i="15"/>
  <c r="P28" i="15"/>
  <c r="O28" i="15"/>
  <c r="AH21" i="15"/>
  <c r="AK21" i="15" s="1"/>
  <c r="AG21" i="15"/>
  <c r="AJ21" i="15" s="1"/>
  <c r="AF21" i="15"/>
  <c r="AI21" i="15" s="1"/>
  <c r="Y21" i="15"/>
  <c r="X21" i="15"/>
  <c r="Z21" i="15" s="1"/>
  <c r="W21" i="15"/>
  <c r="U21" i="15"/>
  <c r="T21" i="15"/>
  <c r="V21" i="15" s="1"/>
  <c r="S21" i="15"/>
  <c r="R21" i="15"/>
  <c r="Q21" i="15"/>
  <c r="P21" i="15"/>
  <c r="O21" i="15"/>
  <c r="AH6" i="15"/>
  <c r="AK6" i="15" s="1"/>
  <c r="AG6" i="15"/>
  <c r="AJ6" i="15" s="1"/>
  <c r="AF6" i="15"/>
  <c r="AI6" i="15" s="1"/>
  <c r="Y6" i="15"/>
  <c r="X6" i="15"/>
  <c r="Z6" i="15" s="1"/>
  <c r="W6" i="15"/>
  <c r="U6" i="15"/>
  <c r="T6" i="15"/>
  <c r="V6" i="15" s="1"/>
  <c r="S6" i="15"/>
  <c r="R6" i="15"/>
  <c r="Q6" i="15"/>
  <c r="P6" i="15"/>
  <c r="O6" i="15"/>
  <c r="AH13" i="15"/>
  <c r="AK13" i="15" s="1"/>
  <c r="AG13" i="15"/>
  <c r="AJ13" i="15" s="1"/>
  <c r="AF13" i="15"/>
  <c r="AI13" i="15" s="1"/>
  <c r="Y13" i="15"/>
  <c r="X13" i="15"/>
  <c r="Z13" i="15" s="1"/>
  <c r="W13" i="15"/>
  <c r="U13" i="15"/>
  <c r="T13" i="15"/>
  <c r="V13" i="15" s="1"/>
  <c r="S13" i="15"/>
  <c r="R13" i="15"/>
  <c r="Q13" i="15"/>
  <c r="P13" i="15"/>
  <c r="O13" i="15"/>
  <c r="AH11" i="15"/>
  <c r="AK11" i="15" s="1"/>
  <c r="AG11" i="15"/>
  <c r="AJ11" i="15" s="1"/>
  <c r="AF11" i="15"/>
  <c r="AI11" i="15" s="1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AH12" i="15"/>
  <c r="AK12" i="15" s="1"/>
  <c r="AG12" i="15"/>
  <c r="AJ12" i="15" s="1"/>
  <c r="AF12" i="15"/>
  <c r="AI12" i="15" s="1"/>
  <c r="Y12" i="15"/>
  <c r="X12" i="15"/>
  <c r="Z12" i="15" s="1"/>
  <c r="W12" i="15"/>
  <c r="U12" i="15"/>
  <c r="T12" i="15"/>
  <c r="V12" i="15" s="1"/>
  <c r="S12" i="15"/>
  <c r="R12" i="15"/>
  <c r="Q12" i="15"/>
  <c r="P12" i="15"/>
  <c r="O12" i="15"/>
  <c r="AB3" i="15"/>
  <c r="Y3" i="15"/>
  <c r="X3" i="15"/>
  <c r="Z3" i="15" s="1"/>
  <c r="W3" i="15"/>
  <c r="U3" i="15"/>
  <c r="T3" i="15"/>
  <c r="V3" i="15" s="1"/>
  <c r="S3" i="15"/>
  <c r="R3" i="15"/>
  <c r="Q3" i="15"/>
  <c r="P3" i="15"/>
  <c r="O3" i="15"/>
  <c r="AH4" i="15"/>
  <c r="AK4" i="15" s="1"/>
  <c r="AG4" i="15"/>
  <c r="AJ4" i="15" s="1"/>
  <c r="AF4" i="15"/>
  <c r="AI4" i="15" s="1"/>
  <c r="AB4" i="15"/>
  <c r="Y4" i="15"/>
  <c r="X4" i="15"/>
  <c r="Z4" i="15" s="1"/>
  <c r="W4" i="15"/>
  <c r="U4" i="15"/>
  <c r="T4" i="15"/>
  <c r="V4" i="15" s="1"/>
  <c r="S4" i="15"/>
  <c r="R4" i="15"/>
  <c r="Q4" i="15"/>
  <c r="P4" i="15"/>
  <c r="O4" i="15"/>
  <c r="K21" i="14"/>
  <c r="J21" i="14"/>
  <c r="G21" i="14"/>
  <c r="F21" i="14"/>
  <c r="E21" i="14"/>
  <c r="C21" i="14"/>
  <c r="B21" i="14"/>
  <c r="A21" i="14"/>
  <c r="K20" i="14"/>
  <c r="J20" i="14"/>
  <c r="I20" i="14"/>
  <c r="H20" i="14"/>
  <c r="G20" i="14"/>
  <c r="F20" i="14"/>
  <c r="E20" i="14"/>
  <c r="C20" i="14"/>
  <c r="B20" i="14"/>
  <c r="A20" i="14"/>
  <c r="K19" i="14"/>
  <c r="J19" i="14"/>
  <c r="I19" i="14"/>
  <c r="H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D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D16" i="14"/>
  <c r="C16" i="14"/>
  <c r="B16" i="14"/>
  <c r="A16" i="14"/>
  <c r="S15" i="14"/>
  <c r="R15" i="14"/>
  <c r="Q15" i="14"/>
  <c r="P15" i="14"/>
  <c r="O15" i="14"/>
  <c r="N15" i="14"/>
  <c r="M15" i="14"/>
  <c r="L15" i="14"/>
  <c r="T15" i="14" s="1"/>
  <c r="K15" i="14"/>
  <c r="J15" i="14"/>
  <c r="I15" i="14"/>
  <c r="G15" i="14"/>
  <c r="E15" i="14"/>
  <c r="C15" i="14"/>
  <c r="B15" i="14"/>
  <c r="A15" i="14"/>
  <c r="R14" i="14"/>
  <c r="P14" i="14"/>
  <c r="L14" i="14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R12" i="14"/>
  <c r="P12" i="14"/>
  <c r="O12" i="14"/>
  <c r="N12" i="14"/>
  <c r="L12" i="14"/>
  <c r="S12" i="14" s="1"/>
  <c r="G12" i="14"/>
  <c r="E12" i="14"/>
  <c r="C12" i="14"/>
  <c r="B12" i="14"/>
  <c r="A12" i="14"/>
  <c r="T11" i="14"/>
  <c r="S11" i="14"/>
  <c r="R11" i="14"/>
  <c r="O11" i="14"/>
  <c r="N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N9" i="14"/>
  <c r="M9" i="14"/>
  <c r="L9" i="14"/>
  <c r="J9" i="14"/>
  <c r="H9" i="14"/>
  <c r="G9" i="14"/>
  <c r="E9" i="14"/>
  <c r="C9" i="14"/>
  <c r="B9" i="14"/>
  <c r="A9" i="14"/>
  <c r="O8" i="14"/>
  <c r="U8" i="14" s="1"/>
  <c r="N8" i="14"/>
  <c r="M8" i="14"/>
  <c r="L8" i="14"/>
  <c r="K8" i="14"/>
  <c r="J8" i="14"/>
  <c r="G8" i="14"/>
  <c r="E8" i="14"/>
  <c r="C8" i="14"/>
  <c r="B8" i="14"/>
  <c r="A8" i="14"/>
  <c r="O7" i="14"/>
  <c r="U7" i="14" s="1"/>
  <c r="N7" i="14"/>
  <c r="M7" i="14"/>
  <c r="L7" i="14"/>
  <c r="K7" i="14"/>
  <c r="J7" i="14"/>
  <c r="G7" i="14"/>
  <c r="E7" i="14"/>
  <c r="C7" i="14"/>
  <c r="B7" i="14"/>
  <c r="A7" i="14"/>
  <c r="O6" i="14"/>
  <c r="U6" i="14" s="1"/>
  <c r="N6" i="14"/>
  <c r="M6" i="14"/>
  <c r="L6" i="14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H3" i="13"/>
  <c r="G3" i="13"/>
  <c r="F3" i="13"/>
  <c r="E3" i="13"/>
  <c r="D3" i="13"/>
  <c r="B3" i="13"/>
  <c r="A3" i="13"/>
  <c r="T76" i="11"/>
  <c r="U76" i="11" s="1"/>
  <c r="S76" i="11"/>
  <c r="Q76" i="11"/>
  <c r="O76" i="11"/>
  <c r="T75" i="11"/>
  <c r="S75" i="11"/>
  <c r="O75" i="11"/>
  <c r="Q75" i="11" s="1"/>
  <c r="U74" i="11"/>
  <c r="T74" i="11"/>
  <c r="S74" i="11"/>
  <c r="O74" i="11"/>
  <c r="Q74" i="11" s="1"/>
  <c r="T73" i="11"/>
  <c r="S73" i="11"/>
  <c r="Q73" i="11"/>
  <c r="O73" i="11"/>
  <c r="T72" i="11"/>
  <c r="S72" i="11"/>
  <c r="U72" i="11" s="1"/>
  <c r="O72" i="11"/>
  <c r="Q72" i="11" s="1"/>
  <c r="U71" i="11"/>
  <c r="T71" i="11"/>
  <c r="S71" i="11"/>
  <c r="O71" i="11"/>
  <c r="Q71" i="11" s="1"/>
  <c r="T70" i="11"/>
  <c r="S70" i="11"/>
  <c r="U70" i="11" s="1"/>
  <c r="Q70" i="11"/>
  <c r="O70" i="11"/>
  <c r="T69" i="11"/>
  <c r="S69" i="11"/>
  <c r="U69" i="11" s="1"/>
  <c r="Q69" i="11"/>
  <c r="O69" i="11"/>
  <c r="T68" i="11"/>
  <c r="U68" i="11" s="1"/>
  <c r="S68" i="11"/>
  <c r="Q68" i="11"/>
  <c r="O68" i="11"/>
  <c r="T67" i="11"/>
  <c r="S67" i="11"/>
  <c r="O67" i="11"/>
  <c r="Q67" i="11" s="1"/>
  <c r="U66" i="11"/>
  <c r="T66" i="1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U63" i="11"/>
  <c r="T63" i="11"/>
  <c r="S63" i="11"/>
  <c r="O63" i="11"/>
  <c r="Q63" i="11" s="1"/>
  <c r="T62" i="11"/>
  <c r="S62" i="11"/>
  <c r="U62" i="11" s="1"/>
  <c r="Q62" i="11"/>
  <c r="O62" i="11"/>
  <c r="T61" i="11"/>
  <c r="S61" i="11"/>
  <c r="U61" i="11" s="1"/>
  <c r="Q61" i="11"/>
  <c r="O61" i="11"/>
  <c r="T60" i="11"/>
  <c r="U60" i="11" s="1"/>
  <c r="S60" i="11"/>
  <c r="Q60" i="11"/>
  <c r="O60" i="11"/>
  <c r="T59" i="11"/>
  <c r="S59" i="11"/>
  <c r="U59" i="11" s="1"/>
  <c r="O59" i="11"/>
  <c r="Q59" i="11" s="1"/>
  <c r="U58" i="11"/>
  <c r="T58" i="11"/>
  <c r="S58" i="11"/>
  <c r="O58" i="11"/>
  <c r="Q58" i="11" s="1"/>
  <c r="T57" i="11"/>
  <c r="S57" i="11"/>
  <c r="U57" i="11" s="1"/>
  <c r="Q57" i="11"/>
  <c r="O57" i="11"/>
  <c r="T56" i="11"/>
  <c r="S56" i="11"/>
  <c r="U56" i="11" s="1"/>
  <c r="O56" i="11"/>
  <c r="Q56" i="11" s="1"/>
  <c r="U55" i="11"/>
  <c r="T55" i="11"/>
  <c r="S55" i="11"/>
  <c r="O55" i="11"/>
  <c r="Q55" i="11" s="1"/>
  <c r="U54" i="11"/>
  <c r="T54" i="11"/>
  <c r="S54" i="11"/>
  <c r="Q54" i="11"/>
  <c r="O54" i="11"/>
  <c r="T53" i="11"/>
  <c r="S53" i="11"/>
  <c r="U53" i="11" s="1"/>
  <c r="Q53" i="11"/>
  <c r="O53" i="11"/>
  <c r="U52" i="11"/>
  <c r="T52" i="11"/>
  <c r="S52" i="11"/>
  <c r="Q52" i="11"/>
  <c r="O52" i="11"/>
  <c r="T51" i="11"/>
  <c r="S51" i="11"/>
  <c r="U51" i="11" s="1"/>
  <c r="O51" i="11"/>
  <c r="Q51" i="11" s="1"/>
  <c r="U50" i="11"/>
  <c r="T50" i="11"/>
  <c r="S50" i="11"/>
  <c r="O50" i="11"/>
  <c r="Q50" i="11" s="1"/>
  <c r="T49" i="11"/>
  <c r="S49" i="11"/>
  <c r="U49" i="11" s="1"/>
  <c r="Q49" i="11"/>
  <c r="O49" i="11"/>
  <c r="T48" i="11"/>
  <c r="S48" i="11"/>
  <c r="U48" i="11" s="1"/>
  <c r="O48" i="11"/>
  <c r="Q48" i="11" s="1"/>
  <c r="U47" i="11"/>
  <c r="T47" i="11"/>
  <c r="S47" i="11"/>
  <c r="O47" i="11"/>
  <c r="Q47" i="11" s="1"/>
  <c r="U46" i="11"/>
  <c r="T46" i="11"/>
  <c r="S46" i="11"/>
  <c r="Q46" i="11"/>
  <c r="O46" i="11"/>
  <c r="T45" i="11"/>
  <c r="S45" i="11"/>
  <c r="U45" i="11" s="1"/>
  <c r="Q45" i="11"/>
  <c r="O45" i="11"/>
  <c r="T44" i="11"/>
  <c r="U44" i="11" s="1"/>
  <c r="S44" i="11"/>
  <c r="Q44" i="11"/>
  <c r="O44" i="11"/>
  <c r="T43" i="11"/>
  <c r="S43" i="11"/>
  <c r="U43" i="11" s="1"/>
  <c r="Q43" i="11"/>
  <c r="O43" i="11"/>
  <c r="U42" i="11"/>
  <c r="T42" i="11"/>
  <c r="S42" i="11"/>
  <c r="O42" i="11"/>
  <c r="Q42" i="11" s="1"/>
  <c r="T41" i="11"/>
  <c r="S41" i="11"/>
  <c r="U41" i="11" s="1"/>
  <c r="Q41" i="11"/>
  <c r="O41" i="11"/>
  <c r="T40" i="11"/>
  <c r="S40" i="11"/>
  <c r="U40" i="11" s="1"/>
  <c r="O40" i="11"/>
  <c r="Q40" i="11" s="1"/>
  <c r="U39" i="11"/>
  <c r="T39" i="11"/>
  <c r="S39" i="11"/>
  <c r="O39" i="11"/>
  <c r="Q39" i="11" s="1"/>
  <c r="T38" i="11"/>
  <c r="S38" i="11"/>
  <c r="U38" i="11" s="1"/>
  <c r="Q38" i="11"/>
  <c r="O38" i="11"/>
  <c r="T37" i="11"/>
  <c r="S37" i="11"/>
  <c r="U37" i="11" s="1"/>
  <c r="Q37" i="11"/>
  <c r="O37" i="11"/>
  <c r="U36" i="11"/>
  <c r="T36" i="11"/>
  <c r="S36" i="11"/>
  <c r="Q36" i="11"/>
  <c r="O36" i="11"/>
  <c r="T35" i="11"/>
  <c r="S35" i="11"/>
  <c r="U35" i="11" s="1"/>
  <c r="O35" i="11"/>
  <c r="Q35" i="11" s="1"/>
  <c r="U34" i="11"/>
  <c r="T34" i="11"/>
  <c r="S34" i="11"/>
  <c r="O34" i="11"/>
  <c r="Q34" i="11" s="1"/>
  <c r="T33" i="11"/>
  <c r="S33" i="11"/>
  <c r="Q33" i="11"/>
  <c r="O33" i="11"/>
  <c r="B33" i="11"/>
  <c r="T32" i="11"/>
  <c r="S32" i="11"/>
  <c r="U32" i="11" s="1"/>
  <c r="Q32" i="11"/>
  <c r="O32" i="11"/>
  <c r="T31" i="11"/>
  <c r="S31" i="11"/>
  <c r="U31" i="11" s="1"/>
  <c r="Q31" i="11"/>
  <c r="O31" i="11"/>
  <c r="B31" i="11"/>
  <c r="B32" i="11" s="1"/>
  <c r="U30" i="11"/>
  <c r="T30" i="11"/>
  <c r="S30" i="11"/>
  <c r="O30" i="11"/>
  <c r="Q30" i="11" s="1"/>
  <c r="T29" i="11"/>
  <c r="S29" i="11"/>
  <c r="U29" i="11" s="1"/>
  <c r="Q29" i="11"/>
  <c r="O29" i="11"/>
  <c r="T28" i="11"/>
  <c r="S28" i="11"/>
  <c r="U28" i="11" s="1"/>
  <c r="Q28" i="11"/>
  <c r="O28" i="11"/>
  <c r="U27" i="11"/>
  <c r="T27" i="11"/>
  <c r="S27" i="11"/>
  <c r="Q27" i="11"/>
  <c r="O27" i="11"/>
  <c r="T26" i="11"/>
  <c r="S26" i="11"/>
  <c r="O26" i="11"/>
  <c r="Q26" i="11" s="1"/>
  <c r="U25" i="11"/>
  <c r="T25" i="1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U22" i="11"/>
  <c r="T22" i="11"/>
  <c r="S22" i="11"/>
  <c r="O22" i="11"/>
  <c r="Q22" i="11" s="1"/>
  <c r="U21" i="11"/>
  <c r="T21" i="11"/>
  <c r="S21" i="11"/>
  <c r="Q21" i="11"/>
  <c r="O21" i="11"/>
  <c r="U20" i="11"/>
  <c r="T20" i="11"/>
  <c r="S20" i="11"/>
  <c r="Q20" i="11"/>
  <c r="O20" i="11"/>
  <c r="T19" i="11"/>
  <c r="U19" i="11" s="1"/>
  <c r="S19" i="11"/>
  <c r="Q19" i="11"/>
  <c r="O19" i="11"/>
  <c r="T18" i="11"/>
  <c r="S18" i="11"/>
  <c r="U18" i="11" s="1"/>
  <c r="O18" i="11"/>
  <c r="Q18" i="11" s="1"/>
  <c r="U17" i="11"/>
  <c r="T17" i="11"/>
  <c r="S17" i="1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U14" i="11"/>
  <c r="T14" i="11"/>
  <c r="S14" i="11"/>
  <c r="O14" i="11"/>
  <c r="Q14" i="11" s="1"/>
  <c r="T13" i="11"/>
  <c r="S13" i="11"/>
  <c r="U13" i="11" s="1"/>
  <c r="Q13" i="11"/>
  <c r="O13" i="11"/>
  <c r="U12" i="11"/>
  <c r="T12" i="11"/>
  <c r="S12" i="11"/>
  <c r="Q12" i="11"/>
  <c r="O12" i="11"/>
  <c r="T11" i="11"/>
  <c r="U11" i="11" s="1"/>
  <c r="S11" i="11"/>
  <c r="Q11" i="11"/>
  <c r="O11" i="11"/>
  <c r="T10" i="11"/>
  <c r="S10" i="11"/>
  <c r="U10" i="11" s="1"/>
  <c r="O10" i="11"/>
  <c r="Q10" i="11" s="1"/>
  <c r="U9" i="11"/>
  <c r="T9" i="11"/>
  <c r="S9" i="11"/>
  <c r="O9" i="11"/>
  <c r="Q9" i="11" s="1"/>
  <c r="K9" i="11"/>
  <c r="T8" i="11"/>
  <c r="U8" i="11" s="1"/>
  <c r="S8" i="11"/>
  <c r="Q8" i="11"/>
  <c r="O8" i="11"/>
  <c r="T7" i="11"/>
  <c r="S7" i="11"/>
  <c r="U7" i="11" s="1"/>
  <c r="O7" i="11"/>
  <c r="Q7" i="11" s="1"/>
  <c r="U6" i="11"/>
  <c r="T6" i="11"/>
  <c r="S6" i="11"/>
  <c r="O6" i="11"/>
  <c r="Q6" i="11" s="1"/>
  <c r="T5" i="11"/>
  <c r="S5" i="11"/>
  <c r="U5" i="11" s="1"/>
  <c r="Q5" i="11"/>
  <c r="O5" i="11"/>
  <c r="T4" i="11"/>
  <c r="S4" i="11"/>
  <c r="U4" i="11" s="1"/>
  <c r="O4" i="11"/>
  <c r="Q4" i="11" s="1"/>
  <c r="U3" i="11"/>
  <c r="T3" i="11"/>
  <c r="S3" i="11"/>
  <c r="O3" i="11"/>
  <c r="Q3" i="11" s="1"/>
  <c r="T2" i="11"/>
  <c r="S2" i="11"/>
  <c r="U2" i="11" s="1"/>
  <c r="Q2" i="11"/>
  <c r="O2" i="1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C23" i="10"/>
  <c r="AK21" i="10"/>
  <c r="E21" i="10"/>
  <c r="E25" i="10" s="1"/>
  <c r="D21" i="10"/>
  <c r="D25" i="10" s="1"/>
  <c r="D29" i="10" s="1"/>
  <c r="C21" i="10"/>
  <c r="C25" i="10" s="1"/>
  <c r="B21" i="10"/>
  <c r="B25" i="10" s="1"/>
  <c r="B29" i="10" s="1"/>
  <c r="AK19" i="10"/>
  <c r="E19" i="10"/>
  <c r="E23" i="10" s="1"/>
  <c r="D19" i="10"/>
  <c r="D23" i="10" s="1"/>
  <c r="D27" i="10" s="1"/>
  <c r="C19" i="10"/>
  <c r="B19" i="10"/>
  <c r="B23" i="10" s="1"/>
  <c r="B27" i="10" s="1"/>
  <c r="AK18" i="10"/>
  <c r="F18" i="10"/>
  <c r="B18" i="10"/>
  <c r="F16" i="10"/>
  <c r="D16" i="10"/>
  <c r="E16" i="10" s="1"/>
  <c r="C16" i="10"/>
  <c r="Q13" i="10"/>
  <c r="L7" i="10" s="1"/>
  <c r="O13" i="10"/>
  <c r="N13" i="10"/>
  <c r="I13" i="10"/>
  <c r="P12" i="10"/>
  <c r="E12" i="10"/>
  <c r="P11" i="10"/>
  <c r="E11" i="10"/>
  <c r="P10" i="10"/>
  <c r="E10" i="10"/>
  <c r="C10" i="10"/>
  <c r="P9" i="10"/>
  <c r="H9" i="10"/>
  <c r="I11" i="10" s="1"/>
  <c r="E9" i="10"/>
  <c r="P8" i="10"/>
  <c r="J8" i="10"/>
  <c r="C8" i="10"/>
  <c r="P7" i="10"/>
  <c r="K7" i="10"/>
  <c r="J7" i="10"/>
  <c r="I7" i="10"/>
  <c r="G7" i="10"/>
  <c r="E7" i="10"/>
  <c r="B12" i="10" s="1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K8" i="10" s="1"/>
  <c r="J4" i="10"/>
  <c r="I4" i="10"/>
  <c r="G4" i="10"/>
  <c r="B30" i="10" s="1"/>
  <c r="C30" i="10" s="1"/>
  <c r="E4" i="10"/>
  <c r="P3" i="10"/>
  <c r="C3" i="10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O2" i="8"/>
  <c r="H2" i="8"/>
  <c r="H13" i="8" s="1"/>
  <c r="O13" i="8" s="1"/>
  <c r="A2" i="8"/>
  <c r="K1" i="8"/>
  <c r="R1" i="8" s="1"/>
  <c r="P18" i="7"/>
  <c r="E3" i="7"/>
  <c r="D3" i="7"/>
  <c r="C3" i="7"/>
  <c r="G3" i="7" s="1"/>
  <c r="B3" i="7"/>
  <c r="A3" i="7"/>
  <c r="O5" i="7" s="1"/>
  <c r="AD77" i="6"/>
  <c r="AC77" i="6"/>
  <c r="AB77" i="6"/>
  <c r="AA77" i="6"/>
  <c r="Z77" i="6"/>
  <c r="Y77" i="6"/>
  <c r="X77" i="6"/>
  <c r="W77" i="6"/>
  <c r="V77" i="6"/>
  <c r="S77" i="6"/>
  <c r="R77" i="6"/>
  <c r="Q77" i="6"/>
  <c r="P77" i="6"/>
  <c r="O77" i="6"/>
  <c r="N77" i="6"/>
  <c r="A70" i="6"/>
  <c r="A69" i="6"/>
  <c r="A68" i="6"/>
  <c r="R66" i="6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Q66" i="6"/>
  <c r="P66" i="6"/>
  <c r="N66" i="6"/>
  <c r="O66" i="6" s="1"/>
  <c r="D65" i="6"/>
  <c r="A65" i="6"/>
  <c r="N64" i="6"/>
  <c r="O63" i="6"/>
  <c r="L63" i="6"/>
  <c r="A71" i="6" s="1"/>
  <c r="A63" i="6"/>
  <c r="Q62" i="6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P62" i="6"/>
  <c r="O62" i="6"/>
  <c r="Z61" i="6"/>
  <c r="M61" i="6" s="1"/>
  <c r="H70" i="6" s="1"/>
  <c r="P60" i="6"/>
  <c r="O60" i="6"/>
  <c r="E60" i="6"/>
  <c r="Y59" i="6"/>
  <c r="Z59" i="6" s="1"/>
  <c r="AA59" i="6" s="1"/>
  <c r="AB59" i="6" s="1"/>
  <c r="P59" i="6"/>
  <c r="Q59" i="6" s="1"/>
  <c r="P58" i="6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O58" i="6"/>
  <c r="L58" i="6"/>
  <c r="A67" i="6" s="1"/>
  <c r="P57" i="6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O57" i="6"/>
  <c r="L57" i="6"/>
  <c r="A66" i="6" s="1"/>
  <c r="E57" i="6"/>
  <c r="M56" i="6"/>
  <c r="E56" i="6"/>
  <c r="O55" i="6"/>
  <c r="O64" i="6" s="1"/>
  <c r="L55" i="6"/>
  <c r="A64" i="6" s="1"/>
  <c r="T54" i="6"/>
  <c r="Q54" i="6"/>
  <c r="M54" i="6"/>
  <c r="H66" i="6" s="1"/>
  <c r="L54" i="6"/>
  <c r="E54" i="6"/>
  <c r="P53" i="6"/>
  <c r="O53" i="6"/>
  <c r="P52" i="6"/>
  <c r="Q52" i="6" s="1"/>
  <c r="O52" i="6"/>
  <c r="H52" i="6"/>
  <c r="D52" i="6"/>
  <c r="D66" i="6" s="1"/>
  <c r="A52" i="6"/>
  <c r="AD51" i="6"/>
  <c r="M51" i="6"/>
  <c r="E70" i="6" s="1"/>
  <c r="D51" i="6"/>
  <c r="A51" i="6"/>
  <c r="AD50" i="6"/>
  <c r="AB50" i="6"/>
  <c r="Y50" i="6"/>
  <c r="X50" i="6"/>
  <c r="N50" i="6"/>
  <c r="H50" i="6"/>
  <c r="A50" i="6"/>
  <c r="V49" i="6"/>
  <c r="N49" i="6"/>
  <c r="N53" i="6" s="1"/>
  <c r="M49" i="6"/>
  <c r="E73" i="6" s="1"/>
  <c r="A49" i="6"/>
  <c r="M48" i="6"/>
  <c r="A48" i="6"/>
  <c r="T47" i="6"/>
  <c r="M47" i="6"/>
  <c r="E61" i="6" s="1"/>
  <c r="A47" i="6"/>
  <c r="T46" i="6"/>
  <c r="M46" i="6"/>
  <c r="E72" i="6" s="1"/>
  <c r="H46" i="6"/>
  <c r="E46" i="6"/>
  <c r="A46" i="6"/>
  <c r="V45" i="6"/>
  <c r="T45" i="6"/>
  <c r="S45" i="6"/>
  <c r="O45" i="6"/>
  <c r="E45" i="6"/>
  <c r="A45" i="6"/>
  <c r="M44" i="6"/>
  <c r="H44" i="6"/>
  <c r="M43" i="6"/>
  <c r="N43" i="6" s="1"/>
  <c r="S42" i="6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R42" i="6"/>
  <c r="Q42" i="6"/>
  <c r="P42" i="6"/>
  <c r="Q40" i="6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P40" i="6"/>
  <c r="O40" i="6"/>
  <c r="AC38" i="6"/>
  <c r="AB38" i="6"/>
  <c r="AA38" i="6"/>
  <c r="Z38" i="6"/>
  <c r="Y38" i="6"/>
  <c r="X38" i="6"/>
  <c r="W38" i="6"/>
  <c r="V38" i="6"/>
  <c r="S38" i="6"/>
  <c r="R38" i="6"/>
  <c r="Q38" i="6"/>
  <c r="P38" i="6"/>
  <c r="O38" i="6"/>
  <c r="N38" i="6"/>
  <c r="A31" i="6"/>
  <c r="A30" i="6"/>
  <c r="A29" i="6"/>
  <c r="N27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27" i="6"/>
  <c r="A26" i="6"/>
  <c r="A25" i="6"/>
  <c r="AB24" i="6"/>
  <c r="AC24" i="6" s="1"/>
  <c r="P24" i="6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O24" i="6"/>
  <c r="L24" i="6"/>
  <c r="A32" i="6" s="1"/>
  <c r="AB23" i="6"/>
  <c r="AC23" i="6" s="1"/>
  <c r="O23" i="6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O22" i="6"/>
  <c r="AB21" i="6"/>
  <c r="AC21" i="6" s="1"/>
  <c r="P21" i="6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O21" i="6"/>
  <c r="E21" i="6"/>
  <c r="Z20" i="6"/>
  <c r="Y20" i="6"/>
  <c r="P20" i="6"/>
  <c r="Q20" i="6" s="1"/>
  <c r="R20" i="6" s="1"/>
  <c r="S20" i="6" s="1"/>
  <c r="T20" i="6" s="1"/>
  <c r="O19" i="6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L19" i="6"/>
  <c r="A28" i="6" s="1"/>
  <c r="Q18" i="6"/>
  <c r="P18" i="6"/>
  <c r="O18" i="6"/>
  <c r="L18" i="6"/>
  <c r="E18" i="6"/>
  <c r="M17" i="6"/>
  <c r="H23" i="6" s="1"/>
  <c r="E17" i="6"/>
  <c r="R16" i="6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Q16" i="6"/>
  <c r="P16" i="6"/>
  <c r="O16" i="6"/>
  <c r="L16" i="6"/>
  <c r="E16" i="6"/>
  <c r="O15" i="6"/>
  <c r="N15" i="6"/>
  <c r="L15" i="6"/>
  <c r="A24" i="6" s="1"/>
  <c r="N14" i="6"/>
  <c r="O13" i="6"/>
  <c r="D13" i="6"/>
  <c r="D27" i="6" s="1"/>
  <c r="A13" i="6"/>
  <c r="M12" i="6"/>
  <c r="D12" i="6"/>
  <c r="D26" i="6" s="1"/>
  <c r="A12" i="6"/>
  <c r="AC11" i="6"/>
  <c r="Y11" i="6"/>
  <c r="M11" i="6" s="1"/>
  <c r="X11" i="6"/>
  <c r="A11" i="6"/>
  <c r="O10" i="6"/>
  <c r="O14" i="6" s="1"/>
  <c r="A10" i="6"/>
  <c r="M9" i="6"/>
  <c r="E22" i="6" s="1"/>
  <c r="A9" i="6"/>
  <c r="M8" i="6"/>
  <c r="A8" i="6"/>
  <c r="AC7" i="6"/>
  <c r="M7" i="6"/>
  <c r="E33" i="6" s="1"/>
  <c r="H7" i="6"/>
  <c r="H5" i="6" s="1"/>
  <c r="E7" i="6"/>
  <c r="A7" i="6"/>
  <c r="U6" i="6"/>
  <c r="S6" i="6"/>
  <c r="R6" i="6"/>
  <c r="M6" i="6"/>
  <c r="E6" i="6"/>
  <c r="A6" i="6"/>
  <c r="O3" i="6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X1" i="6"/>
  <c r="Y1" i="6" s="1"/>
  <c r="Z1" i="6" s="1"/>
  <c r="AA1" i="6" s="1"/>
  <c r="AB1" i="6" s="1"/>
  <c r="AC1" i="6" s="1"/>
  <c r="Q1" i="6"/>
  <c r="R1" i="6" s="1"/>
  <c r="S1" i="6" s="1"/>
  <c r="T1" i="6" s="1"/>
  <c r="U1" i="6" s="1"/>
  <c r="V1" i="6" s="1"/>
  <c r="W1" i="6" s="1"/>
  <c r="P1" i="6"/>
  <c r="O1" i="6"/>
  <c r="AH30" i="5"/>
  <c r="AF30" i="5"/>
  <c r="AE30" i="5"/>
  <c r="N30" i="5"/>
  <c r="J30" i="5"/>
  <c r="AD30" i="5" s="1"/>
  <c r="AH29" i="5"/>
  <c r="AE29" i="5"/>
  <c r="AD29" i="5"/>
  <c r="AA29" i="5"/>
  <c r="U29" i="5"/>
  <c r="AO29" i="5" s="1"/>
  <c r="AM28" i="5"/>
  <c r="AH28" i="5"/>
  <c r="AE28" i="5"/>
  <c r="AD28" i="5"/>
  <c r="Y28" i="5"/>
  <c r="T28" i="5"/>
  <c r="AN28" i="5" s="1"/>
  <c r="P28" i="5"/>
  <c r="AJ28" i="5" s="1"/>
  <c r="O28" i="5"/>
  <c r="J28" i="5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Y26" i="5"/>
  <c r="T26" i="5"/>
  <c r="AN26" i="5" s="1"/>
  <c r="P26" i="5"/>
  <c r="AJ26" i="5" s="1"/>
  <c r="O26" i="5"/>
  <c r="D26" i="5"/>
  <c r="AH25" i="5"/>
  <c r="AE25" i="5"/>
  <c r="AD25" i="5"/>
  <c r="T25" i="5"/>
  <c r="AN25" i="5" s="1"/>
  <c r="J25" i="5"/>
  <c r="H25" i="5"/>
  <c r="AB25" i="5" s="1"/>
  <c r="AO24" i="5"/>
  <c r="AH24" i="5"/>
  <c r="AE24" i="5"/>
  <c r="AD24" i="5"/>
  <c r="N24" i="5"/>
  <c r="J24" i="5"/>
  <c r="AS23" i="5"/>
  <c r="AH23" i="5"/>
  <c r="AE23" i="5"/>
  <c r="N23" i="5"/>
  <c r="AS22" i="5"/>
  <c r="AH22" i="5"/>
  <c r="AE22" i="5"/>
  <c r="O22" i="5"/>
  <c r="AI22" i="5" s="1"/>
  <c r="D22" i="5"/>
  <c r="AH21" i="5"/>
  <c r="AE21" i="5"/>
  <c r="D21" i="5"/>
  <c r="AH20" i="5"/>
  <c r="AH16" i="5" s="1"/>
  <c r="N20" i="5"/>
  <c r="D20" i="5"/>
  <c r="AH19" i="5"/>
  <c r="AE19" i="5"/>
  <c r="Q19" i="5"/>
  <c r="AK19" i="5" s="1"/>
  <c r="D19" i="5"/>
  <c r="AN18" i="5"/>
  <c r="AH18" i="5"/>
  <c r="U18" i="5"/>
  <c r="AO18" i="5" s="1"/>
  <c r="R18" i="5"/>
  <c r="AL18" i="5" s="1"/>
  <c r="N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AF15" i="5"/>
  <c r="L30" i="5" s="1"/>
  <c r="AD15" i="5"/>
  <c r="AB15" i="5"/>
  <c r="H30" i="5" s="1"/>
  <c r="AB30" i="5" s="1"/>
  <c r="V15" i="5"/>
  <c r="N15" i="5"/>
  <c r="M15" i="5"/>
  <c r="AG15" i="5" s="1"/>
  <c r="M30" i="5" s="1"/>
  <c r="L15" i="5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Y14" i="5"/>
  <c r="E29" i="5" s="1"/>
  <c r="Y29" i="5" s="1"/>
  <c r="V14" i="5"/>
  <c r="AE12" i="2" s="1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E14" i="5"/>
  <c r="AO13" i="5"/>
  <c r="U28" i="5" s="1"/>
  <c r="AO28" i="5" s="1"/>
  <c r="AN13" i="5"/>
  <c r="AM13" i="5"/>
  <c r="S28" i="5" s="1"/>
  <c r="AL13" i="5"/>
  <c r="R28" i="5" s="1"/>
  <c r="AL28" i="5" s="1"/>
  <c r="AK13" i="5"/>
  <c r="Q28" i="5" s="1"/>
  <c r="AK28" i="5" s="1"/>
  <c r="AJ13" i="5"/>
  <c r="AI13" i="5"/>
  <c r="AH13" i="5"/>
  <c r="N28" i="5" s="1"/>
  <c r="AB13" i="5"/>
  <c r="AA13" i="5"/>
  <c r="G28" i="5" s="1"/>
  <c r="AA28" i="5" s="1"/>
  <c r="V13" i="5"/>
  <c r="AE14" i="2" s="1"/>
  <c r="N13" i="5"/>
  <c r="M13" i="5"/>
  <c r="AG13" i="5" s="1"/>
  <c r="M28" i="5" s="1"/>
  <c r="I13" i="5"/>
  <c r="AC13" i="5" s="1"/>
  <c r="I28" i="5" s="1"/>
  <c r="AC28" i="5" s="1"/>
  <c r="G13" i="5"/>
  <c r="E13" i="5"/>
  <c r="Y13" i="5" s="1"/>
  <c r="E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AM11" i="5"/>
  <c r="S26" i="5" s="1"/>
  <c r="AM26" i="5" s="1"/>
  <c r="AL11" i="5"/>
  <c r="R26" i="5" s="1"/>
  <c r="AL26" i="5" s="1"/>
  <c r="AK11" i="5"/>
  <c r="Q26" i="5" s="1"/>
  <c r="AK26" i="5" s="1"/>
  <c r="AJ11" i="5"/>
  <c r="AI11" i="5"/>
  <c r="AA11" i="5"/>
  <c r="G26" i="5" s="1"/>
  <c r="AA26" i="5" s="1"/>
  <c r="V11" i="5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E11" i="5"/>
  <c r="Y11" i="5" s="1"/>
  <c r="E26" i="5" s="1"/>
  <c r="AO10" i="5"/>
  <c r="U25" i="5" s="1"/>
  <c r="AO25" i="5" s="1"/>
  <c r="AN10" i="5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AG9" i="5"/>
  <c r="M24" i="5" s="1"/>
  <c r="AC9" i="5"/>
  <c r="I24" i="5" s="1"/>
  <c r="AC24" i="5" s="1"/>
  <c r="AB9" i="5"/>
  <c r="H24" i="5" s="1"/>
  <c r="AB24" i="5" s="1"/>
  <c r="V9" i="5"/>
  <c r="AE11" i="2" s="1"/>
  <c r="N9" i="5"/>
  <c r="M9" i="5"/>
  <c r="I9" i="5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AA8" i="5"/>
  <c r="G23" i="5" s="1"/>
  <c r="AA23" i="5" s="1"/>
  <c r="Y8" i="5"/>
  <c r="E23" i="5" s="1"/>
  <c r="Y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E8" i="5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AH7" i="5"/>
  <c r="N22" i="5" s="1"/>
  <c r="AF7" i="5"/>
  <c r="L22" i="5" s="1"/>
  <c r="AF22" i="5" s="1"/>
  <c r="AB7" i="5"/>
  <c r="H22" i="5" s="1"/>
  <c r="AB22" i="5" s="1"/>
  <c r="V7" i="5"/>
  <c r="N7" i="5"/>
  <c r="L7" i="5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P6" i="5" s="1"/>
  <c r="AH6" i="5"/>
  <c r="N21" i="5" s="1"/>
  <c r="AG6" i="5"/>
  <c r="M21" i="5" s="1"/>
  <c r="AC6" i="5"/>
  <c r="I21" i="5" s="1"/>
  <c r="AC21" i="5" s="1"/>
  <c r="AB6" i="5"/>
  <c r="H21" i="5" s="1"/>
  <c r="AB21" i="5" s="1"/>
  <c r="AA6" i="5"/>
  <c r="G21" i="5" s="1"/>
  <c r="AA21" i="5" s="1"/>
  <c r="V6" i="5"/>
  <c r="N6" i="5"/>
  <c r="M6" i="5"/>
  <c r="L6" i="5"/>
  <c r="AF6" i="5" s="1"/>
  <c r="L21" i="5" s="1"/>
  <c r="AF21" i="5" s="1"/>
  <c r="J6" i="5"/>
  <c r="AD6" i="5" s="1"/>
  <c r="J21" i="5" s="1"/>
  <c r="AD21" i="5" s="1"/>
  <c r="I6" i="5"/>
  <c r="G6" i="5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G5" i="5"/>
  <c r="M20" i="5" s="1"/>
  <c r="AD5" i="5"/>
  <c r="J20" i="5" s="1"/>
  <c r="AD20" i="5" s="1"/>
  <c r="AB5" i="5"/>
  <c r="H20" i="5" s="1"/>
  <c r="AB20" i="5" s="1"/>
  <c r="AA5" i="5"/>
  <c r="G20" i="5" s="1"/>
  <c r="AA20" i="5" s="1"/>
  <c r="V5" i="5"/>
  <c r="AE8" i="2" s="1"/>
  <c r="AM5" i="5"/>
  <c r="S20" i="5" s="1"/>
  <c r="AM20" i="5" s="1"/>
  <c r="N5" i="5"/>
  <c r="M5" i="5"/>
  <c r="L5" i="5"/>
  <c r="AF5" i="5" s="1"/>
  <c r="L20" i="5" s="1"/>
  <c r="AF20" i="5" s="1"/>
  <c r="I5" i="5"/>
  <c r="AC5" i="5" s="1"/>
  <c r="I20" i="5" s="1"/>
  <c r="AC20" i="5" s="1"/>
  <c r="H5" i="5"/>
  <c r="G5" i="5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AN3" i="5"/>
  <c r="T18" i="5" s="1"/>
  <c r="AM3" i="5"/>
  <c r="S18" i="5" s="1"/>
  <c r="AM18" i="5" s="1"/>
  <c r="AL3" i="5"/>
  <c r="AK3" i="5"/>
  <c r="Q18" i="5" s="1"/>
  <c r="AK18" i="5" s="1"/>
  <c r="AJ3" i="5"/>
  <c r="P18" i="5" s="1"/>
  <c r="AJ18" i="5" s="1"/>
  <c r="AI3" i="5"/>
  <c r="O18" i="5" s="1"/>
  <c r="AI18" i="5" s="1"/>
  <c r="AH3" i="5"/>
  <c r="AC3" i="5"/>
  <c r="I18" i="5" s="1"/>
  <c r="AC18" i="5" s="1"/>
  <c r="AB3" i="5"/>
  <c r="H18" i="5" s="1"/>
  <c r="AB18" i="5" s="1"/>
  <c r="V3" i="5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G3" i="5"/>
  <c r="AA3" i="5" s="1"/>
  <c r="G18" i="5" s="1"/>
  <c r="AA18" i="5" s="1"/>
  <c r="E3" i="5"/>
  <c r="Y3" i="5" s="1"/>
  <c r="E18" i="5" s="1"/>
  <c r="Y18" i="5" s="1"/>
  <c r="U19" i="4"/>
  <c r="U18" i="4"/>
  <c r="U17" i="4"/>
  <c r="U16" i="4"/>
  <c r="U15" i="4"/>
  <c r="U14" i="4"/>
  <c r="U13" i="4"/>
  <c r="U12" i="4"/>
  <c r="U9" i="4"/>
  <c r="U8" i="4"/>
  <c r="U7" i="4"/>
  <c r="U6" i="4"/>
  <c r="U5" i="4"/>
  <c r="U4" i="4"/>
  <c r="U3" i="4"/>
  <c r="U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32" i="3"/>
  <c r="A36" i="3" s="1"/>
  <c r="A33" i="3" s="1"/>
  <c r="Y28" i="3"/>
  <c r="X28" i="3"/>
  <c r="F28" i="3"/>
  <c r="E28" i="3" s="1"/>
  <c r="Y27" i="3"/>
  <c r="X27" i="3"/>
  <c r="F27" i="3"/>
  <c r="E27" i="3" s="1"/>
  <c r="Y26" i="3"/>
  <c r="X26" i="3"/>
  <c r="Y25" i="3"/>
  <c r="X25" i="3"/>
  <c r="F25" i="3"/>
  <c r="E25" i="3" s="1"/>
  <c r="Y24" i="3"/>
  <c r="X24" i="3"/>
  <c r="F24" i="3"/>
  <c r="E24" i="3" s="1"/>
  <c r="Y23" i="3"/>
  <c r="X23" i="3"/>
  <c r="E23" i="3"/>
  <c r="Y22" i="3"/>
  <c r="X22" i="3"/>
  <c r="E22" i="3"/>
  <c r="Y21" i="3"/>
  <c r="X21" i="3"/>
  <c r="E21" i="3"/>
  <c r="Y20" i="3"/>
  <c r="X20" i="3"/>
  <c r="E20" i="3"/>
  <c r="Y17" i="3"/>
  <c r="X17" i="3"/>
  <c r="E17" i="3"/>
  <c r="Y16" i="3"/>
  <c r="X16" i="3"/>
  <c r="E16" i="3"/>
  <c r="Y15" i="3"/>
  <c r="X15" i="3"/>
  <c r="E15" i="3"/>
  <c r="Y14" i="3"/>
  <c r="X14" i="3"/>
  <c r="E14" i="3"/>
  <c r="Y13" i="3"/>
  <c r="X13" i="3"/>
  <c r="E13" i="3"/>
  <c r="Y12" i="3"/>
  <c r="X12" i="3"/>
  <c r="E12" i="3"/>
  <c r="AE11" i="3"/>
  <c r="AE19" i="3" s="1"/>
  <c r="AD11" i="3"/>
  <c r="AD19" i="3" s="1"/>
  <c r="AC11" i="3"/>
  <c r="AC19" i="3" s="1"/>
  <c r="AB11" i="3"/>
  <c r="AB19" i="3" s="1"/>
  <c r="V11" i="3"/>
  <c r="V19" i="3" s="1"/>
  <c r="U11" i="3"/>
  <c r="U19" i="3" s="1"/>
  <c r="T11" i="3"/>
  <c r="T19" i="3" s="1"/>
  <c r="S11" i="3"/>
  <c r="S19" i="3" s="1"/>
  <c r="N11" i="3"/>
  <c r="N19" i="3" s="1"/>
  <c r="M11" i="3"/>
  <c r="M19" i="3" s="1"/>
  <c r="L11" i="3"/>
  <c r="L19" i="3" s="1"/>
  <c r="K11" i="3"/>
  <c r="K19" i="3" s="1"/>
  <c r="Y8" i="3"/>
  <c r="X8" i="3"/>
  <c r="E8" i="3"/>
  <c r="Y7" i="3"/>
  <c r="X7" i="3"/>
  <c r="E7" i="3"/>
  <c r="AI6" i="3"/>
  <c r="AI11" i="3" s="1"/>
  <c r="AI19" i="3" s="1"/>
  <c r="AH6" i="3"/>
  <c r="AH11" i="3" s="1"/>
  <c r="AH19" i="3" s="1"/>
  <c r="AG6" i="3"/>
  <c r="AG11" i="3" s="1"/>
  <c r="AG19" i="3" s="1"/>
  <c r="AF6" i="3"/>
  <c r="AF11" i="3" s="1"/>
  <c r="AF19" i="3" s="1"/>
  <c r="AE6" i="3"/>
  <c r="AD6" i="3"/>
  <c r="AC6" i="3"/>
  <c r="AB6" i="3"/>
  <c r="Z6" i="3"/>
  <c r="Z11" i="3" s="1"/>
  <c r="Z19" i="3" s="1"/>
  <c r="Y6" i="3"/>
  <c r="Y11" i="3" s="1"/>
  <c r="Y19" i="3" s="1"/>
  <c r="X6" i="3"/>
  <c r="X11" i="3" s="1"/>
  <c r="X19" i="3" s="1"/>
  <c r="W6" i="3"/>
  <c r="W11" i="3" s="1"/>
  <c r="W19" i="3" s="1"/>
  <c r="V6" i="3"/>
  <c r="U6" i="3"/>
  <c r="T6" i="3"/>
  <c r="S6" i="3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M6" i="3"/>
  <c r="L6" i="3"/>
  <c r="K6" i="3"/>
  <c r="I6" i="3"/>
  <c r="I11" i="3" s="1"/>
  <c r="I19" i="3" s="1"/>
  <c r="H6" i="3"/>
  <c r="H11" i="3" s="1"/>
  <c r="H19" i="3" s="1"/>
  <c r="G6" i="3"/>
  <c r="G11" i="3" s="1"/>
  <c r="G19" i="3" s="1"/>
  <c r="F6" i="3"/>
  <c r="F11" i="3" s="1"/>
  <c r="F19" i="3" s="1"/>
  <c r="Y3" i="3"/>
  <c r="X3" i="3"/>
  <c r="E3" i="3"/>
  <c r="AS20" i="2"/>
  <c r="W20" i="2"/>
  <c r="U20" i="2"/>
  <c r="S20" i="2"/>
  <c r="R20" i="2"/>
  <c r="P20" i="2"/>
  <c r="N20" i="2"/>
  <c r="I19" i="13" s="1"/>
  <c r="L20" i="2"/>
  <c r="K20" i="2"/>
  <c r="J20" i="2"/>
  <c r="AS19" i="2"/>
  <c r="W19" i="2"/>
  <c r="S19" i="2"/>
  <c r="R19" i="2"/>
  <c r="P19" i="2"/>
  <c r="N19" i="2"/>
  <c r="I18" i="13" s="1"/>
  <c r="L19" i="2"/>
  <c r="K19" i="2"/>
  <c r="J19" i="2"/>
  <c r="AS18" i="2"/>
  <c r="AE18" i="2"/>
  <c r="W18" i="2"/>
  <c r="U18" i="2"/>
  <c r="S18" i="2"/>
  <c r="R18" i="2"/>
  <c r="P18" i="2"/>
  <c r="N18" i="2"/>
  <c r="I17" i="13" s="1"/>
  <c r="L18" i="2"/>
  <c r="K18" i="2"/>
  <c r="J18" i="2"/>
  <c r="AS17" i="2"/>
  <c r="AE17" i="2"/>
  <c r="W17" i="2"/>
  <c r="U17" i="2"/>
  <c r="S17" i="2"/>
  <c r="R17" i="2"/>
  <c r="P17" i="2"/>
  <c r="N17" i="2"/>
  <c r="I16" i="13" s="1"/>
  <c r="L17" i="2"/>
  <c r="K17" i="2"/>
  <c r="J17" i="2"/>
  <c r="AS16" i="2"/>
  <c r="AE16" i="2"/>
  <c r="K11" i="5"/>
  <c r="AE11" i="5" s="1"/>
  <c r="K26" i="5" s="1"/>
  <c r="Y16" i="2"/>
  <c r="H11" i="5" s="1"/>
  <c r="AB11" i="5" s="1"/>
  <c r="H26" i="5" s="1"/>
  <c r="AB26" i="5" s="1"/>
  <c r="W16" i="2"/>
  <c r="U16" i="2"/>
  <c r="S16" i="2"/>
  <c r="R16" i="2"/>
  <c r="P16" i="2"/>
  <c r="N16" i="2"/>
  <c r="I15" i="13" s="1"/>
  <c r="L16" i="2"/>
  <c r="K16" i="2"/>
  <c r="J16" i="2"/>
  <c r="AS15" i="2"/>
  <c r="AE15" i="2"/>
  <c r="Y15" i="2"/>
  <c r="W15" i="2"/>
  <c r="U15" i="2"/>
  <c r="S15" i="2"/>
  <c r="R15" i="2"/>
  <c r="P15" i="2"/>
  <c r="N15" i="2"/>
  <c r="I14" i="13" s="1"/>
  <c r="L15" i="2"/>
  <c r="K15" i="2"/>
  <c r="J15" i="2"/>
  <c r="AS14" i="2"/>
  <c r="AO14" i="2"/>
  <c r="AN14" i="2"/>
  <c r="AM14" i="2"/>
  <c r="AL14" i="2"/>
  <c r="AK14" i="2"/>
  <c r="AC14" i="2"/>
  <c r="AB14" i="2"/>
  <c r="J13" i="5"/>
  <c r="Y14" i="2"/>
  <c r="W14" i="2"/>
  <c r="U14" i="2"/>
  <c r="S14" i="2"/>
  <c r="R14" i="2"/>
  <c r="P14" i="2"/>
  <c r="L14" i="2"/>
  <c r="K14" i="2"/>
  <c r="J14" i="2"/>
  <c r="AI14" i="2" s="1"/>
  <c r="AS13" i="2"/>
  <c r="AE13" i="2"/>
  <c r="AD13" i="2"/>
  <c r="AC13" i="2"/>
  <c r="K10" i="5"/>
  <c r="AE10" i="5" s="1"/>
  <c r="K25" i="5" s="1"/>
  <c r="J10" i="5"/>
  <c r="Y13" i="2"/>
  <c r="W13" i="2"/>
  <c r="U13" i="2"/>
  <c r="S13" i="2"/>
  <c r="R13" i="2"/>
  <c r="P13" i="2"/>
  <c r="N13" i="2"/>
  <c r="I12" i="13" s="1"/>
  <c r="L13" i="2"/>
  <c r="K13" i="2"/>
  <c r="J13" i="2"/>
  <c r="AS12" i="2"/>
  <c r="AD12" i="2"/>
  <c r="AC12" i="2"/>
  <c r="J14" i="5"/>
  <c r="Y12" i="2"/>
  <c r="W12" i="2"/>
  <c r="U12" i="2"/>
  <c r="S12" i="2"/>
  <c r="R12" i="2"/>
  <c r="P12" i="2"/>
  <c r="N12" i="2"/>
  <c r="I11" i="13" s="1"/>
  <c r="L12" i="2"/>
  <c r="K12" i="2"/>
  <c r="J12" i="2"/>
  <c r="AS11" i="2"/>
  <c r="AC11" i="2"/>
  <c r="K9" i="5"/>
  <c r="AE9" i="5" s="1"/>
  <c r="K24" i="5" s="1"/>
  <c r="Y11" i="2"/>
  <c r="H9" i="5" s="1"/>
  <c r="W11" i="2"/>
  <c r="U11" i="2"/>
  <c r="S11" i="2"/>
  <c r="R11" i="2"/>
  <c r="P11" i="2"/>
  <c r="N11" i="2"/>
  <c r="I10" i="13" s="1"/>
  <c r="L11" i="2"/>
  <c r="K11" i="2"/>
  <c r="J11" i="2"/>
  <c r="AS10" i="2"/>
  <c r="AE10" i="2"/>
  <c r="AD10" i="2"/>
  <c r="K8" i="5"/>
  <c r="AE8" i="5" s="1"/>
  <c r="K23" i="5" s="1"/>
  <c r="Y10" i="2"/>
  <c r="W10" i="2"/>
  <c r="U10" i="2"/>
  <c r="S10" i="2"/>
  <c r="R10" i="2"/>
  <c r="P10" i="2"/>
  <c r="N10" i="2"/>
  <c r="I9" i="13" s="1"/>
  <c r="L10" i="2"/>
  <c r="K10" i="2"/>
  <c r="J10" i="2"/>
  <c r="AS9" i="2"/>
  <c r="AE9" i="2"/>
  <c r="AD9" i="2"/>
  <c r="K7" i="5"/>
  <c r="AE7" i="5" s="1"/>
  <c r="K22" i="5" s="1"/>
  <c r="Y9" i="2"/>
  <c r="W9" i="2"/>
  <c r="U9" i="2"/>
  <c r="S9" i="2"/>
  <c r="R9" i="2"/>
  <c r="P9" i="2"/>
  <c r="N9" i="2"/>
  <c r="I8" i="13" s="1"/>
  <c r="L9" i="2"/>
  <c r="K9" i="2"/>
  <c r="J9" i="2"/>
  <c r="AS8" i="2"/>
  <c r="J5" i="5"/>
  <c r="Y8" i="2"/>
  <c r="W8" i="2"/>
  <c r="U8" i="2"/>
  <c r="S8" i="2"/>
  <c r="R8" i="2"/>
  <c r="P8" i="2"/>
  <c r="N8" i="2"/>
  <c r="I7" i="13" s="1"/>
  <c r="L8" i="2"/>
  <c r="K8" i="2"/>
  <c r="J8" i="2"/>
  <c r="AS7" i="2"/>
  <c r="AE7" i="2"/>
  <c r="Y7" i="2"/>
  <c r="H6" i="5" s="1"/>
  <c r="W7" i="2"/>
  <c r="U7" i="2"/>
  <c r="S7" i="2"/>
  <c r="R7" i="2"/>
  <c r="P7" i="2"/>
  <c r="N7" i="2"/>
  <c r="I6" i="13" s="1"/>
  <c r="L7" i="2"/>
  <c r="K7" i="2"/>
  <c r="J7" i="2"/>
  <c r="AS6" i="2"/>
  <c r="AD6" i="2"/>
  <c r="AD2" i="2" s="1"/>
  <c r="K4" i="5"/>
  <c r="AE4" i="5" s="1"/>
  <c r="K19" i="5" s="1"/>
  <c r="J4" i="5"/>
  <c r="Y6" i="2"/>
  <c r="W6" i="2"/>
  <c r="U6" i="2"/>
  <c r="S6" i="2"/>
  <c r="R6" i="2"/>
  <c r="P6" i="2"/>
  <c r="N6" i="2"/>
  <c r="I5" i="13" s="1"/>
  <c r="L6" i="2"/>
  <c r="K6" i="2"/>
  <c r="J6" i="2"/>
  <c r="AS5" i="2"/>
  <c r="AE5" i="2"/>
  <c r="Y5" i="2"/>
  <c r="W5" i="2"/>
  <c r="U5" i="2"/>
  <c r="S5" i="2"/>
  <c r="R5" i="2"/>
  <c r="P5" i="2"/>
  <c r="N5" i="2"/>
  <c r="I4" i="13" s="1"/>
  <c r="L5" i="2"/>
  <c r="K5" i="2"/>
  <c r="J5" i="2"/>
  <c r="AS4" i="2"/>
  <c r="AE4" i="2"/>
  <c r="Y4" i="2"/>
  <c r="W4" i="2"/>
  <c r="U4" i="2"/>
  <c r="S4" i="2"/>
  <c r="R4" i="2"/>
  <c r="P4" i="2"/>
  <c r="N4" i="2"/>
  <c r="AM4" i="2" s="1"/>
  <c r="L4" i="2"/>
  <c r="K4" i="2"/>
  <c r="J4" i="2"/>
  <c r="AG2" i="2"/>
  <c r="V2" i="2"/>
  <c r="T2" i="2"/>
  <c r="Q2" i="2"/>
  <c r="O2" i="2"/>
  <c r="I2" i="2"/>
  <c r="D2" i="2"/>
  <c r="F19" i="2" l="1"/>
  <c r="F18" i="2"/>
  <c r="AJ14" i="2"/>
  <c r="B12" i="8"/>
  <c r="C12" i="8"/>
  <c r="D12" i="8" s="1"/>
  <c r="AP7" i="5"/>
  <c r="AP5" i="5"/>
  <c r="R20" i="5"/>
  <c r="AL20" i="5" s="1"/>
  <c r="AP10" i="5"/>
  <c r="AF15" i="15"/>
  <c r="AI15" i="15" s="1"/>
  <c r="AF29" i="15"/>
  <c r="AI29" i="15" s="1"/>
  <c r="AG15" i="15"/>
  <c r="AJ15" i="15" s="1"/>
  <c r="AG29" i="15"/>
  <c r="AJ29" i="15" s="1"/>
  <c r="F15" i="2"/>
  <c r="C14" i="13" s="1"/>
  <c r="F7" i="2"/>
  <c r="C6" i="13" s="1"/>
  <c r="AC10" i="13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V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V14" i="13"/>
  <c r="CC14" i="13"/>
  <c r="BP14" i="13"/>
  <c r="AN14" i="13"/>
  <c r="BR14" i="13"/>
  <c r="BB14" i="13"/>
  <c r="BH14" i="13"/>
  <c r="BX14" i="13"/>
  <c r="BF14" i="13"/>
  <c r="U14" i="13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AK6" i="13"/>
  <c r="BA6" i="13"/>
  <c r="BC6" i="13" s="1"/>
  <c r="BQ6" i="13"/>
  <c r="BR6" i="13"/>
  <c r="AN6" i="13"/>
  <c r="CB6" i="13"/>
  <c r="CD6" i="13" s="1"/>
  <c r="V6" i="13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V4" i="13"/>
  <c r="U4" i="13"/>
  <c r="W4" i="13"/>
  <c r="Y4" i="13" s="1"/>
  <c r="X4" i="13"/>
  <c r="AO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V5" i="13"/>
  <c r="AT5" i="13"/>
  <c r="AV5" i="13" s="1"/>
  <c r="BH5" i="13"/>
  <c r="BX5" i="13"/>
  <c r="BA5" i="13"/>
  <c r="BC5" i="13" s="1"/>
  <c r="BP5" i="13"/>
  <c r="AJ5" i="13"/>
  <c r="BV5" i="13"/>
  <c r="BR5" i="13"/>
  <c r="U5" i="13"/>
  <c r="AN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V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O8" i="13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V11" i="13" s="1"/>
  <c r="CB11" i="13"/>
  <c r="CD11" i="13" s="1"/>
  <c r="AW11" i="13"/>
  <c r="AY11" i="13" s="1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V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V15" i="13" s="1"/>
  <c r="BB15" i="13"/>
  <c r="BQ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N20" i="2"/>
  <c r="C18" i="8"/>
  <c r="B18" i="8"/>
  <c r="AO16" i="2"/>
  <c r="B14" i="8"/>
  <c r="C14" i="8"/>
  <c r="AH5" i="2"/>
  <c r="C3" i="8"/>
  <c r="B3" i="8"/>
  <c r="AK12" i="2"/>
  <c r="C10" i="8"/>
  <c r="J4" i="8" s="1"/>
  <c r="B10" i="8"/>
  <c r="I4" i="8" s="1"/>
  <c r="C11" i="8"/>
  <c r="B11" i="8"/>
  <c r="AO8" i="2"/>
  <c r="B6" i="8"/>
  <c r="I2" i="8" s="1"/>
  <c r="C6" i="8"/>
  <c r="B16" i="8"/>
  <c r="C16" i="8"/>
  <c r="B5" i="8"/>
  <c r="C5" i="8"/>
  <c r="B9" i="8"/>
  <c r="C9" i="8"/>
  <c r="AH19" i="2"/>
  <c r="B17" i="8"/>
  <c r="C17" i="8"/>
  <c r="AN15" i="2"/>
  <c r="B13" i="8"/>
  <c r="C13" i="8"/>
  <c r="C4" i="8"/>
  <c r="B4" i="8"/>
  <c r="I6" i="8" s="1"/>
  <c r="I17" i="8" s="1"/>
  <c r="C8" i="8"/>
  <c r="B8" i="8"/>
  <c r="I5" i="8" s="1"/>
  <c r="AK17" i="2"/>
  <c r="C15" i="8"/>
  <c r="B15" i="8"/>
  <c r="F13" i="2"/>
  <c r="C12" i="13" s="1"/>
  <c r="F14" i="2"/>
  <c r="C13" i="13" s="1"/>
  <c r="N1" i="5"/>
  <c r="F20" i="2"/>
  <c r="C19" i="13" s="1"/>
  <c r="F11" i="2"/>
  <c r="C10" i="13" s="1"/>
  <c r="P19" i="7"/>
  <c r="P20" i="7" s="1"/>
  <c r="F8" i="2"/>
  <c r="C7" i="13" s="1"/>
  <c r="F9" i="2"/>
  <c r="C8" i="13" s="1"/>
  <c r="F5" i="2"/>
  <c r="C4" i="13" s="1"/>
  <c r="F6" i="2"/>
  <c r="C5" i="13" s="1"/>
  <c r="W2" i="2"/>
  <c r="U2" i="2"/>
  <c r="H4" i="17"/>
  <c r="C8" i="3"/>
  <c r="C13" i="3"/>
  <c r="R2" i="2"/>
  <c r="H3" i="17"/>
  <c r="S2" i="2"/>
  <c r="AL15" i="2"/>
  <c r="AH15" i="2"/>
  <c r="F17" i="2"/>
  <c r="C16" i="13" s="1"/>
  <c r="F4" i="2"/>
  <c r="AJ9" i="2"/>
  <c r="AN16" i="2"/>
  <c r="AL19" i="2"/>
  <c r="AM13" i="2"/>
  <c r="AO19" i="2"/>
  <c r="C27" i="3"/>
  <c r="AJ15" i="2"/>
  <c r="AK16" i="2"/>
  <c r="AK15" i="2"/>
  <c r="AL16" i="2"/>
  <c r="AN17" i="2"/>
  <c r="AJ10" i="2"/>
  <c r="AO17" i="2"/>
  <c r="AM19" i="2"/>
  <c r="AM20" i="2"/>
  <c r="AH6" i="2"/>
  <c r="AO12" i="2"/>
  <c r="AM15" i="2"/>
  <c r="AM16" i="2"/>
  <c r="AN19" i="2"/>
  <c r="AM12" i="2"/>
  <c r="AO9" i="2"/>
  <c r="AI12" i="2"/>
  <c r="AK13" i="2"/>
  <c r="AI17" i="2"/>
  <c r="AJ20" i="2"/>
  <c r="AO5" i="2"/>
  <c r="AI6" i="2"/>
  <c r="AN10" i="2"/>
  <c r="AL6" i="2"/>
  <c r="AN4" i="2"/>
  <c r="AJ8" i="2"/>
  <c r="AO4" i="2"/>
  <c r="AJ6" i="2"/>
  <c r="AI13" i="2"/>
  <c r="AJ19" i="2"/>
  <c r="AH17" i="2"/>
  <c r="V19" i="5"/>
  <c r="AJ19" i="5"/>
  <c r="N26" i="5"/>
  <c r="AH1" i="5"/>
  <c r="AP20" i="5"/>
  <c r="AI23" i="5"/>
  <c r="AP23" i="5" s="1"/>
  <c r="V23" i="5"/>
  <c r="C21" i="3"/>
  <c r="C14" i="3"/>
  <c r="C28" i="3"/>
  <c r="C26" i="3"/>
  <c r="C24" i="3"/>
  <c r="C22" i="3"/>
  <c r="C20" i="3"/>
  <c r="C17" i="3"/>
  <c r="C15" i="3"/>
  <c r="C7" i="3"/>
  <c r="C3" i="3"/>
  <c r="C25" i="3"/>
  <c r="C23" i="3"/>
  <c r="C16" i="3"/>
  <c r="C12" i="3"/>
  <c r="AP22" i="5"/>
  <c r="N16" i="5"/>
  <c r="M7" i="5"/>
  <c r="AG7" i="5" s="1"/>
  <c r="M22" i="5" s="1"/>
  <c r="AP8" i="5"/>
  <c r="V22" i="5"/>
  <c r="E31" i="6"/>
  <c r="O25" i="6"/>
  <c r="P15" i="6"/>
  <c r="M16" i="6"/>
  <c r="M19" i="6"/>
  <c r="M22" i="6"/>
  <c r="I3" i="7"/>
  <c r="H3" i="7"/>
  <c r="F22" i="10"/>
  <c r="F26" i="10" s="1"/>
  <c r="AN6" i="2"/>
  <c r="I7" i="14"/>
  <c r="AN7" i="2"/>
  <c r="AN8" i="2"/>
  <c r="H21" i="14"/>
  <c r="M3" i="17"/>
  <c r="J3" i="16"/>
  <c r="F4" i="14"/>
  <c r="L3" i="13"/>
  <c r="B2" i="8"/>
  <c r="AO6" i="2"/>
  <c r="AO7" i="2"/>
  <c r="AO10" i="2"/>
  <c r="J11" i="14"/>
  <c r="AN11" i="2"/>
  <c r="I12" i="14"/>
  <c r="K14" i="5"/>
  <c r="AE14" i="5" s="1"/>
  <c r="K29" i="5" s="1"/>
  <c r="AL12" i="2"/>
  <c r="F13" i="14"/>
  <c r="AJ13" i="2"/>
  <c r="AJ18" i="2"/>
  <c r="C18" i="13"/>
  <c r="I21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AE6" i="2" s="1"/>
  <c r="AE2" i="2" s="1"/>
  <c r="E44" i="6"/>
  <c r="M58" i="6"/>
  <c r="P5" i="7"/>
  <c r="F3" i="7"/>
  <c r="Q5" i="7" s="1"/>
  <c r="B13" i="10"/>
  <c r="B10" i="10" s="1"/>
  <c r="I8" i="14"/>
  <c r="K9" i="14"/>
  <c r="J4" i="17"/>
  <c r="S4" i="17" s="1"/>
  <c r="F4" i="16"/>
  <c r="AH7" i="2"/>
  <c r="AH9" i="2"/>
  <c r="AO11" i="2"/>
  <c r="K5" i="5"/>
  <c r="AE5" i="5" s="1"/>
  <c r="K20" i="5" s="1"/>
  <c r="H7" i="5"/>
  <c r="M10" i="5"/>
  <c r="AG10" i="5" s="1"/>
  <c r="M25" i="5" s="1"/>
  <c r="V25" i="5"/>
  <c r="AP13" i="5"/>
  <c r="V18" i="5"/>
  <c r="V20" i="5"/>
  <c r="E15" i="6"/>
  <c r="AK20" i="10"/>
  <c r="B20" i="10"/>
  <c r="B24" i="10" s="1"/>
  <c r="B28" i="10" s="1"/>
  <c r="AI4" i="2"/>
  <c r="AK5" i="2"/>
  <c r="AJ7" i="2"/>
  <c r="F10" i="2"/>
  <c r="C9" i="13" s="1"/>
  <c r="AI11" i="2"/>
  <c r="J13" i="14"/>
  <c r="L10" i="5"/>
  <c r="AF10" i="5" s="1"/>
  <c r="L25" i="5" s="1"/>
  <c r="AF25" i="5" s="1"/>
  <c r="I14" i="14"/>
  <c r="K13" i="5"/>
  <c r="AE13" i="5" s="1"/>
  <c r="K28" i="5" s="1"/>
  <c r="H15" i="14"/>
  <c r="AJ17" i="2"/>
  <c r="C17" i="13"/>
  <c r="AM18" i="2"/>
  <c r="AI20" i="2"/>
  <c r="AP4" i="5"/>
  <c r="E30" i="6"/>
  <c r="P13" i="6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O43" i="6"/>
  <c r="P43" i="6" s="1"/>
  <c r="Q43" i="6" s="1"/>
  <c r="R43" i="6" s="1"/>
  <c r="E50" i="6"/>
  <c r="H13" i="14"/>
  <c r="AO20" i="2"/>
  <c r="AH4" i="2"/>
  <c r="AI8" i="2"/>
  <c r="AI9" i="2"/>
  <c r="AI10" i="2"/>
  <c r="K12" i="14"/>
  <c r="M14" i="5"/>
  <c r="AG14" i="5" s="1"/>
  <c r="M29" i="5" s="1"/>
  <c r="I13" i="14"/>
  <c r="AL13" i="2"/>
  <c r="H14" i="14"/>
  <c r="AH20" i="2"/>
  <c r="AJ4" i="2"/>
  <c r="AL5" i="2"/>
  <c r="F6" i="14"/>
  <c r="AK6" i="2"/>
  <c r="AK7" i="2"/>
  <c r="AK8" i="2"/>
  <c r="AK9" i="2"/>
  <c r="AK10" i="2"/>
  <c r="AJ11" i="2"/>
  <c r="F12" i="2"/>
  <c r="C11" i="13" s="1"/>
  <c r="AH12" i="2"/>
  <c r="K13" i="14"/>
  <c r="AN13" i="2"/>
  <c r="J14" i="14"/>
  <c r="L13" i="5"/>
  <c r="AF13" i="5" s="1"/>
  <c r="L28" i="5" s="1"/>
  <c r="AF28" i="5" s="1"/>
  <c r="AO15" i="2"/>
  <c r="AH16" i="2"/>
  <c r="AN18" i="2"/>
  <c r="AI19" i="2"/>
  <c r="H3" i="5"/>
  <c r="AP19" i="5"/>
  <c r="M8" i="5"/>
  <c r="AG8" i="5" s="1"/>
  <c r="M23" i="5" s="1"/>
  <c r="AP9" i="5"/>
  <c r="AP15" i="5"/>
  <c r="O30" i="5"/>
  <c r="M20" i="6"/>
  <c r="M23" i="6"/>
  <c r="M24" i="6"/>
  <c r="I11" i="14"/>
  <c r="AM11" i="2"/>
  <c r="H12" i="14"/>
  <c r="F16" i="2"/>
  <c r="C15" i="13" s="1"/>
  <c r="AI5" i="2"/>
  <c r="F14" i="14"/>
  <c r="H13" i="5"/>
  <c r="AK18" i="2"/>
  <c r="J3" i="17"/>
  <c r="T3" i="17" s="1"/>
  <c r="F3" i="16"/>
  <c r="I3" i="13"/>
  <c r="BB3" i="13" s="1"/>
  <c r="C2" i="8"/>
  <c r="AL18" i="2"/>
  <c r="AL7" i="2"/>
  <c r="F8" i="14"/>
  <c r="AL8" i="2"/>
  <c r="F9" i="14"/>
  <c r="AL9" i="2"/>
  <c r="F10" i="14"/>
  <c r="AL10" i="2"/>
  <c r="F11" i="14"/>
  <c r="AK11" i="2"/>
  <c r="AO13" i="2"/>
  <c r="AI16" i="2"/>
  <c r="AL17" i="2"/>
  <c r="AO18" i="2"/>
  <c r="AK20" i="2"/>
  <c r="AP3" i="5"/>
  <c r="O21" i="5"/>
  <c r="V26" i="5"/>
  <c r="AI26" i="5"/>
  <c r="AP26" i="5" s="1"/>
  <c r="M50" i="6"/>
  <c r="R52" i="6"/>
  <c r="Q53" i="6"/>
  <c r="K6" i="14"/>
  <c r="AN9" i="2"/>
  <c r="K10" i="14"/>
  <c r="AI18" i="2"/>
  <c r="N2" i="2"/>
  <c r="AH8" i="2"/>
  <c r="AH10" i="2"/>
  <c r="J12" i="14"/>
  <c r="L14" i="5"/>
  <c r="AF14" i="5" s="1"/>
  <c r="L29" i="5" s="1"/>
  <c r="AF29" i="5" s="1"/>
  <c r="AJ5" i="2"/>
  <c r="AI7" i="2"/>
  <c r="AH11" i="2"/>
  <c r="AN12" i="2"/>
  <c r="F15" i="14"/>
  <c r="H15" i="5"/>
  <c r="AK4" i="2"/>
  <c r="AM5" i="2"/>
  <c r="H6" i="14"/>
  <c r="F7" i="14"/>
  <c r="AL4" i="2"/>
  <c r="M4" i="17"/>
  <c r="J4" i="16"/>
  <c r="F5" i="14"/>
  <c r="AN5" i="2"/>
  <c r="I6" i="14"/>
  <c r="AM6" i="2"/>
  <c r="H7" i="14"/>
  <c r="AM7" i="2"/>
  <c r="H8" i="14"/>
  <c r="AM8" i="2"/>
  <c r="I9" i="14"/>
  <c r="AM9" i="2"/>
  <c r="I10" i="14"/>
  <c r="AM10" i="2"/>
  <c r="H11" i="14"/>
  <c r="AL11" i="2"/>
  <c r="F12" i="14"/>
  <c r="H14" i="5"/>
  <c r="AJ12" i="2"/>
  <c r="AH13" i="2"/>
  <c r="AH14" i="2"/>
  <c r="AI15" i="2"/>
  <c r="AJ16" i="2"/>
  <c r="AM17" i="2"/>
  <c r="AH18" i="2"/>
  <c r="AK19" i="2"/>
  <c r="AL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N25" i="6"/>
  <c r="E32" i="6"/>
  <c r="R59" i="6"/>
  <c r="S59" i="6" s="1"/>
  <c r="T59" i="6" s="1"/>
  <c r="AP14" i="5"/>
  <c r="M45" i="6"/>
  <c r="P10" i="6"/>
  <c r="M21" i="6"/>
  <c r="M57" i="6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F21" i="10"/>
  <c r="F25" i="10" s="1"/>
  <c r="F29" i="10" s="1"/>
  <c r="F19" i="10"/>
  <c r="F23" i="10" s="1"/>
  <c r="F27" i="10" s="1"/>
  <c r="F20" i="10"/>
  <c r="F24" i="10" s="1"/>
  <c r="F28" i="10" s="1"/>
  <c r="N44" i="6"/>
  <c r="G16" i="10"/>
  <c r="H62" i="6"/>
  <c r="E5" i="6"/>
  <c r="P55" i="6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M62" i="6"/>
  <c r="C11" i="10"/>
  <c r="C9" i="10"/>
  <c r="U33" i="11"/>
  <c r="O3" i="8"/>
  <c r="U26" i="11"/>
  <c r="S3" i="13"/>
  <c r="I12" i="10"/>
  <c r="I10" i="10"/>
  <c r="L8" i="10"/>
  <c r="U24" i="11"/>
  <c r="D30" i="10"/>
  <c r="E30" i="10" s="1"/>
  <c r="C31" i="10"/>
  <c r="C20" i="10"/>
  <c r="C24" i="10" s="1"/>
  <c r="H16" i="8"/>
  <c r="O16" i="8" s="1"/>
  <c r="E20" i="10"/>
  <c r="E24" i="10" s="1"/>
  <c r="E18" i="10"/>
  <c r="B22" i="10"/>
  <c r="B26" i="10" s="1"/>
  <c r="B31" i="10" s="1"/>
  <c r="B32" i="10" s="1"/>
  <c r="C18" i="10"/>
  <c r="U65" i="11"/>
  <c r="U67" i="11"/>
  <c r="D18" i="10"/>
  <c r="D20" i="10"/>
  <c r="D24" i="10" s="1"/>
  <c r="D28" i="10" s="1"/>
  <c r="U73" i="11"/>
  <c r="U75" i="11"/>
  <c r="N13" i="14"/>
  <c r="S13" i="14"/>
  <c r="R13" i="14"/>
  <c r="Q13" i="14"/>
  <c r="O13" i="14"/>
  <c r="U13" i="14" s="1"/>
  <c r="M13" i="14"/>
  <c r="T13" i="14"/>
  <c r="AH3" i="15"/>
  <c r="AK3" i="15" s="1"/>
  <c r="AG3" i="15"/>
  <c r="AJ3" i="15" s="1"/>
  <c r="AF3" i="15"/>
  <c r="AI3" i="15" s="1"/>
  <c r="Q14" i="14"/>
  <c r="O14" i="14"/>
  <c r="N14" i="14"/>
  <c r="M14" i="14"/>
  <c r="T14" i="14"/>
  <c r="S14" i="14"/>
  <c r="U15" i="14"/>
  <c r="Q12" i="14"/>
  <c r="U12" i="14" s="1"/>
  <c r="T12" i="14"/>
  <c r="Q11" i="14"/>
  <c r="U11" i="14" s="1"/>
  <c r="M12" i="14"/>
  <c r="E12" i="8" l="1"/>
  <c r="F12" i="8"/>
  <c r="D9" i="8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7" i="2"/>
  <c r="D17" i="14"/>
  <c r="Q4" i="16"/>
  <c r="T4" i="17"/>
  <c r="BG3" i="13"/>
  <c r="BQ3" i="13"/>
  <c r="BM3" i="13"/>
  <c r="BW3" i="13"/>
  <c r="V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CC3" i="13"/>
  <c r="AK3" i="13"/>
  <c r="AJ3" i="13"/>
  <c r="BZ3" i="13"/>
  <c r="AC3" i="13"/>
  <c r="P3" i="16"/>
  <c r="C32" i="10"/>
  <c r="B33" i="10"/>
  <c r="Q14" i="7"/>
  <c r="Q16" i="7"/>
  <c r="Q17" i="7" s="1"/>
  <c r="D19" i="14"/>
  <c r="C18" i="2"/>
  <c r="H69" i="6"/>
  <c r="Q3" i="16"/>
  <c r="E22" i="10"/>
  <c r="E17" i="10"/>
  <c r="Q18" i="7"/>
  <c r="Q19" i="7" s="1"/>
  <c r="Q20" i="7" s="1"/>
  <c r="M59" i="6"/>
  <c r="D6" i="14"/>
  <c r="C6" i="2"/>
  <c r="F4" i="5"/>
  <c r="Z4" i="5" s="1"/>
  <c r="F19" i="5" s="1"/>
  <c r="Z19" i="5" s="1"/>
  <c r="AI21" i="5"/>
  <c r="AP21" i="5" s="1"/>
  <c r="V21" i="5"/>
  <c r="J6" i="8"/>
  <c r="D20" i="14"/>
  <c r="C19" i="2"/>
  <c r="H28" i="6"/>
  <c r="P14" i="6"/>
  <c r="Q10" i="6"/>
  <c r="E27" i="6"/>
  <c r="E13" i="6"/>
  <c r="H19" i="6"/>
  <c r="B17" i="10"/>
  <c r="H68" i="6"/>
  <c r="D13" i="14"/>
  <c r="C13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P25" i="6"/>
  <c r="Q15" i="6"/>
  <c r="I13" i="8"/>
  <c r="P13" i="8" s="1"/>
  <c r="P2" i="8"/>
  <c r="D22" i="10"/>
  <c r="D26" i="10" s="1"/>
  <c r="D31" i="10" s="1"/>
  <c r="D17" i="10"/>
  <c r="C22" i="10"/>
  <c r="C17" i="10"/>
  <c r="M60" i="6"/>
  <c r="AI24" i="5"/>
  <c r="AP24" i="5" s="1"/>
  <c r="V24" i="5"/>
  <c r="R53" i="6"/>
  <c r="S52" i="6"/>
  <c r="D12" i="14"/>
  <c r="C12" i="2"/>
  <c r="F14" i="5"/>
  <c r="Z14" i="5" s="1"/>
  <c r="F29" i="5" s="1"/>
  <c r="Z29" i="5" s="1"/>
  <c r="S43" i="6"/>
  <c r="T43" i="6" s="1"/>
  <c r="D11" i="14"/>
  <c r="C11" i="2"/>
  <c r="F9" i="5"/>
  <c r="Z9" i="5" s="1"/>
  <c r="F24" i="5" s="1"/>
  <c r="Z24" i="5" s="1"/>
  <c r="M18" i="6"/>
  <c r="D15" i="14"/>
  <c r="F15" i="5"/>
  <c r="Z15" i="5" s="1"/>
  <c r="F30" i="5" s="1"/>
  <c r="Z30" i="5" s="1"/>
  <c r="C15" i="2"/>
  <c r="J3" i="7"/>
  <c r="J3" i="8"/>
  <c r="U14" i="14"/>
  <c r="F30" i="10"/>
  <c r="G30" i="10" s="1"/>
  <c r="E31" i="10"/>
  <c r="P64" i="6"/>
  <c r="Q55" i="6"/>
  <c r="M63" i="6"/>
  <c r="G21" i="10"/>
  <c r="G25" i="10" s="1"/>
  <c r="G19" i="10"/>
  <c r="G23" i="10" s="1"/>
  <c r="G20" i="10"/>
  <c r="G24" i="10" s="1"/>
  <c r="H16" i="10"/>
  <c r="G18" i="10"/>
  <c r="N65" i="6"/>
  <c r="O44" i="6" s="1"/>
  <c r="O65" i="6" s="1"/>
  <c r="P44" i="6" s="1"/>
  <c r="P65" i="6" s="1"/>
  <c r="Q44" i="6" s="1"/>
  <c r="E64" i="6"/>
  <c r="E71" i="6"/>
  <c r="AI27" i="5"/>
  <c r="AP27" i="5" s="1"/>
  <c r="V27" i="5"/>
  <c r="E69" i="6"/>
  <c r="D21" i="14"/>
  <c r="C20" i="2"/>
  <c r="AI30" i="5"/>
  <c r="AP30" i="5" s="1"/>
  <c r="V30" i="5"/>
  <c r="D10" i="14"/>
  <c r="F8" i="5"/>
  <c r="Z8" i="5" s="1"/>
  <c r="F23" i="5" s="1"/>
  <c r="Z23" i="5" s="1"/>
  <c r="C10" i="2"/>
  <c r="D14" i="14"/>
  <c r="F13" i="5"/>
  <c r="Z13" i="5" s="1"/>
  <c r="F28" i="5" s="1"/>
  <c r="Z28" i="5" s="1"/>
  <c r="C14" i="2"/>
  <c r="F17" i="10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9" i="2"/>
  <c r="F7" i="5"/>
  <c r="Z7" i="5" s="1"/>
  <c r="F22" i="5" s="1"/>
  <c r="Z22" i="5" s="1"/>
  <c r="M13" i="6"/>
  <c r="P4" i="16"/>
  <c r="E52" i="6"/>
  <c r="E66" i="6"/>
  <c r="H31" i="6"/>
  <c r="D7" i="14"/>
  <c r="C7" i="2"/>
  <c r="F6" i="5"/>
  <c r="Z6" i="5" s="1"/>
  <c r="F21" i="5" s="1"/>
  <c r="Z21" i="5" s="1"/>
  <c r="H30" i="6"/>
  <c r="H24" i="6"/>
  <c r="P14" i="7"/>
  <c r="I16" i="8"/>
  <c r="P16" i="8" s="1"/>
  <c r="P5" i="8"/>
  <c r="F9" i="16"/>
  <c r="F10" i="16"/>
  <c r="F8" i="16"/>
  <c r="F6" i="16"/>
  <c r="F5" i="16"/>
  <c r="F7" i="16"/>
  <c r="C16" i="2"/>
  <c r="F11" i="5"/>
  <c r="Z11" i="5" s="1"/>
  <c r="F26" i="5" s="1"/>
  <c r="Z26" i="5" s="1"/>
  <c r="H32" i="6"/>
  <c r="P16" i="7"/>
  <c r="P17" i="7" s="1"/>
  <c r="P21" i="7" s="1"/>
  <c r="D8" i="14"/>
  <c r="F5" i="5"/>
  <c r="Z5" i="5" s="1"/>
  <c r="F20" i="5" s="1"/>
  <c r="Z20" i="5" s="1"/>
  <c r="C8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F9" i="8" l="1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H21" i="10"/>
  <c r="H25" i="10" s="1"/>
  <c r="H29" i="10" s="1"/>
  <c r="H19" i="10"/>
  <c r="H23" i="10" s="1"/>
  <c r="H27" i="10" s="1"/>
  <c r="H18" i="10"/>
  <c r="I16" i="10"/>
  <c r="H20" i="10"/>
  <c r="H24" i="10" s="1"/>
  <c r="H28" i="10" s="1"/>
  <c r="G31" i="10"/>
  <c r="H30" i="10"/>
  <c r="I30" i="10" s="1"/>
  <c r="L2" i="8"/>
  <c r="Q9" i="16"/>
  <c r="P9" i="16"/>
  <c r="H58" i="6"/>
  <c r="Q21" i="7"/>
  <c r="E68" i="6"/>
  <c r="H63" i="6"/>
  <c r="H71" i="6"/>
  <c r="Q25" i="6"/>
  <c r="R15" i="6"/>
  <c r="Q7" i="16"/>
  <c r="P7" i="16"/>
  <c r="Q5" i="8"/>
  <c r="R5" i="8" s="1"/>
  <c r="J16" i="8"/>
  <c r="K5" i="8"/>
  <c r="F31" i="10"/>
  <c r="R55" i="6"/>
  <c r="Q64" i="6"/>
  <c r="Q14" i="6"/>
  <c r="R10" i="6"/>
  <c r="J17" i="8"/>
  <c r="K17" i="8" s="1"/>
  <c r="K6" i="8"/>
  <c r="Q65" i="6"/>
  <c r="R44" i="6" s="1"/>
  <c r="H29" i="6"/>
  <c r="U43" i="6"/>
  <c r="T52" i="6"/>
  <c r="S53" i="6"/>
  <c r="H18" i="6"/>
  <c r="C33" i="10"/>
  <c r="D32" i="10"/>
  <c r="Q5" i="16"/>
  <c r="P5" i="16"/>
  <c r="H22" i="6"/>
  <c r="Q6" i="16"/>
  <c r="P6" i="16"/>
  <c r="E26" i="6"/>
  <c r="E12" i="6"/>
  <c r="G17" i="10"/>
  <c r="G22" i="10"/>
  <c r="Q3" i="8"/>
  <c r="R3" i="8" s="1"/>
  <c r="J14" i="8"/>
  <c r="K3" i="8"/>
  <c r="Q4" i="8"/>
  <c r="R4" i="8" s="1"/>
  <c r="J15" i="8"/>
  <c r="K4" i="8"/>
  <c r="K15" i="8" l="1"/>
  <c r="Q15" i="8"/>
  <c r="R15" i="8" s="1"/>
  <c r="R25" i="6"/>
  <c r="S15" i="6"/>
  <c r="I21" i="10"/>
  <c r="I25" i="10" s="1"/>
  <c r="I19" i="10"/>
  <c r="I23" i="10" s="1"/>
  <c r="J16" i="10"/>
  <c r="I18" i="10"/>
  <c r="I20" i="10"/>
  <c r="I24" i="10" s="1"/>
  <c r="K13" i="8"/>
  <c r="Q13" i="8"/>
  <c r="R13" i="8" s="1"/>
  <c r="H17" i="10"/>
  <c r="H22" i="10"/>
  <c r="H26" i="10" s="1"/>
  <c r="H31" i="10" s="1"/>
  <c r="D33" i="10"/>
  <c r="E32" i="10"/>
  <c r="S10" i="6"/>
  <c r="R14" i="6"/>
  <c r="L6" i="8"/>
  <c r="S4" i="8"/>
  <c r="H57" i="6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65" i="6"/>
  <c r="S44" i="6" s="1"/>
  <c r="H61" i="6"/>
  <c r="R7" i="8"/>
  <c r="U52" i="6"/>
  <c r="V43" i="6" s="1"/>
  <c r="T53" i="6"/>
  <c r="R64" i="6"/>
  <c r="S55" i="6"/>
  <c r="K7" i="8"/>
  <c r="T7" i="8" l="1"/>
  <c r="L7" i="8"/>
  <c r="L8" i="8" s="1"/>
  <c r="L17" i="8" s="1"/>
  <c r="M7" i="8"/>
  <c r="M8" i="8" s="1"/>
  <c r="R18" i="8"/>
  <c r="S7" i="8"/>
  <c r="I17" i="10"/>
  <c r="I22" i="10"/>
  <c r="K18" i="8"/>
  <c r="K16" i="10"/>
  <c r="J20" i="10"/>
  <c r="J24" i="10" s="1"/>
  <c r="J28" i="10" s="1"/>
  <c r="J18" i="10"/>
  <c r="J19" i="10"/>
  <c r="J23" i="10" s="1"/>
  <c r="J27" i="10" s="1"/>
  <c r="J21" i="10"/>
  <c r="J25" i="10" s="1"/>
  <c r="J29" i="10" s="1"/>
  <c r="U53" i="6"/>
  <c r="V52" i="6"/>
  <c r="L30" i="10"/>
  <c r="M30" i="10" s="1"/>
  <c r="K31" i="10"/>
  <c r="S64" i="6"/>
  <c r="S65" i="6" s="1"/>
  <c r="T44" i="6" s="1"/>
  <c r="T55" i="6"/>
  <c r="T10" i="6"/>
  <c r="S14" i="6"/>
  <c r="S25" i="6"/>
  <c r="T15" i="6"/>
  <c r="E33" i="10"/>
  <c r="F32" i="10"/>
  <c r="M17" i="8" l="1"/>
  <c r="M14" i="8"/>
  <c r="T14" i="8" s="1"/>
  <c r="M16" i="8"/>
  <c r="T16" i="8" s="1"/>
  <c r="U15" i="6"/>
  <c r="T25" i="6"/>
  <c r="J17" i="10"/>
  <c r="J22" i="10"/>
  <c r="J26" i="10" s="1"/>
  <c r="J31" i="10" s="1"/>
  <c r="M13" i="8"/>
  <c r="F33" i="10"/>
  <c r="G32" i="10"/>
  <c r="L13" i="8"/>
  <c r="W52" i="6"/>
  <c r="V53" i="6"/>
  <c r="L16" i="8"/>
  <c r="S16" i="8" s="1"/>
  <c r="U55" i="6"/>
  <c r="T64" i="6"/>
  <c r="T65" i="6" s="1"/>
  <c r="U44" i="6" s="1"/>
  <c r="M31" i="10"/>
  <c r="N30" i="10"/>
  <c r="O30" i="10" s="1"/>
  <c r="L15" i="8"/>
  <c r="S15" i="8" s="1"/>
  <c r="U10" i="6"/>
  <c r="T14" i="6"/>
  <c r="L16" i="10"/>
  <c r="K20" i="10"/>
  <c r="K24" i="10" s="1"/>
  <c r="K18" i="10"/>
  <c r="K19" i="10"/>
  <c r="K23" i="10" s="1"/>
  <c r="K21" i="10"/>
  <c r="K25" i="10" s="1"/>
  <c r="M15" i="8"/>
  <c r="T15" i="8" s="1"/>
  <c r="L14" i="8"/>
  <c r="S14" i="8" s="1"/>
  <c r="W43" i="6"/>
  <c r="X43" i="6" s="1"/>
  <c r="U14" i="6" l="1"/>
  <c r="V10" i="6"/>
  <c r="X52" i="6"/>
  <c r="W53" i="6"/>
  <c r="O31" i="10"/>
  <c r="P30" i="10"/>
  <c r="Q30" i="10" s="1"/>
  <c r="S13" i="8"/>
  <c r="S18" i="8" s="1"/>
  <c r="L18" i="8"/>
  <c r="U64" i="6"/>
  <c r="U65" i="6" s="1"/>
  <c r="V44" i="6" s="1"/>
  <c r="V55" i="6"/>
  <c r="M16" i="10"/>
  <c r="L20" i="10"/>
  <c r="L24" i="10" s="1"/>
  <c r="L28" i="10" s="1"/>
  <c r="L18" i="10"/>
  <c r="L21" i="10"/>
  <c r="L25" i="10" s="1"/>
  <c r="L29" i="10" s="1"/>
  <c r="L19" i="10"/>
  <c r="L23" i="10" s="1"/>
  <c r="L27" i="10" s="1"/>
  <c r="H32" i="10"/>
  <c r="G33" i="10"/>
  <c r="U25" i="6"/>
  <c r="V15" i="6"/>
  <c r="K22" i="10"/>
  <c r="K17" i="10"/>
  <c r="T13" i="8"/>
  <c r="T18" i="8" s="1"/>
  <c r="M18" i="8"/>
  <c r="Y52" i="6" l="1"/>
  <c r="X53" i="6"/>
  <c r="L22" i="10"/>
  <c r="L26" i="10" s="1"/>
  <c r="L31" i="10" s="1"/>
  <c r="L17" i="10"/>
  <c r="M20" i="10"/>
  <c r="M24" i="10" s="1"/>
  <c r="M18" i="10"/>
  <c r="M21" i="10"/>
  <c r="M25" i="10" s="1"/>
  <c r="N16" i="10"/>
  <c r="M19" i="10"/>
  <c r="M23" i="10" s="1"/>
  <c r="V64" i="6"/>
  <c r="V65" i="6" s="1"/>
  <c r="W55" i="6"/>
  <c r="I32" i="10"/>
  <c r="H33" i="10"/>
  <c r="Y43" i="6"/>
  <c r="Z43" i="6" s="1"/>
  <c r="Q31" i="10"/>
  <c r="R30" i="10"/>
  <c r="S30" i="10" s="1"/>
  <c r="V25" i="6"/>
  <c r="W15" i="6"/>
  <c r="V14" i="6"/>
  <c r="W10" i="6"/>
  <c r="V80" i="6" l="1"/>
  <c r="W44" i="6"/>
  <c r="W14" i="6"/>
  <c r="X10" i="6"/>
  <c r="J32" i="10"/>
  <c r="I33" i="10"/>
  <c r="M22" i="10"/>
  <c r="M17" i="10"/>
  <c r="W64" i="6"/>
  <c r="X55" i="6"/>
  <c r="W25" i="6"/>
  <c r="X15" i="6"/>
  <c r="T30" i="10"/>
  <c r="U30" i="10" s="1"/>
  <c r="S31" i="10"/>
  <c r="N21" i="10"/>
  <c r="N25" i="10" s="1"/>
  <c r="N29" i="10" s="1"/>
  <c r="N19" i="10"/>
  <c r="N23" i="10" s="1"/>
  <c r="N27" i="10" s="1"/>
  <c r="N18" i="10"/>
  <c r="O16" i="10"/>
  <c r="N20" i="10"/>
  <c r="N24" i="10" s="1"/>
  <c r="N28" i="10" s="1"/>
  <c r="Z52" i="6"/>
  <c r="Y53" i="6"/>
  <c r="U31" i="10" l="1"/>
  <c r="V30" i="10"/>
  <c r="W30" i="10" s="1"/>
  <c r="Z53" i="6"/>
  <c r="AA52" i="6"/>
  <c r="X25" i="6"/>
  <c r="Y15" i="6"/>
  <c r="AA43" i="6"/>
  <c r="AB43" i="6" s="1"/>
  <c r="X14" i="6"/>
  <c r="Y10" i="6"/>
  <c r="O21" i="10"/>
  <c r="O25" i="10" s="1"/>
  <c r="O19" i="10"/>
  <c r="O23" i="10" s="1"/>
  <c r="O18" i="10"/>
  <c r="P16" i="10"/>
  <c r="O20" i="10"/>
  <c r="O24" i="10" s="1"/>
  <c r="X64" i="6"/>
  <c r="Y55" i="6"/>
  <c r="N17" i="10"/>
  <c r="N22" i="10"/>
  <c r="N26" i="10" s="1"/>
  <c r="N31" i="10" s="1"/>
  <c r="W65" i="6"/>
  <c r="X44" i="6" s="1"/>
  <c r="K32" i="10"/>
  <c r="J33" i="10"/>
  <c r="Z55" i="6" l="1"/>
  <c r="Y64" i="6"/>
  <c r="Y25" i="6"/>
  <c r="Z15" i="6"/>
  <c r="P21" i="10"/>
  <c r="P25" i="10" s="1"/>
  <c r="P29" i="10" s="1"/>
  <c r="P19" i="10"/>
  <c r="P23" i="10" s="1"/>
  <c r="P27" i="10" s="1"/>
  <c r="P18" i="10"/>
  <c r="Q16" i="10"/>
  <c r="P20" i="10"/>
  <c r="P24" i="10" s="1"/>
  <c r="P28" i="10" s="1"/>
  <c r="O17" i="10"/>
  <c r="O22" i="10"/>
  <c r="AA53" i="6"/>
  <c r="AB52" i="6"/>
  <c r="X65" i="6"/>
  <c r="Y44" i="6" s="1"/>
  <c r="Y65" i="6" s="1"/>
  <c r="Z44" i="6" s="1"/>
  <c r="K33" i="10"/>
  <c r="L32" i="10"/>
  <c r="W31" i="10"/>
  <c r="X30" i="10"/>
  <c r="Y30" i="10" s="1"/>
  <c r="Y14" i="6"/>
  <c r="Z10" i="6"/>
  <c r="Z14" i="6" l="1"/>
  <c r="AA10" i="6"/>
  <c r="P17" i="10"/>
  <c r="P22" i="10"/>
  <c r="P26" i="10" s="1"/>
  <c r="P31" i="10" s="1"/>
  <c r="AB53" i="6"/>
  <c r="AC52" i="6"/>
  <c r="Z64" i="6"/>
  <c r="Z65" i="6" s="1"/>
  <c r="AA44" i="6" s="1"/>
  <c r="AA55" i="6"/>
  <c r="Z25" i="6"/>
  <c r="AA15" i="6"/>
  <c r="Y31" i="10"/>
  <c r="Z30" i="10"/>
  <c r="AA30" i="10" s="1"/>
  <c r="L33" i="10"/>
  <c r="M32" i="10"/>
  <c r="Q21" i="10"/>
  <c r="Q25" i="10" s="1"/>
  <c r="Q19" i="10"/>
  <c r="Q23" i="10" s="1"/>
  <c r="R16" i="10"/>
  <c r="Q20" i="10"/>
  <c r="Q24" i="10" s="1"/>
  <c r="Q18" i="10"/>
  <c r="AC43" i="6"/>
  <c r="AA25" i="6" l="1"/>
  <c r="AB15" i="6"/>
  <c r="AA14" i="6"/>
  <c r="AB10" i="6"/>
  <c r="AC53" i="6"/>
  <c r="AD52" i="6"/>
  <c r="M33" i="10"/>
  <c r="N32" i="10"/>
  <c r="AD43" i="6"/>
  <c r="AB30" i="10"/>
  <c r="AC30" i="10" s="1"/>
  <c r="AA31" i="10"/>
  <c r="Q17" i="10"/>
  <c r="Q22" i="10"/>
  <c r="S16" i="10"/>
  <c r="R20" i="10"/>
  <c r="R24" i="10" s="1"/>
  <c r="R28" i="10" s="1"/>
  <c r="R18" i="10"/>
  <c r="R21" i="10"/>
  <c r="R25" i="10" s="1"/>
  <c r="R29" i="10" s="1"/>
  <c r="R19" i="10"/>
  <c r="R23" i="10" s="1"/>
  <c r="R27" i="10" s="1"/>
  <c r="AA64" i="6"/>
  <c r="AA65" i="6" s="1"/>
  <c r="AB44" i="6" s="1"/>
  <c r="AB55" i="6"/>
  <c r="AB64" i="6" l="1"/>
  <c r="AB65" i="6" s="1"/>
  <c r="AC44" i="6" s="1"/>
  <c r="AC55" i="6"/>
  <c r="AB14" i="6"/>
  <c r="AC10" i="6"/>
  <c r="AD30" i="10"/>
  <c r="AC31" i="10"/>
  <c r="AC15" i="6"/>
  <c r="AB25" i="6"/>
  <c r="T16" i="10"/>
  <c r="S20" i="10"/>
  <c r="S24" i="10" s="1"/>
  <c r="S18" i="10"/>
  <c r="S21" i="10"/>
  <c r="S25" i="10" s="1"/>
  <c r="S19" i="10"/>
  <c r="S23" i="10" s="1"/>
  <c r="AD53" i="6"/>
  <c r="M53" i="6" s="1"/>
  <c r="M52" i="6"/>
  <c r="M4" i="6"/>
  <c r="N4" i="6" s="1"/>
  <c r="R17" i="10"/>
  <c r="R22" i="10"/>
  <c r="R26" i="10" s="1"/>
  <c r="R31" i="10" s="1"/>
  <c r="N33" i="10"/>
  <c r="O32" i="10"/>
  <c r="B51" i="6" l="1"/>
  <c r="B48" i="6"/>
  <c r="B8" i="6"/>
  <c r="B7" i="6"/>
  <c r="A54" i="6"/>
  <c r="B47" i="6"/>
  <c r="B49" i="6"/>
  <c r="B46" i="6"/>
  <c r="B9" i="6"/>
  <c r="B12" i="6"/>
  <c r="B6" i="6"/>
  <c r="B11" i="6"/>
  <c r="B45" i="6"/>
  <c r="B50" i="6"/>
  <c r="B13" i="6"/>
  <c r="P32" i="10"/>
  <c r="O33" i="10"/>
  <c r="AC14" i="6"/>
  <c r="M14" i="6" s="1"/>
  <c r="A15" i="6" s="1"/>
  <c r="M10" i="6"/>
  <c r="E51" i="6"/>
  <c r="E65" i="6"/>
  <c r="B52" i="6"/>
  <c r="AC25" i="6"/>
  <c r="M25" i="6" s="1"/>
  <c r="A35" i="6" s="1"/>
  <c r="M15" i="6"/>
  <c r="S22" i="10"/>
  <c r="S17" i="10"/>
  <c r="AC64" i="6"/>
  <c r="AC65" i="6" s="1"/>
  <c r="AD44" i="6" s="1"/>
  <c r="AD55" i="6"/>
  <c r="U16" i="10"/>
  <c r="T20" i="10"/>
  <c r="T24" i="10" s="1"/>
  <c r="T28" i="10" s="1"/>
  <c r="T18" i="10"/>
  <c r="T19" i="10"/>
  <c r="T23" i="10" s="1"/>
  <c r="T27" i="10" s="1"/>
  <c r="T21" i="10"/>
  <c r="T25" i="10" s="1"/>
  <c r="T29" i="10" s="1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E11" i="6"/>
  <c r="B53" i="6" l="1"/>
  <c r="AD64" i="6"/>
  <c r="M64" i="6" s="1"/>
  <c r="M55" i="6"/>
  <c r="E10" i="6"/>
  <c r="B10" i="6"/>
  <c r="B14" i="6" s="1"/>
  <c r="E34" i="6"/>
  <c r="E63" i="6"/>
  <c r="U20" i="10"/>
  <c r="U24" i="10" s="1"/>
  <c r="U18" i="10"/>
  <c r="U19" i="10"/>
  <c r="U23" i="10" s="1"/>
  <c r="U21" i="10"/>
  <c r="U25" i="10" s="1"/>
  <c r="V16" i="10"/>
  <c r="E49" i="6"/>
  <c r="H27" i="6"/>
  <c r="B24" i="6"/>
  <c r="Q32" i="10"/>
  <c r="P33" i="10"/>
  <c r="T22" i="10"/>
  <c r="T26" i="10" s="1"/>
  <c r="T31" i="10" s="1"/>
  <c r="T17" i="10"/>
  <c r="U22" i="10" l="1"/>
  <c r="U17" i="10"/>
  <c r="R32" i="10"/>
  <c r="Q33" i="10"/>
  <c r="B64" i="6"/>
  <c r="H67" i="6"/>
  <c r="A74" i="6"/>
  <c r="B70" i="6"/>
  <c r="B63" i="6"/>
  <c r="B65" i="6"/>
  <c r="B26" i="6"/>
  <c r="B67" i="6"/>
  <c r="B29" i="6"/>
  <c r="B30" i="6"/>
  <c r="B33" i="6" s="1"/>
  <c r="B32" i="6"/>
  <c r="B31" i="6"/>
  <c r="B66" i="6"/>
  <c r="B28" i="6"/>
  <c r="B25" i="6"/>
  <c r="B27" i="6"/>
  <c r="B69" i="6"/>
  <c r="B68" i="6"/>
  <c r="B71" i="6"/>
  <c r="M65" i="6"/>
  <c r="V21" i="10"/>
  <c r="V25" i="10" s="1"/>
  <c r="V29" i="10" s="1"/>
  <c r="V19" i="10"/>
  <c r="V23" i="10" s="1"/>
  <c r="V27" i="10" s="1"/>
  <c r="V20" i="10"/>
  <c r="V24" i="10" s="1"/>
  <c r="V28" i="10" s="1"/>
  <c r="W16" i="10"/>
  <c r="V18" i="10"/>
  <c r="F63" i="6"/>
  <c r="E29" i="6"/>
  <c r="H26" i="6"/>
  <c r="E74" i="6"/>
  <c r="AD65" i="6"/>
  <c r="M5" i="6" s="1"/>
  <c r="F58" i="6" l="1"/>
  <c r="F57" i="6"/>
  <c r="F55" i="6"/>
  <c r="F45" i="6"/>
  <c r="F47" i="6"/>
  <c r="F54" i="6"/>
  <c r="F60" i="6"/>
  <c r="F70" i="6"/>
  <c r="F72" i="6"/>
  <c r="F61" i="6"/>
  <c r="F56" i="6"/>
  <c r="F73" i="6"/>
  <c r="F46" i="6"/>
  <c r="F50" i="6"/>
  <c r="F44" i="6"/>
  <c r="F69" i="6"/>
  <c r="F66" i="6"/>
  <c r="F52" i="6"/>
  <c r="F71" i="6"/>
  <c r="F64" i="6"/>
  <c r="F68" i="6"/>
  <c r="F51" i="6"/>
  <c r="F65" i="6"/>
  <c r="W21" i="10"/>
  <c r="W25" i="10" s="1"/>
  <c r="W19" i="10"/>
  <c r="W23" i="10" s="1"/>
  <c r="W20" i="10"/>
  <c r="W24" i="10" s="1"/>
  <c r="W18" i="10"/>
  <c r="X16" i="10"/>
  <c r="N5" i="6"/>
  <c r="M26" i="6"/>
  <c r="V22" i="10"/>
  <c r="V26" i="10" s="1"/>
  <c r="V31" i="10" s="1"/>
  <c r="V17" i="10"/>
  <c r="S32" i="10"/>
  <c r="R33" i="10"/>
  <c r="H16" i="6"/>
  <c r="H65" i="6"/>
  <c r="F49" i="6"/>
  <c r="B72" i="6"/>
  <c r="E25" i="6" l="1"/>
  <c r="N26" i="6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X26" i="6" s="1"/>
  <c r="Y5" i="6" s="1"/>
  <c r="Y26" i="6" s="1"/>
  <c r="Z5" i="6" s="1"/>
  <c r="Z26" i="6" s="1"/>
  <c r="AA5" i="6" s="1"/>
  <c r="AA26" i="6" s="1"/>
  <c r="AB5" i="6" s="1"/>
  <c r="AB26" i="6" s="1"/>
  <c r="AC5" i="6" s="1"/>
  <c r="AC26" i="6" s="1"/>
  <c r="F74" i="6"/>
  <c r="X21" i="10"/>
  <c r="X25" i="10" s="1"/>
  <c r="X29" i="10" s="1"/>
  <c r="X19" i="10"/>
  <c r="X23" i="10" s="1"/>
  <c r="X27" i="10" s="1"/>
  <c r="X18" i="10"/>
  <c r="Y16" i="10"/>
  <c r="X20" i="10"/>
  <c r="X24" i="10" s="1"/>
  <c r="X28" i="10" s="1"/>
  <c r="W17" i="10"/>
  <c r="W22" i="10"/>
  <c r="H55" i="6"/>
  <c r="H10" i="6"/>
  <c r="S33" i="10"/>
  <c r="T32" i="10"/>
  <c r="H35" i="6" l="1"/>
  <c r="Y21" i="10"/>
  <c r="Y25" i="10" s="1"/>
  <c r="Y19" i="10"/>
  <c r="Y23" i="10" s="1"/>
  <c r="Z16" i="10"/>
  <c r="Y18" i="10"/>
  <c r="Y20" i="10"/>
  <c r="Y24" i="10" s="1"/>
  <c r="X17" i="10"/>
  <c r="X22" i="10"/>
  <c r="X26" i="10" s="1"/>
  <c r="X31" i="10" s="1"/>
  <c r="H49" i="6"/>
  <c r="T33" i="10"/>
  <c r="U32" i="10"/>
  <c r="E24" i="6"/>
  <c r="Y17" i="10" l="1"/>
  <c r="Y22" i="10"/>
  <c r="U33" i="10"/>
  <c r="V32" i="10"/>
  <c r="AA16" i="10"/>
  <c r="Z20" i="10"/>
  <c r="Z24" i="10" s="1"/>
  <c r="Z28" i="10" s="1"/>
  <c r="Z18" i="10"/>
  <c r="Z19" i="10"/>
  <c r="Z23" i="10" s="1"/>
  <c r="Z27" i="10" s="1"/>
  <c r="Z21" i="10"/>
  <c r="Z25" i="10" s="1"/>
  <c r="Z29" i="10" s="1"/>
  <c r="E35" i="6"/>
  <c r="F24" i="6" s="1"/>
  <c r="H74" i="6"/>
  <c r="I49" i="6" s="1"/>
  <c r="Z17" i="10" l="1"/>
  <c r="Z22" i="10"/>
  <c r="Z26" i="10" s="1"/>
  <c r="Z31" i="10" s="1"/>
  <c r="V33" i="10"/>
  <c r="W32" i="10"/>
  <c r="I12" i="6"/>
  <c r="I6" i="6"/>
  <c r="I13" i="6"/>
  <c r="I74" i="6"/>
  <c r="I53" i="6"/>
  <c r="I50" i="6"/>
  <c r="I15" i="6"/>
  <c r="I11" i="6"/>
  <c r="I54" i="6"/>
  <c r="I14" i="6"/>
  <c r="I51" i="6"/>
  <c r="I45" i="6"/>
  <c r="I7" i="6"/>
  <c r="I5" i="6"/>
  <c r="I44" i="6"/>
  <c r="I46" i="6"/>
  <c r="I23" i="6"/>
  <c r="I52" i="6"/>
  <c r="I70" i="6"/>
  <c r="I66" i="6"/>
  <c r="I62" i="6"/>
  <c r="I32" i="6"/>
  <c r="I31" i="6"/>
  <c r="I28" i="6"/>
  <c r="I30" i="6"/>
  <c r="I68" i="6"/>
  <c r="I69" i="6"/>
  <c r="I19" i="6"/>
  <c r="I24" i="6"/>
  <c r="I29" i="6"/>
  <c r="I58" i="6"/>
  <c r="I63" i="6"/>
  <c r="I22" i="6"/>
  <c r="I71" i="6"/>
  <c r="I18" i="6"/>
  <c r="I57" i="6"/>
  <c r="I61" i="6"/>
  <c r="I27" i="6"/>
  <c r="H75" i="6"/>
  <c r="I26" i="6"/>
  <c r="I67" i="6"/>
  <c r="I16" i="6"/>
  <c r="I65" i="6"/>
  <c r="I10" i="6"/>
  <c r="I55" i="6"/>
  <c r="AB16" i="10"/>
  <c r="AA20" i="10"/>
  <c r="AA24" i="10" s="1"/>
  <c r="AA18" i="10"/>
  <c r="AA19" i="10"/>
  <c r="AA23" i="10" s="1"/>
  <c r="AA21" i="10"/>
  <c r="AA25" i="10" s="1"/>
  <c r="I35" i="6"/>
  <c r="H36" i="6"/>
  <c r="F8" i="6"/>
  <c r="F19" i="6"/>
  <c r="F16" i="6"/>
  <c r="F17" i="6"/>
  <c r="F22" i="6"/>
  <c r="F33" i="6"/>
  <c r="F18" i="6"/>
  <c r="F7" i="6"/>
  <c r="F21" i="6"/>
  <c r="F6" i="6"/>
  <c r="F30" i="6"/>
  <c r="F5" i="6"/>
  <c r="F15" i="6"/>
  <c r="F31" i="6"/>
  <c r="F32" i="6"/>
  <c r="F27" i="6"/>
  <c r="F13" i="6"/>
  <c r="F12" i="6"/>
  <c r="F26" i="6"/>
  <c r="F11" i="6"/>
  <c r="F34" i="6"/>
  <c r="F10" i="6"/>
  <c r="F29" i="6"/>
  <c r="F35" i="6" s="1"/>
  <c r="F25" i="6"/>
  <c r="AA22" i="10" l="1"/>
  <c r="AA17" i="10"/>
  <c r="X32" i="10"/>
  <c r="W33" i="10"/>
  <c r="AC16" i="10"/>
  <c r="AB20" i="10"/>
  <c r="AB24" i="10" s="1"/>
  <c r="AB28" i="10" s="1"/>
  <c r="AB18" i="10"/>
  <c r="AB21" i="10"/>
  <c r="AB25" i="10" s="1"/>
  <c r="AB29" i="10" s="1"/>
  <c r="AB19" i="10"/>
  <c r="AB23" i="10" s="1"/>
  <c r="AB27" i="10" s="1"/>
  <c r="AC20" i="10" l="1"/>
  <c r="AC24" i="10" s="1"/>
  <c r="AC18" i="10"/>
  <c r="AC21" i="10"/>
  <c r="AC25" i="10" s="1"/>
  <c r="AD16" i="10"/>
  <c r="AC19" i="10"/>
  <c r="AC23" i="10" s="1"/>
  <c r="AB22" i="10"/>
  <c r="AB26" i="10" s="1"/>
  <c r="AB31" i="10" s="1"/>
  <c r="AB17" i="10"/>
  <c r="Y32" i="10"/>
  <c r="X33" i="10"/>
  <c r="Z32" i="10" l="1"/>
  <c r="Y33" i="10"/>
  <c r="AC22" i="10"/>
  <c r="AC17" i="10"/>
  <c r="AD21" i="10"/>
  <c r="AD25" i="10" s="1"/>
  <c r="AD29" i="10" s="1"/>
  <c r="AD19" i="10"/>
  <c r="AD23" i="10" s="1"/>
  <c r="AD27" i="10" s="1"/>
  <c r="AD18" i="10"/>
  <c r="AE16" i="10"/>
  <c r="AD20" i="10"/>
  <c r="AD24" i="10" s="1"/>
  <c r="AD28" i="10" s="1"/>
  <c r="AD22" i="10" l="1"/>
  <c r="AD26" i="10" s="1"/>
  <c r="AD31" i="10" s="1"/>
  <c r="AD17" i="10"/>
  <c r="AE21" i="10"/>
  <c r="AE19" i="10"/>
  <c r="AE18" i="10"/>
  <c r="AF16" i="10"/>
  <c r="AE20" i="10"/>
  <c r="AA32" i="10"/>
  <c r="Z33" i="10"/>
  <c r="AA33" i="10" l="1"/>
  <c r="AB32" i="10"/>
  <c r="AF21" i="10"/>
  <c r="AF19" i="10"/>
  <c r="AF18" i="10"/>
  <c r="AG16" i="10"/>
  <c r="AF20" i="10"/>
  <c r="AG21" i="10" l="1"/>
  <c r="AG19" i="10"/>
  <c r="AH16" i="10"/>
  <c r="AG20" i="10"/>
  <c r="AG18" i="10"/>
  <c r="AB33" i="10"/>
  <c r="AC32" i="10"/>
  <c r="AC33" i="10" l="1"/>
  <c r="AD32" i="10"/>
  <c r="AD33" i="10" s="1"/>
  <c r="AI16" i="10"/>
  <c r="AH20" i="10"/>
  <c r="AH18" i="10"/>
  <c r="AH21" i="10"/>
  <c r="AH19" i="10"/>
  <c r="AJ16" i="10" l="1"/>
  <c r="AI20" i="10"/>
  <c r="AI18" i="10"/>
  <c r="AI21" i="10"/>
  <c r="AI19" i="10"/>
  <c r="AJ20" i="10" l="1"/>
  <c r="AJ18" i="10"/>
  <c r="AJ19" i="10"/>
  <c r="AJ2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45" authorId="0" shapeId="0" xr:uid="{00000000-0006-0000-02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  <comment ref="AW45" authorId="0" shapeId="0" xr:uid="{00000000-0006-0000-02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7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8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9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22" authorId="0" shapeId="0" xr:uid="{00000000-0006-0000-0500-00000A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  <comment ref="G47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49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55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58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61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tc={4D722616-FA5A-4CDA-A038-48E07680C431}</author>
    <author>tc={C223E997-198D-48E4-8AA7-77CD21FADA50}</author>
    <author>tc={661AE06C-6699-47B1-9517-EA3D2635C276}</author>
    <author>tc={D132555C-CE98-4551-B6A5-A71A14C3BDA9}</author>
    <author>tc={F98AA9EF-5A8B-4A1B-97A5-F14070E4929D}</author>
  </authors>
  <commentList>
    <comment ref="AE3" authorId="0" shapeId="0" xr:uid="{4D722616-FA5A-4CDA-A038-48E07680C4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Comprartiva a 2000, se vende 3142 xDDD</t>
      </text>
    </comment>
    <comment ref="AA7" authorId="1" shapeId="0" xr:uid="{C223E997-198D-48E4-8AA7-77CD21FADA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4150</t>
      </text>
    </comment>
    <comment ref="AA8" authorId="2" shapeId="0" xr:uid="{661AE06C-6699-47B1-9517-EA3D2635C2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7500</t>
      </text>
    </comment>
    <comment ref="AA9" authorId="3" shapeId="0" xr:uid="{D132555C-CE98-4551-B6A5-A71A14C3BD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7100</t>
      </text>
    </comment>
    <comment ref="AA14" authorId="4" shapeId="0" xr:uid="{F98AA9EF-5A8B-4A1B-97A5-F14070E492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6200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<sst xmlns="http://schemas.openxmlformats.org/spreadsheetml/2006/main" count="2032" uniqueCount="982">
  <si>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</si>
  <si>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</si>
  <si>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</si>
  <si>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</si>
  <si>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</si>
  <si>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</si>
  <si>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</si>
  <si>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</si>
  <si>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</si>
  <si>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</si>
  <si>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</si>
  <si>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</si>
  <si>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</si>
  <si>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</si>
  <si>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</si>
  <si>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</si>
  <si>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</si>
  <si>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</si>
  <si>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</si>
  <si>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</si>
  <si>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</si>
  <si>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</si>
  <si>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</si>
  <si>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</si>
  <si>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</si>
  <si>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</si>
  <si>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</si>
  <si>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</si>
  <si>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</si>
  <si>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Xermade - Vader</t>
  </si>
  <si>
    <t>472 HTS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</si>
  <si>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</si>
  <si>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</si>
  <si>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</si>
  <si>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</si>
  <si>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</si>
  <si>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</si>
  <si>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</si>
  <si>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</si>
  <si>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</si>
  <si>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</si>
  <si>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</si>
  <si>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</si>
  <si>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</si>
  <si>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</si>
  <si>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</si>
  <si>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</si>
  <si>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</si>
  <si>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</si>
  <si>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</si>
  <si>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</si>
  <si>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</si>
  <si>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</si>
  <si>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</si>
  <si>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</si>
  <si>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</si>
  <si>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</si>
  <si>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</si>
  <si>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</si>
  <si>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</si>
  <si>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</si>
  <si>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</si>
  <si>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</si>
  <si>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</si>
  <si>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</si>
  <si>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</si>
  <si>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</si>
  <si>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</si>
  <si>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</si>
  <si>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</si>
  <si>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</si>
  <si>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</si>
  <si>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</si>
  <si>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</si>
  <si>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</si>
  <si>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</si>
  <si>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</si>
  <si>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</si>
  <si>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</si>
  <si>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</si>
  <si>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</si>
  <si>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</si>
  <si>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</si>
  <si>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</si>
  <si>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</si>
  <si>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</si>
  <si>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</si>
  <si>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</si>
  <si>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</si>
  <si>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</si>
  <si>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</si>
  <si>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</si>
  <si>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</si>
  <si>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</si>
  <si>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</si>
  <si>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</si>
  <si>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</si>
  <si>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</si>
  <si>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</si>
  <si>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</si>
  <si>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</si>
  <si>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</si>
  <si>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</si>
  <si>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</si>
  <si>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</si>
  <si>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</si>
  <si>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</si>
  <si>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</si>
  <si>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</si>
  <si>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</si>
  <si>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</si>
  <si>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</si>
  <si>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</si>
  <si>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</si>
  <si>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</si>
  <si>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</si>
  <si>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</si>
  <si>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</si>
  <si>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</si>
  <si>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</si>
  <si>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</si>
  <si>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</si>
  <si>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</si>
  <si>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</si>
  <si>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</si>
  <si>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</si>
  <si>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</si>
  <si>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</si>
  <si>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</si>
  <si>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</si>
  <si>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</si>
  <si>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</si>
  <si>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</si>
  <si>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</si>
  <si>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</si>
  <si>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</si>
  <si>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</si>
  <si>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</si>
  <si>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</si>
  <si>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Pot28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</si>
  <si>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</si>
  <si>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</si>
  <si>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</si>
  <si>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</si>
  <si>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</si>
  <si>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</si>
  <si>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</si>
  <si>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</si>
  <si>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</si>
  <si>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</si>
  <si>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</si>
  <si>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</si>
  <si>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</si>
  <si>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</si>
  <si>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</si>
  <si>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</si>
  <si>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</si>
  <si>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</si>
  <si>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Miguel Fernández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</si>
  <si>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</si>
  <si>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</si>
  <si>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</si>
  <si>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</si>
  <si>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</si>
  <si>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</si>
  <si>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</si>
  <si>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</si>
  <si>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</si>
  <si>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</si>
  <si>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</si>
  <si>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</si>
  <si>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</si>
  <si>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</si>
  <si>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</si>
  <si>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</si>
  <si>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</si>
  <si>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</si>
  <si>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Ryan Clarke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</si>
  <si>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</si>
  <si>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</si>
  <si>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</si>
  <si>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</si>
  <si>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</si>
  <si>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</si>
  <si>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</si>
  <si>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PROMOCIONADOS</t>
  </si>
  <si>
    <t>Jugador</t>
  </si>
  <si>
    <t>Edad</t>
  </si>
  <si>
    <t>Esp</t>
  </si>
  <si>
    <t>Asc</t>
  </si>
  <si>
    <t>Promoción</t>
  </si>
  <si>
    <t>Gen</t>
  </si>
  <si>
    <t>u20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</si>
  <si>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</si>
  <si>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</si>
  <si>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</si>
  <si>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</si>
  <si>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</si>
  <si>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</si>
  <si>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</si>
  <si>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</si>
  <si>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</si>
  <si>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</si>
  <si>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HTMS</t>
  </si>
  <si>
    <t>PR</t>
  </si>
  <si>
    <t>DL</t>
  </si>
  <si>
    <t>DC</t>
  </si>
  <si>
    <t>In</t>
  </si>
  <si>
    <t>ExO</t>
  </si>
  <si>
    <t>DV</t>
  </si>
  <si>
    <t>Atributs</t>
  </si>
  <si>
    <t>Pot P</t>
  </si>
  <si>
    <t>Pot Def</t>
  </si>
  <si>
    <t>Pot Jug</t>
  </si>
  <si>
    <t>Pot Lat</t>
  </si>
  <si>
    <t>Pot Ano</t>
  </si>
  <si>
    <t>Pot Pas</t>
  </si>
  <si>
    <t>P_BP</t>
  </si>
  <si>
    <t>Fecha</t>
  </si>
  <si>
    <t>Joaquin Romero</t>
  </si>
  <si>
    <t>Acep</t>
  </si>
  <si>
    <t>no</t>
  </si>
  <si>
    <t>ns/nc</t>
  </si>
  <si>
    <t>Polèmic</t>
  </si>
  <si>
    <t>Servulo Matute Suso</t>
  </si>
  <si>
    <t>IMPORTANTES</t>
  </si>
  <si>
    <t>Raul Fonoll</t>
  </si>
  <si>
    <t>Info</t>
  </si>
  <si>
    <t>Habilidades</t>
  </si>
  <si>
    <t>Mejor Partido</t>
  </si>
  <si>
    <t>Sergio Lopez</t>
  </si>
  <si>
    <t>Pancracio Ribadulla</t>
  </si>
  <si>
    <t>Alejandro Camacho</t>
  </si>
  <si>
    <t>Agradable i Popular</t>
  </si>
  <si>
    <t>Manuel Garces de Marcilla</t>
  </si>
  <si>
    <t>Rap</t>
  </si>
  <si>
    <t>César Carrasquedo</t>
  </si>
  <si>
    <t>Emilio Olmos</t>
  </si>
  <si>
    <t>RELEVANTES</t>
  </si>
  <si>
    <t>Faustino Manene</t>
  </si>
  <si>
    <t>Miquel Barbarie</t>
  </si>
  <si>
    <t>Imp</t>
  </si>
  <si>
    <t>Michael Healy</t>
  </si>
  <si>
    <t>Cab</t>
  </si>
  <si>
    <t>Paulo Endara</t>
  </si>
  <si>
    <t>Insuf</t>
  </si>
  <si>
    <t>FF</t>
  </si>
  <si>
    <t>Aimar Koskarratza</t>
  </si>
  <si>
    <t>Ambrosio Solares</t>
  </si>
  <si>
    <t>Sergio Martin</t>
  </si>
  <si>
    <t>Mantxo Hokigarai</t>
  </si>
  <si>
    <t>FC</t>
  </si>
  <si>
    <t>Diego Gomez de la Torre</t>
  </si>
  <si>
    <t>David Inoso</t>
  </si>
  <si>
    <t>FC+2</t>
  </si>
  <si>
    <t>Emilio Cassana</t>
  </si>
  <si>
    <t>Erramu Errementaritegi</t>
  </si>
  <si>
    <t>Gundar Bugarin</t>
  </si>
  <si>
    <t>David Pallicera</t>
  </si>
  <si>
    <t>Guillermo Imperial</t>
  </si>
  <si>
    <t>José Caramillo</t>
  </si>
  <si>
    <t>Tec</t>
  </si>
  <si>
    <t>Julio Santolalla</t>
  </si>
  <si>
    <t>Juan Gabriel</t>
  </si>
  <si>
    <t>Julio Segura Puertas</t>
  </si>
  <si>
    <t>Filip Balkanski</t>
  </si>
  <si>
    <t>Adrià Moltó</t>
  </si>
  <si>
    <t>Avelino Paredes</t>
  </si>
  <si>
    <t>Rafael Veigas</t>
  </si>
  <si>
    <t>TEC</t>
  </si>
  <si>
    <t>Ricardo Corn</t>
  </si>
  <si>
    <t>Ibai Lanzas Manzanares</t>
  </si>
  <si>
    <t>Noelio Sevilla</t>
  </si>
  <si>
    <t>Javier Buelna</t>
  </si>
  <si>
    <t>David Subirà</t>
  </si>
  <si>
    <t>Heren Jaukikoa</t>
  </si>
  <si>
    <t>Tome Baldin</t>
  </si>
  <si>
    <t>Ramon Iñiguez Lafuente</t>
  </si>
  <si>
    <t>Abdennour Zoheir</t>
  </si>
  <si>
    <t>Babil Oruesagasti</t>
  </si>
  <si>
    <t>debil</t>
  </si>
  <si>
    <t>Francisco J. Maceda</t>
  </si>
  <si>
    <t>Milen Manoilov</t>
  </si>
  <si>
    <t>David Cabasés</t>
  </si>
  <si>
    <t>Ja</t>
  </si>
  <si>
    <t>Actualización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</si>
  <si>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</si>
  <si>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</si>
  <si>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</si>
  <si>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</si>
  <si>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</si>
  <si>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</si>
  <si>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</si>
  <si>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</si>
  <si>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</si>
  <si>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</si>
  <si>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</si>
  <si>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</si>
  <si>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</si>
  <si>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</si>
  <si>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</si>
  <si>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</si>
  <si>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</si>
  <si>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</si>
  <si>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</si>
  <si>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</si>
  <si>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</si>
  <si>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</si>
  <si>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</si>
  <si>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</si>
  <si>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</si>
  <si>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</si>
  <si>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</si>
  <si>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</si>
  <si>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</si>
  <si>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</si>
  <si>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</si>
  <si>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</si>
  <si>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</si>
  <si>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</si>
  <si>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</si>
  <si>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</si>
  <si>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</si>
  <si>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</si>
  <si>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</si>
  <si>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</si>
  <si>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</si>
  <si>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</si>
  <si>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</si>
  <si>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</si>
  <si>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</si>
  <si>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</si>
  <si>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</si>
  <si>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</si>
  <si>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</si>
  <si>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</si>
  <si>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</si>
  <si>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</si>
  <si>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</si>
  <si>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</si>
  <si>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</si>
  <si>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</si>
  <si>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</si>
  <si>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</si>
  <si>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</si>
  <si>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</si>
  <si>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</si>
  <si>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</si>
  <si>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</si>
  <si>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</si>
  <si>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</si>
  <si>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</si>
  <si>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</si>
  <si>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</si>
  <si>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</si>
  <si>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</si>
  <si>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</si>
  <si>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</si>
  <si>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</si>
  <si>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</si>
  <si>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</si>
  <si>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</si>
  <si>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</si>
  <si>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</si>
  <si>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</si>
  <si>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</si>
  <si>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</si>
  <si>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</si>
  <si>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</si>
  <si>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</si>
  <si>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</si>
  <si>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</si>
  <si>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</si>
  <si>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</si>
  <si>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Marco Antonio Corvinos</t>
  </si>
  <si>
    <t>Carlos Picabea</t>
  </si>
  <si>
    <t>Osián Mágoa</t>
  </si>
  <si>
    <t>Carlos Poncela</t>
  </si>
  <si>
    <t>Marc Marsal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</si>
  <si>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</si>
  <si>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</si>
  <si>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</si>
  <si>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</si>
  <si>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</si>
  <si>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</si>
  <si>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</si>
  <si>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</si>
  <si>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</si>
  <si>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</si>
  <si>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</si>
  <si>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</si>
  <si>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</si>
  <si>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</si>
  <si>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</si>
  <si>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</si>
  <si>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</si>
  <si>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</si>
  <si>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</si>
  <si>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</si>
  <si>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</si>
  <si>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</si>
  <si>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</si>
  <si>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</si>
  <si>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</si>
  <si>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</si>
  <si>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</si>
  <si>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</si>
  <si>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</si>
  <si>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</si>
  <si>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</si>
  <si>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</si>
  <si>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</si>
  <si>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</si>
  <si>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</si>
  <si>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</si>
  <si>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</si>
  <si>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</si>
  <si>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</si>
  <si>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</si>
  <si>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</si>
  <si>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</si>
  <si>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</si>
  <si>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</si>
  <si>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</si>
  <si>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</si>
  <si>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</si>
  <si>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</si>
  <si>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</si>
  <si>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</si>
  <si>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</si>
  <si>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</si>
  <si>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</si>
  <si>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</si>
  <si>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</si>
  <si>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</si>
  <si>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</si>
  <si>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</si>
  <si>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</si>
  <si>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</si>
  <si>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</si>
  <si>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</si>
  <si>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</si>
  <si>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</si>
  <si>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</si>
  <si>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</si>
  <si>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</si>
  <si>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</si>
  <si>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</si>
  <si>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</si>
  <si>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</si>
  <si>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</si>
  <si>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</si>
  <si>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</si>
  <si>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</si>
  <si>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</si>
  <si>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</si>
  <si>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</si>
  <si>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</si>
  <si>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</si>
  <si>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</si>
  <si>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</si>
  <si>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</si>
  <si>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</si>
  <si>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</si>
  <si>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</si>
  <si>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</si>
  <si>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</si>
  <si>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</si>
  <si>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</si>
  <si>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</si>
  <si>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</si>
  <si>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</si>
  <si>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</si>
  <si>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</si>
  <si>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</si>
  <si>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</si>
  <si>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</si>
  <si>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</si>
  <si>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</si>
  <si>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</si>
  <si>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</si>
  <si>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</si>
  <si>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</si>
  <si>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</si>
  <si>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</si>
  <si>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</si>
  <si>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</si>
  <si>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</si>
  <si>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</si>
  <si>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</si>
  <si>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</si>
  <si>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</si>
  <si>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</si>
  <si>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</si>
  <si>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</si>
  <si>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</si>
  <si>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</si>
  <si>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</si>
  <si>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</si>
  <si>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</si>
  <si>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BALANCE DE SITUACION Temporada 61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</si>
  <si>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</si>
  <si>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</si>
  <si>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</si>
  <si>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</si>
  <si>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</si>
  <si>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</si>
  <si>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</si>
  <si>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</si>
  <si>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</si>
  <si>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</si>
  <si>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</si>
  <si>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</si>
  <si>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</si>
  <si>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</si>
  <si>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</si>
  <si>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</si>
  <si>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</si>
  <si>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</si>
  <si>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</si>
  <si>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</si>
  <si>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</si>
  <si>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</si>
  <si>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</si>
  <si>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</si>
  <si>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</si>
  <si>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</si>
  <si>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</si>
  <si>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</si>
  <si>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</si>
  <si>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</si>
  <si>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</si>
  <si>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</si>
  <si>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</si>
  <si>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</si>
  <si>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 Final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</si>
  <si>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</si>
  <si>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</si>
  <si>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</si>
  <si>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</si>
  <si>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</si>
  <si>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</si>
  <si>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</si>
  <si>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</si>
  <si>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</si>
  <si>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</si>
  <si>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</si>
  <si>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</si>
  <si>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</si>
  <si>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</si>
  <si>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</si>
  <si>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</si>
  <si>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</si>
  <si>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</si>
  <si>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</si>
  <si>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</si>
  <si>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</si>
  <si>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</si>
  <si>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</si>
  <si>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</si>
  <si>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</si>
  <si>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</si>
  <si>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</si>
  <si>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</si>
  <si>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 Final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</si>
  <si>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</si>
  <si>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</si>
  <si>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</si>
  <si>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</si>
  <si>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</si>
  <si>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</si>
  <si>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</si>
  <si>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</si>
  <si>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23(15)</t>
  </si>
  <si>
    <t>23(19)</t>
  </si>
  <si>
    <t>23(22)</t>
  </si>
  <si>
    <t>23(36)</t>
  </si>
  <si>
    <t>23(40)</t>
  </si>
  <si>
    <t>23(46)</t>
  </si>
  <si>
    <t>23(67)</t>
  </si>
  <si>
    <t>23(75)</t>
  </si>
  <si>
    <t>23(12)</t>
  </si>
  <si>
    <t>23(43)</t>
  </si>
  <si>
    <t>23(54)</t>
  </si>
  <si>
    <t>TOTAL</t>
  </si>
  <si>
    <t>Resistencia11</t>
  </si>
  <si>
    <t>Experiencia11</t>
  </si>
  <si>
    <t>Hibridación</t>
  </si>
  <si>
    <t>BALANCE DE SITUACION Temporada 60</t>
  </si>
  <si>
    <t>23(109)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</si>
  <si>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</si>
  <si>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</si>
  <si>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</si>
  <si>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</si>
  <si>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</si>
  <si>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</si>
  <si>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</si>
  <si>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</si>
  <si>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</si>
  <si>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</si>
  <si>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</si>
  <si>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</si>
  <si>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</si>
  <si>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</si>
  <si>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</si>
  <si>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</si>
  <si>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</si>
  <si>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</si>
  <si>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</si>
  <si>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</si>
  <si>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</si>
  <si>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</si>
  <si>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</si>
  <si>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</si>
  <si>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</si>
  <si>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</si>
  <si>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</si>
  <si>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</si>
  <si>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</si>
  <si>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</si>
  <si>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</si>
  <si>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</si>
  <si>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</si>
  <si>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</si>
  <si>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</si>
  <si>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</si>
  <si>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</si>
  <si>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</si>
  <si>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</si>
  <si>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</si>
  <si>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</si>
  <si>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</si>
  <si>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</si>
  <si>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</si>
  <si>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</si>
  <si>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</si>
  <si>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</si>
  <si>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</si>
  <si>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</si>
  <si>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</si>
  <si>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</si>
  <si>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</si>
  <si>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</si>
  <si>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</si>
  <si>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</si>
  <si>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</si>
  <si>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</si>
  <si>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</si>
  <si>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</si>
  <si>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</si>
  <si>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</si>
  <si>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</si>
  <si>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</si>
  <si>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</si>
  <si>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</si>
  <si>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</si>
  <si>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</si>
  <si>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</si>
  <si>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</si>
  <si>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</si>
  <si>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</si>
  <si>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</si>
  <si>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</si>
  <si>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</si>
  <si>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</si>
  <si>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</si>
  <si>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</si>
  <si>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</si>
  <si>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</si>
  <si>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</si>
  <si>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</si>
  <si>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</si>
  <si>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</si>
  <si>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</si>
  <si>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</si>
  <si>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</si>
  <si>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</si>
  <si>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</si>
  <si>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</si>
  <si>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</si>
  <si>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</si>
  <si>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</si>
  <si>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</si>
  <si>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</si>
  <si>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</si>
  <si>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</si>
  <si>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</si>
  <si>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</si>
  <si>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</si>
  <si>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</si>
  <si>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</si>
  <si>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</si>
  <si>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</si>
  <si>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</si>
  <si>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</si>
  <si>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</si>
  <si>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</si>
  <si>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</si>
  <si>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</si>
  <si>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</si>
  <si>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</si>
  <si>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</si>
  <si>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</si>
  <si>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</si>
  <si>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</si>
  <si>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</si>
  <si>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</si>
  <si>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</si>
  <si>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</si>
  <si>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</si>
  <si>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</si>
  <si>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</si>
  <si>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</si>
  <si>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</si>
  <si>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</si>
  <si>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</si>
  <si>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</si>
  <si>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</si>
  <si>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</si>
  <si>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</si>
  <si>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</si>
  <si>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</si>
  <si>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</si>
  <si>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</si>
  <si>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</si>
  <si>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</si>
  <si>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</si>
  <si>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</si>
  <si>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</si>
  <si>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</si>
  <si>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</si>
  <si>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</si>
  <si>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</si>
  <si>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</si>
  <si>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</si>
  <si>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</si>
  <si>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</si>
  <si>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</si>
  <si>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</si>
  <si>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</si>
  <si>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</si>
  <si>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</si>
  <si>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</si>
  <si>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</si>
  <si>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</si>
  <si>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</si>
  <si>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</si>
  <si>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</si>
  <si>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</si>
  <si>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</si>
  <si>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</si>
  <si>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</si>
  <si>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</si>
  <si>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</si>
  <si>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</si>
  <si>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</si>
  <si>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</si>
  <si>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</si>
  <si>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</si>
  <si>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</si>
  <si>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</si>
  <si>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</si>
  <si>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</si>
  <si>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</si>
  <si>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</si>
  <si>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</si>
  <si>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</si>
  <si>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</si>
  <si>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</si>
  <si>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</si>
  <si>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</si>
  <si>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</si>
  <si>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</si>
  <si>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</si>
  <si>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</si>
  <si>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</si>
  <si>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</si>
  <si>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</si>
  <si>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</si>
  <si>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</si>
  <si>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</si>
  <si>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</si>
  <si>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</si>
  <si>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</si>
  <si>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</si>
  <si>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</si>
  <si>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</si>
  <si>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</si>
  <si>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</si>
  <si>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</si>
  <si>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</si>
  <si>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</si>
  <si>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</si>
  <si>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</si>
  <si>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</si>
  <si>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</si>
  <si>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</si>
  <si>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</si>
  <si>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</si>
  <si>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</si>
  <si>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</si>
  <si>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</si>
  <si>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</si>
  <si>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</si>
  <si>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</si>
  <si>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</si>
  <si>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</si>
  <si>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</si>
  <si>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</si>
  <si>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</si>
  <si>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</si>
  <si>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</si>
  <si>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</si>
  <si>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</si>
  <si>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</si>
  <si>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</si>
  <si>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</si>
  <si>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</si>
  <si>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</si>
  <si>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</si>
  <si>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</si>
  <si>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</si>
  <si>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</si>
  <si>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</si>
  <si>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</si>
  <si>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</si>
  <si>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</si>
  <si>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</si>
  <si>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</si>
  <si>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</si>
  <si>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</si>
  <si>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</si>
  <si>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</si>
  <si>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</si>
  <si>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</si>
  <si>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</si>
  <si>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</si>
  <si>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</si>
  <si>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</si>
  <si>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</si>
  <si>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</si>
  <si>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</si>
  <si>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</si>
  <si>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</si>
  <si>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</si>
  <si>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</si>
  <si>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</si>
  <si>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</si>
  <si>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</si>
  <si>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</si>
  <si>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</si>
  <si>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</si>
  <si>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</si>
  <si>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</si>
  <si>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</si>
  <si>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</si>
  <si>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</si>
  <si>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</si>
  <si>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</si>
  <si>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</si>
  <si>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</si>
  <si>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</si>
  <si>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</si>
  <si>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</si>
  <si>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</si>
  <si>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</si>
  <si>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</si>
  <si>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</si>
  <si>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</si>
  <si>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</si>
  <si>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</si>
  <si>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</si>
  <si>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</si>
  <si>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</si>
  <si>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</si>
  <si>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</si>
  <si>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</si>
  <si>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</si>
  <si>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</si>
  <si>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</si>
  <si>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</si>
  <si>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</si>
  <si>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</si>
  <si>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</si>
  <si>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Hannes Seewald</t>
  </si>
  <si>
    <t>Matteo Grammatico</t>
  </si>
  <si>
    <t>Nathan Pierret</t>
  </si>
  <si>
    <t>Said Azizi Khairul Aiman</t>
  </si>
  <si>
    <t>Raffael Mosberger</t>
  </si>
  <si>
    <t>Tim van Tol</t>
  </si>
  <si>
    <t>Kautik Patil</t>
  </si>
  <si>
    <t>Ernie Barclay</t>
  </si>
  <si>
    <t>Quentin Veillon</t>
  </si>
  <si>
    <t>Hugo Cosatabella</t>
  </si>
  <si>
    <t>Juan Jesús Patiño</t>
  </si>
  <si>
    <t>Tautginas Tydikas</t>
  </si>
  <si>
    <t>Ludovico Galfrè</t>
  </si>
  <si>
    <t>Hanno Pajur</t>
  </si>
  <si>
    <t>Sean Zahren</t>
  </si>
  <si>
    <t>Marian Tyka</t>
  </si>
  <si>
    <t>Artur Putilin</t>
  </si>
  <si>
    <t>Caetano João Nogueira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</si>
  <si>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</si>
  <si>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</si>
  <si>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</si>
  <si>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</si>
  <si>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</si>
  <si>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</si>
  <si>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</si>
  <si>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</si>
  <si>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</si>
  <si>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</si>
  <si>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</si>
  <si>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</si>
  <si>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</si>
  <si>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</si>
  <si>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</si>
  <si>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</si>
  <si>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</si>
  <si>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</si>
  <si>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</si>
  <si>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</si>
  <si>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</si>
  <si>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</si>
  <si>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</si>
  <si>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</si>
  <si>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</si>
  <si>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</si>
  <si>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</si>
  <si>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</si>
  <si>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</si>
  <si>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</si>
  <si>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</si>
  <si>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</si>
  <si>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</si>
  <si>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</si>
  <si>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</si>
  <si>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</si>
  <si>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</si>
  <si>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</si>
  <si>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</si>
  <si>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</si>
  <si>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</si>
  <si>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</si>
  <si>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</si>
  <si>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</si>
  <si>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</si>
  <si>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</si>
  <si>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</si>
  <si>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</si>
  <si>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</si>
  <si>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</si>
  <si>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</si>
  <si>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</si>
  <si>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</si>
  <si>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</si>
  <si>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</si>
  <si>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</si>
  <si>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</si>
  <si>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</si>
  <si>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</si>
  <si>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</si>
  <si>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</si>
  <si>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</si>
  <si>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</si>
  <si>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</si>
  <si>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</si>
  <si>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</si>
  <si>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</si>
  <si>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</si>
  <si>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</si>
  <si>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</si>
  <si>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Guarion Gandini</t>
  </si>
  <si>
    <t>Nicolae Goncea</t>
  </si>
  <si>
    <t>Janos Toth</t>
  </si>
  <si>
    <t>Meraj Siddiqui</t>
  </si>
  <si>
    <t>Neven Terze</t>
  </si>
  <si>
    <t>Kian Alavi</t>
  </si>
  <si>
    <t>Bailon Zenteno</t>
  </si>
  <si>
    <t>Cesar Iven</t>
  </si>
  <si>
    <t>Arto Alakangas</t>
  </si>
  <si>
    <t>Globi Robb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</si>
</sst>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&quot;-&quot;??\ [$€-C0A]_-;_-@_-"/>
    <numFmt numFmtId="174" formatCode="_-* #,##0\ [$€-C0A]_-;\-* #,##0\ [$€-C0A]_-;_-* \-??\ [$€-C0A]_-;_-@_-"/>
    <numFmt numFmtId="175" formatCode="_-* #,##0.00\ [$€-C0A]_-;\-* #,##0.00\ [$€-C0A]_-;_-* \-??\ [$€-C0A]_-;_-@_-"/>
    <numFmt numFmtId="176" formatCode="_-* #,##0\ _€_-;\-* #,##0\ _€_-;_-* \-??\ _€_-;_-@_-"/>
    <numFmt numFmtId="177" formatCode="_-* #,##0&quot; €&quot;_-;\-* #,##0&quot; €&quot;_-;_-* \-??&quot; €&quot;_-;_-@_-"/>
    <numFmt numFmtId="178" formatCode="m/d/yyyy"/>
  </numFmts>
  <fonts count="61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u/>
      <sz val="11"/>
      <color rgb="FFFFFFFF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2"/>
      <color rgb="FF00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i/>
      <sz val="11"/>
      <color rgb="FF000000"/>
      <name val="Arial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14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85858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rgb="FFFFFFFF"/>
      </patternFill>
    </fill>
  </fills>
  <borders count="1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56" fillId="0" borderId="0"/>
    <xf numFmtId="44" fontId="56" fillId="0" borderId="0" applyFont="0" applyFill="0" applyBorder="0" applyAlignment="0" applyProtection="0"/>
  </cellStyleXfs>
  <cellXfs count="494">
    <xf numFmtId="0" fontId="0" fillId="0" borderId="0" xfId="0"/>
    <xf numFmtId="164" fontId="0" fillId="0" borderId="0" xfId="1" applyFont="1"/>
    <xf numFmtId="9" fontId="0" fillId="0" borderId="0" xfId="2" applyFont="1"/>
    <xf numFmtId="0" fontId="56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8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8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56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23" fillId="32" borderId="32" xfId="3" applyFont="1" applyFill="1" applyBorder="1"/>
    <xf numFmtId="0" fontId="23" fillId="32" borderId="32" xfId="3" applyFont="1" applyFill="1" applyBorder="1" applyAlignment="1">
      <alignment horizontal="center"/>
    </xf>
    <xf numFmtId="0" fontId="24" fillId="32" borderId="32" xfId="3" applyFont="1" applyFill="1" applyBorder="1" applyAlignment="1">
      <alignment horizontal="center"/>
    </xf>
    <xf numFmtId="0" fontId="24" fillId="32" borderId="32" xfId="3" applyFont="1" applyFill="1" applyBorder="1"/>
    <xf numFmtId="0" fontId="25" fillId="32" borderId="32" xfId="3" applyFont="1" applyFill="1" applyBorder="1" applyAlignment="1">
      <alignment horizontal="left"/>
    </xf>
    <xf numFmtId="0" fontId="25" fillId="32" borderId="32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center"/>
    </xf>
    <xf numFmtId="0" fontId="25" fillId="33" borderId="33" xfId="3" applyFont="1" applyFill="1" applyBorder="1" applyAlignment="1">
      <alignment horizontal="left"/>
    </xf>
    <xf numFmtId="0" fontId="25" fillId="33" borderId="33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left"/>
    </xf>
    <xf numFmtId="0" fontId="27" fillId="34" borderId="34" xfId="3" applyFont="1" applyFill="1" applyBorder="1" applyAlignment="1">
      <alignment horizontal="right"/>
    </xf>
    <xf numFmtId="0" fontId="28" fillId="0" borderId="0" xfId="3" applyFont="1"/>
    <xf numFmtId="1" fontId="28" fillId="0" borderId="0" xfId="3" applyNumberFormat="1" applyFont="1" applyAlignment="1">
      <alignment horizontal="right"/>
    </xf>
    <xf numFmtId="0" fontId="29" fillId="0" borderId="0" xfId="3" applyFont="1" applyAlignment="1">
      <alignment horizontal="center"/>
    </xf>
    <xf numFmtId="1" fontId="30" fillId="0" borderId="0" xfId="3" applyNumberFormat="1" applyFont="1" applyAlignment="1">
      <alignment horizontal="right"/>
    </xf>
    <xf numFmtId="178" fontId="28" fillId="0" borderId="0" xfId="3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65" fontId="28" fillId="35" borderId="35" xfId="3" applyNumberFormat="1" applyFont="1" applyFill="1" applyBorder="1" applyAlignment="1">
      <alignment horizontal="center"/>
    </xf>
    <xf numFmtId="2" fontId="28" fillId="35" borderId="35" xfId="3" applyNumberFormat="1" applyFont="1" applyFill="1" applyBorder="1" applyAlignment="1">
      <alignment horizontal="right"/>
    </xf>
    <xf numFmtId="165" fontId="32" fillId="35" borderId="35" xfId="3" applyNumberFormat="1" applyFont="1" applyFill="1" applyBorder="1" applyAlignment="1">
      <alignment horizontal="center"/>
    </xf>
    <xf numFmtId="2" fontId="32" fillId="35" borderId="35" xfId="3" applyNumberFormat="1" applyFont="1" applyFill="1" applyBorder="1" applyAlignment="1">
      <alignment horizontal="right"/>
    </xf>
    <xf numFmtId="2" fontId="28" fillId="36" borderId="36" xfId="3" applyNumberFormat="1" applyFont="1" applyFill="1" applyBorder="1" applyAlignment="1">
      <alignment horizontal="right"/>
    </xf>
    <xf numFmtId="1" fontId="28" fillId="0" borderId="0" xfId="3" applyNumberFormat="1" applyFont="1" applyAlignment="1">
      <alignment horizontal="center"/>
    </xf>
    <xf numFmtId="0" fontId="33" fillId="30" borderId="30" xfId="3" applyFont="1" applyFill="1" applyBorder="1" applyAlignment="1">
      <alignment horizontal="center"/>
    </xf>
    <xf numFmtId="0" fontId="23" fillId="13" borderId="13" xfId="3" applyFont="1" applyFill="1" applyBorder="1"/>
    <xf numFmtId="0" fontId="23" fillId="13" borderId="13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center"/>
    </xf>
    <xf numFmtId="0" fontId="24" fillId="13" borderId="13" xfId="3" applyFont="1" applyFill="1" applyBorder="1"/>
    <xf numFmtId="0" fontId="25" fillId="37" borderId="37" xfId="3" applyFont="1" applyFill="1" applyBorder="1"/>
    <xf numFmtId="0" fontId="25" fillId="37" borderId="37" xfId="3" applyFont="1" applyFill="1" applyBorder="1" applyAlignment="1">
      <alignment horizontal="center"/>
    </xf>
    <xf numFmtId="0" fontId="25" fillId="38" borderId="38" xfId="3" applyFont="1" applyFill="1" applyBorder="1" applyAlignment="1">
      <alignment horizontal="center"/>
    </xf>
    <xf numFmtId="0" fontId="26" fillId="38" borderId="38" xfId="3" applyFont="1" applyFill="1" applyBorder="1" applyAlignment="1">
      <alignment horizontal="center"/>
    </xf>
    <xf numFmtId="0" fontId="25" fillId="38" borderId="38" xfId="3" applyFont="1" applyFill="1" applyBorder="1"/>
    <xf numFmtId="0" fontId="26" fillId="39" borderId="39" xfId="3" applyFont="1" applyFill="1" applyBorder="1"/>
    <xf numFmtId="0" fontId="26" fillId="39" borderId="39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0" fontId="25" fillId="13" borderId="13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center"/>
    </xf>
    <xf numFmtId="0" fontId="25" fillId="40" borderId="40" xfId="3" applyFont="1" applyFill="1" applyBorder="1" applyAlignment="1">
      <alignment horizontal="left"/>
    </xf>
    <xf numFmtId="0" fontId="25" fillId="40" borderId="40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left"/>
    </xf>
    <xf numFmtId="1" fontId="28" fillId="0" borderId="0" xfId="3" applyNumberFormat="1" applyFont="1"/>
    <xf numFmtId="178" fontId="56" fillId="0" borderId="0" xfId="3" applyNumberFormat="1" applyAlignment="1">
      <alignment horizontal="center"/>
    </xf>
    <xf numFmtId="165" fontId="28" fillId="36" borderId="36" xfId="3" applyNumberFormat="1" applyFont="1" applyFill="1" applyBorder="1" applyAlignment="1">
      <alignment horizontal="center"/>
    </xf>
    <xf numFmtId="2" fontId="31" fillId="36" borderId="36" xfId="3" applyNumberFormat="1" applyFont="1" applyFill="1" applyBorder="1" applyAlignment="1">
      <alignment horizontal="right"/>
    </xf>
    <xf numFmtId="2" fontId="31" fillId="41" borderId="41" xfId="3" applyNumberFormat="1" applyFont="1" applyFill="1" applyBorder="1" applyAlignment="1">
      <alignment horizontal="right"/>
    </xf>
    <xf numFmtId="0" fontId="33" fillId="34" borderId="34" xfId="3" applyFont="1" applyFill="1" applyBorder="1" applyAlignment="1">
      <alignment horizontal="right"/>
    </xf>
    <xf numFmtId="0" fontId="33" fillId="0" borderId="0" xfId="3" applyFont="1" applyAlignment="1">
      <alignment horizontal="center"/>
    </xf>
    <xf numFmtId="0" fontId="23" fillId="42" borderId="42" xfId="3" applyFont="1" applyFill="1" applyBorder="1"/>
    <xf numFmtId="0" fontId="23" fillId="42" borderId="42" xfId="3" applyFont="1" applyFill="1" applyBorder="1" applyAlignment="1">
      <alignment horizontal="center"/>
    </xf>
    <xf numFmtId="0" fontId="24" fillId="42" borderId="42" xfId="3" applyFont="1" applyFill="1" applyBorder="1" applyAlignment="1">
      <alignment horizontal="center"/>
    </xf>
    <xf numFmtId="0" fontId="24" fillId="42" borderId="42" xfId="3" applyFont="1" applyFill="1" applyBorder="1"/>
    <xf numFmtId="0" fontId="25" fillId="43" borderId="43" xfId="3" applyFont="1" applyFill="1" applyBorder="1"/>
    <xf numFmtId="0" fontId="25" fillId="43" borderId="43" xfId="3" applyFont="1" applyFill="1" applyBorder="1" applyAlignment="1">
      <alignment horizontal="center"/>
    </xf>
    <xf numFmtId="0" fontId="25" fillId="44" borderId="44" xfId="3" applyFont="1" applyFill="1" applyBorder="1" applyAlignment="1">
      <alignment horizontal="center"/>
    </xf>
    <xf numFmtId="0" fontId="26" fillId="44" borderId="44" xfId="3" applyFont="1" applyFill="1" applyBorder="1" applyAlignment="1">
      <alignment horizontal="center"/>
    </xf>
    <xf numFmtId="0" fontId="25" fillId="44" borderId="44" xfId="3" applyFont="1" applyFill="1" applyBorder="1"/>
    <xf numFmtId="0" fontId="26" fillId="45" borderId="45" xfId="3" applyFont="1" applyFill="1" applyBorder="1"/>
    <xf numFmtId="0" fontId="26" fillId="45" borderId="45" xfId="3" applyFont="1" applyFill="1" applyBorder="1" applyAlignment="1">
      <alignment horizontal="center"/>
    </xf>
    <xf numFmtId="0" fontId="25" fillId="42" borderId="42" xfId="3" applyFont="1" applyFill="1" applyBorder="1" applyAlignment="1">
      <alignment horizontal="left"/>
    </xf>
    <xf numFmtId="0" fontId="25" fillId="42" borderId="42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center"/>
    </xf>
    <xf numFmtId="0" fontId="25" fillId="46" borderId="46" xfId="3" applyFont="1" applyFill="1" applyBorder="1" applyAlignment="1">
      <alignment horizontal="left"/>
    </xf>
    <xf numFmtId="0" fontId="25" fillId="46" borderId="46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left"/>
    </xf>
    <xf numFmtId="178" fontId="34" fillId="0" borderId="0" xfId="3" applyNumberFormat="1" applyFont="1" applyAlignment="1">
      <alignment horizontal="center"/>
    </xf>
    <xf numFmtId="0" fontId="25" fillId="47" borderId="47" xfId="3" applyFont="1" applyFill="1" applyBorder="1"/>
    <xf numFmtId="0" fontId="25" fillId="47" borderId="47" xfId="3" applyFont="1" applyFill="1" applyBorder="1" applyAlignment="1">
      <alignment horizontal="center"/>
    </xf>
    <xf numFmtId="0" fontId="25" fillId="48" borderId="48" xfId="3" applyFont="1" applyFill="1" applyBorder="1" applyAlignment="1">
      <alignment horizontal="center"/>
    </xf>
    <xf numFmtId="0" fontId="26" fillId="48" borderId="48" xfId="3" applyFont="1" applyFill="1" applyBorder="1" applyAlignment="1">
      <alignment horizontal="center"/>
    </xf>
    <xf numFmtId="0" fontId="25" fillId="48" borderId="48" xfId="3" applyFont="1" applyFill="1" applyBorder="1"/>
    <xf numFmtId="0" fontId="26" fillId="49" borderId="49" xfId="3" applyFont="1" applyFill="1" applyBorder="1"/>
    <xf numFmtId="0" fontId="26" fillId="49" borderId="49" xfId="3" applyFont="1" applyFill="1" applyBorder="1" applyAlignment="1">
      <alignment horizontal="center"/>
    </xf>
    <xf numFmtId="0" fontId="25" fillId="50" borderId="50" xfId="3" applyFont="1" applyFill="1" applyBorder="1" applyAlignment="1">
      <alignment horizontal="left"/>
    </xf>
    <xf numFmtId="0" fontId="25" fillId="50" borderId="50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center"/>
    </xf>
    <xf numFmtId="0" fontId="25" fillId="51" borderId="51" xfId="3" applyFont="1" applyFill="1" applyBorder="1" applyAlignment="1">
      <alignment horizontal="left"/>
    </xf>
    <xf numFmtId="0" fontId="25" fillId="52" borderId="52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left"/>
    </xf>
    <xf numFmtId="0" fontId="33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9" fillId="0" borderId="3" xfId="3" applyFont="1" applyBorder="1"/>
    <xf numFmtId="178" fontId="29" fillId="0" borderId="3" xfId="3" applyNumberFormat="1" applyFont="1" applyBorder="1"/>
    <xf numFmtId="0" fontId="35" fillId="0" borderId="0" xfId="3" applyFont="1" applyAlignment="1">
      <alignment horizontal="center" wrapText="1"/>
    </xf>
    <xf numFmtId="0" fontId="33" fillId="0" borderId="0" xfId="3" applyFont="1" applyAlignment="1">
      <alignment horizontal="center" wrapText="1"/>
    </xf>
    <xf numFmtId="172" fontId="33" fillId="0" borderId="0" xfId="3" applyNumberFormat="1" applyFont="1"/>
    <xf numFmtId="0" fontId="36" fillId="0" borderId="0" xfId="3" applyFont="1"/>
    <xf numFmtId="0" fontId="9" fillId="53" borderId="53" xfId="3" applyFont="1" applyFill="1" applyBorder="1" applyAlignment="1">
      <alignment horizontal="left"/>
    </xf>
    <xf numFmtId="2" fontId="56" fillId="0" borderId="3" xfId="3" applyNumberFormat="1" applyBorder="1" applyAlignment="1">
      <alignment horizontal="right"/>
    </xf>
    <xf numFmtId="2" fontId="22" fillId="54" borderId="54" xfId="3" applyNumberFormat="1" applyFont="1" applyFill="1" applyBorder="1" applyAlignment="1">
      <alignment horizontal="right"/>
    </xf>
    <xf numFmtId="2" fontId="38" fillId="54" borderId="54" xfId="3" applyNumberFormat="1" applyFont="1" applyFill="1" applyBorder="1" applyAlignment="1">
      <alignment horizontal="right"/>
    </xf>
    <xf numFmtId="2" fontId="56" fillId="55" borderId="55" xfId="3" applyNumberFormat="1" applyFill="1" applyBorder="1" applyAlignment="1">
      <alignment horizontal="right"/>
    </xf>
    <xf numFmtId="178" fontId="0" fillId="0" borderId="3" xfId="0" applyNumberFormat="1" applyBorder="1"/>
    <xf numFmtId="0" fontId="56" fillId="0" borderId="3" xfId="3" applyBorder="1" applyAlignment="1">
      <alignment horizontal="right"/>
    </xf>
    <xf numFmtId="2" fontId="56" fillId="54" borderId="54" xfId="3" applyNumberFormat="1" applyFill="1" applyBorder="1" applyAlignment="1">
      <alignment horizontal="right"/>
    </xf>
    <xf numFmtId="1" fontId="56" fillId="0" borderId="3" xfId="3" applyNumberFormat="1" applyBorder="1" applyAlignment="1">
      <alignment horizontal="right"/>
    </xf>
    <xf numFmtId="2" fontId="28" fillId="0" borderId="3" xfId="3" applyNumberFormat="1" applyFont="1" applyBorder="1" applyAlignment="1">
      <alignment horizontal="right"/>
    </xf>
    <xf numFmtId="2" fontId="28" fillId="55" borderId="55" xfId="3" applyNumberFormat="1" applyFont="1" applyFill="1" applyBorder="1" applyAlignment="1">
      <alignment horizontal="right"/>
    </xf>
    <xf numFmtId="2" fontId="32" fillId="54" borderId="54" xfId="3" applyNumberFormat="1" applyFont="1" applyFill="1" applyBorder="1" applyAlignment="1">
      <alignment horizontal="right"/>
    </xf>
    <xf numFmtId="2" fontId="39" fillId="54" borderId="54" xfId="3" applyNumberFormat="1" applyFont="1" applyFill="1" applyBorder="1" applyAlignment="1">
      <alignment horizontal="right"/>
    </xf>
    <xf numFmtId="2" fontId="28" fillId="54" borderId="54" xfId="3" applyNumberFormat="1" applyFont="1" applyFill="1" applyBorder="1" applyAlignment="1">
      <alignment horizontal="right"/>
    </xf>
    <xf numFmtId="2" fontId="31" fillId="54" borderId="54" xfId="3" applyNumberFormat="1" applyFont="1" applyFill="1" applyBorder="1" applyAlignment="1">
      <alignment horizontal="right"/>
    </xf>
    <xf numFmtId="0" fontId="32" fillId="0" borderId="3" xfId="3" applyFont="1" applyBorder="1" applyAlignment="1">
      <alignment horizontal="right"/>
    </xf>
    <xf numFmtId="2" fontId="31" fillId="55" borderId="55" xfId="3" applyNumberFormat="1" applyFont="1" applyFill="1" applyBorder="1" applyAlignment="1">
      <alignment horizontal="right"/>
    </xf>
    <xf numFmtId="2" fontId="32" fillId="18" borderId="18" xfId="3" applyNumberFormat="1" applyFont="1" applyFill="1" applyBorder="1" applyAlignment="1">
      <alignment horizontal="right"/>
    </xf>
    <xf numFmtId="0" fontId="28" fillId="0" borderId="3" xfId="3" applyFont="1" applyBorder="1"/>
    <xf numFmtId="2" fontId="31" fillId="56" borderId="56" xfId="3" applyNumberFormat="1" applyFont="1" applyFill="1" applyBorder="1" applyAlignment="1">
      <alignment horizontal="right"/>
    </xf>
    <xf numFmtId="178" fontId="28" fillId="0" borderId="3" xfId="3" applyNumberFormat="1" applyFont="1" applyBorder="1" applyAlignment="1">
      <alignment horizontal="center"/>
    </xf>
    <xf numFmtId="178" fontId="56" fillId="0" borderId="3" xfId="3" applyNumberFormat="1" applyBorder="1" applyAlignment="1">
      <alignment horizontal="center"/>
    </xf>
    <xf numFmtId="0" fontId="28" fillId="18" borderId="18" xfId="3" applyFont="1" applyFill="1" applyBorder="1"/>
    <xf numFmtId="0" fontId="37" fillId="57" borderId="57" xfId="3" applyFont="1" applyFill="1" applyBorder="1"/>
    <xf numFmtId="0" fontId="37" fillId="58" borderId="58" xfId="3" applyFont="1" applyFill="1" applyBorder="1"/>
    <xf numFmtId="0" fontId="9" fillId="59" borderId="59" xfId="3" applyFont="1" applyFill="1" applyBorder="1" applyAlignment="1">
      <alignment horizontal="left"/>
    </xf>
    <xf numFmtId="0" fontId="7" fillId="0" borderId="60" xfId="3" applyFont="1" applyBorder="1" applyAlignment="1">
      <alignment horizontal="right"/>
    </xf>
    <xf numFmtId="0" fontId="9" fillId="60" borderId="61" xfId="3" applyFont="1" applyFill="1" applyBorder="1" applyAlignment="1">
      <alignment horizontal="left"/>
    </xf>
    <xf numFmtId="2" fontId="14" fillId="54" borderId="54" xfId="3" applyNumberFormat="1" applyFont="1" applyFill="1" applyBorder="1" applyAlignment="1">
      <alignment horizontal="right"/>
    </xf>
    <xf numFmtId="0" fontId="32" fillId="0" borderId="3" xfId="3" applyFont="1" applyBorder="1"/>
    <xf numFmtId="165" fontId="32" fillId="18" borderId="18" xfId="3" applyNumberFormat="1" applyFont="1" applyFill="1" applyBorder="1" applyAlignment="1">
      <alignment horizontal="center"/>
    </xf>
    <xf numFmtId="165" fontId="32" fillId="54" borderId="54" xfId="3" applyNumberFormat="1" applyFont="1" applyFill="1" applyBorder="1" applyAlignment="1">
      <alignment horizontal="center"/>
    </xf>
    <xf numFmtId="2" fontId="40" fillId="54" borderId="54" xfId="3" applyNumberFormat="1" applyFont="1" applyFill="1" applyBorder="1" applyAlignment="1">
      <alignment horizontal="right"/>
    </xf>
    <xf numFmtId="165" fontId="28" fillId="55" borderId="55" xfId="3" applyNumberFormat="1" applyFont="1" applyFill="1" applyBorder="1" applyAlignment="1">
      <alignment horizontal="center"/>
    </xf>
    <xf numFmtId="165" fontId="28" fillId="54" borderId="54" xfId="3" applyNumberFormat="1" applyFont="1" applyFill="1" applyBorder="1" applyAlignment="1">
      <alignment horizontal="center"/>
    </xf>
    <xf numFmtId="165" fontId="28" fillId="18" borderId="18" xfId="3" applyNumberFormat="1" applyFont="1" applyFill="1" applyBorder="1" applyAlignment="1">
      <alignment horizontal="center"/>
    </xf>
    <xf numFmtId="0" fontId="12" fillId="0" borderId="0" xfId="0" applyFont="1"/>
    <xf numFmtId="178" fontId="12" fillId="0" borderId="0" xfId="0" applyNumberFormat="1" applyFont="1" applyAlignment="1">
      <alignment horizontal="center"/>
    </xf>
    <xf numFmtId="0" fontId="7" fillId="61" borderId="62" xfId="0" applyFont="1" applyFill="1" applyBorder="1" applyAlignment="1">
      <alignment horizontal="center" wrapText="1"/>
    </xf>
    <xf numFmtId="0" fontId="7" fillId="62" borderId="63" xfId="0" applyFont="1" applyFill="1" applyBorder="1" applyAlignment="1">
      <alignment horizontal="center" wrapText="1"/>
    </xf>
    <xf numFmtId="0" fontId="10" fillId="0" borderId="6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7" fillId="61" borderId="62" xfId="0" applyNumberFormat="1" applyFont="1" applyFill="1" applyBorder="1" applyAlignment="1">
      <alignment horizontal="center" wrapText="1"/>
    </xf>
    <xf numFmtId="1" fontId="7" fillId="63" borderId="65" xfId="0" applyNumberFormat="1" applyFont="1" applyFill="1" applyBorder="1" applyAlignment="1">
      <alignment horizontal="center" wrapText="1"/>
    </xf>
    <xf numFmtId="0" fontId="7" fillId="0" borderId="66" xfId="0" applyFont="1" applyBorder="1"/>
    <xf numFmtId="173" fontId="0" fillId="0" borderId="67" xfId="0" applyNumberFormat="1" applyBorder="1"/>
    <xf numFmtId="173" fontId="0" fillId="0" borderId="68" xfId="0" applyNumberFormat="1" applyBorder="1"/>
    <xf numFmtId="0" fontId="7" fillId="0" borderId="69" xfId="0" applyFont="1" applyBorder="1"/>
    <xf numFmtId="173" fontId="0" fillId="0" borderId="70" xfId="0" applyNumberFormat="1" applyBorder="1"/>
    <xf numFmtId="0" fontId="42" fillId="64" borderId="71" xfId="0" applyFont="1" applyFill="1" applyBorder="1"/>
    <xf numFmtId="174" fontId="42" fillId="64" borderId="71" xfId="0" applyNumberFormat="1" applyFont="1" applyFill="1" applyBorder="1"/>
    <xf numFmtId="174" fontId="42" fillId="65" borderId="72" xfId="0" applyNumberFormat="1" applyFont="1" applyFill="1" applyBorder="1"/>
    <xf numFmtId="0" fontId="10" fillId="0" borderId="0" xfId="0" applyFont="1"/>
    <xf numFmtId="173" fontId="7" fillId="0" borderId="67" xfId="0" applyNumberFormat="1" applyFont="1" applyBorder="1"/>
    <xf numFmtId="170" fontId="7" fillId="0" borderId="0" xfId="2" applyNumberFormat="1" applyFont="1"/>
    <xf numFmtId="173" fontId="7" fillId="0" borderId="0" xfId="0" applyNumberFormat="1" applyFont="1"/>
    <xf numFmtId="170" fontId="7" fillId="0" borderId="73" xfId="2" applyNumberFormat="1" applyFont="1" applyBorder="1"/>
    <xf numFmtId="0" fontId="42" fillId="66" borderId="74" xfId="0" applyFont="1" applyFill="1" applyBorder="1"/>
    <xf numFmtId="174" fontId="42" fillId="66" borderId="74" xfId="0" applyNumberFormat="1" applyFont="1" applyFill="1" applyBorder="1"/>
    <xf numFmtId="174" fontId="42" fillId="67" borderId="75" xfId="0" applyNumberFormat="1" applyFont="1" applyFill="1" applyBorder="1"/>
    <xf numFmtId="0" fontId="7" fillId="68" borderId="76" xfId="0" applyFont="1" applyFill="1" applyBorder="1" applyAlignment="1">
      <alignment wrapText="1"/>
    </xf>
    <xf numFmtId="170" fontId="7" fillId="69" borderId="77" xfId="2" applyNumberFormat="1" applyFont="1" applyFill="1" applyBorder="1"/>
    <xf numFmtId="0" fontId="0" fillId="70" borderId="78" xfId="0" applyFill="1" applyBorder="1" applyAlignment="1">
      <alignment horizontal="right"/>
    </xf>
    <xf numFmtId="173" fontId="0" fillId="71" borderId="79" xfId="0" applyNumberFormat="1" applyFill="1" applyBorder="1"/>
    <xf numFmtId="0" fontId="0" fillId="72" borderId="80" xfId="0" applyFill="1" applyBorder="1" applyAlignment="1">
      <alignment horizontal="right"/>
    </xf>
    <xf numFmtId="173" fontId="0" fillId="23" borderId="23" xfId="0" applyNumberFormat="1" applyFill="1" applyBorder="1"/>
    <xf numFmtId="170" fontId="0" fillId="0" borderId="73" xfId="2" applyNumberFormat="1" applyFont="1" applyBorder="1"/>
    <xf numFmtId="0" fontId="7" fillId="73" borderId="81" xfId="0" applyFont="1" applyFill="1" applyBorder="1" applyAlignment="1">
      <alignment wrapText="1"/>
    </xf>
    <xf numFmtId="174" fontId="7" fillId="74" borderId="82" xfId="0" applyNumberFormat="1" applyFont="1" applyFill="1" applyBorder="1"/>
    <xf numFmtId="174" fontId="0" fillId="73" borderId="81" xfId="0" applyNumberFormat="1" applyFill="1" applyBorder="1"/>
    <xf numFmtId="174" fontId="0" fillId="73" borderId="81" xfId="0" applyNumberFormat="1" applyFill="1" applyBorder="1" applyAlignment="1">
      <alignment horizontal="center"/>
    </xf>
    <xf numFmtId="0" fontId="0" fillId="75" borderId="83" xfId="0" applyFill="1" applyBorder="1" applyAlignment="1">
      <alignment horizontal="right"/>
    </xf>
    <xf numFmtId="173" fontId="0" fillId="76" borderId="84" xfId="0" applyNumberFormat="1" applyFill="1" applyBorder="1" applyAlignment="1">
      <alignment horizontal="right"/>
    </xf>
    <xf numFmtId="0" fontId="0" fillId="0" borderId="66" xfId="0" applyBorder="1" applyAlignment="1">
      <alignment horizontal="right"/>
    </xf>
    <xf numFmtId="173" fontId="0" fillId="0" borderId="0" xfId="0" applyNumberFormat="1"/>
    <xf numFmtId="0" fontId="0" fillId="0" borderId="66" xfId="0" applyBorder="1"/>
    <xf numFmtId="0" fontId="0" fillId="77" borderId="85" xfId="0" applyFill="1" applyBorder="1" applyAlignment="1">
      <alignment horizontal="right"/>
    </xf>
    <xf numFmtId="173" fontId="0" fillId="78" borderId="86" xfId="0" applyNumberFormat="1" applyFill="1" applyBorder="1" applyAlignment="1">
      <alignment horizontal="right"/>
    </xf>
    <xf numFmtId="0" fontId="0" fillId="79" borderId="87" xfId="0" applyFill="1" applyBorder="1" applyAlignment="1">
      <alignment horizontal="right"/>
    </xf>
    <xf numFmtId="173" fontId="0" fillId="34" borderId="34" xfId="0" applyNumberFormat="1" applyFill="1" applyBorder="1" applyAlignment="1">
      <alignment horizontal="right"/>
    </xf>
    <xf numFmtId="0" fontId="43" fillId="0" borderId="0" xfId="0" applyFont="1"/>
    <xf numFmtId="0" fontId="44" fillId="0" borderId="0" xfId="0" applyFont="1"/>
    <xf numFmtId="170" fontId="43" fillId="0" borderId="3" xfId="0" applyNumberFormat="1" applyFont="1" applyBorder="1"/>
    <xf numFmtId="0" fontId="0" fillId="0" borderId="67" xfId="0" applyBorder="1"/>
    <xf numFmtId="0" fontId="43" fillId="73" borderId="81" xfId="0" applyFont="1" applyFill="1" applyBorder="1"/>
    <xf numFmtId="0" fontId="43" fillId="73" borderId="81" xfId="0" applyFont="1" applyFill="1" applyBorder="1" applyAlignment="1">
      <alignment wrapText="1"/>
    </xf>
    <xf numFmtId="174" fontId="43" fillId="74" borderId="82" xfId="0" applyNumberFormat="1" applyFont="1" applyFill="1" applyBorder="1"/>
    <xf numFmtId="174" fontId="43" fillId="73" borderId="81" xfId="0" applyNumberFormat="1" applyFont="1" applyFill="1" applyBorder="1"/>
    <xf numFmtId="0" fontId="7" fillId="80" borderId="88" xfId="0" applyFont="1" applyFill="1" applyBorder="1" applyAlignment="1">
      <alignment wrapText="1"/>
    </xf>
    <xf numFmtId="0" fontId="7" fillId="80" borderId="88" xfId="0" applyFont="1" applyFill="1" applyBorder="1"/>
    <xf numFmtId="174" fontId="7" fillId="81" borderId="89" xfId="0" applyNumberFormat="1" applyFont="1" applyFill="1" applyBorder="1"/>
    <xf numFmtId="174" fontId="0" fillId="80" borderId="88" xfId="0" applyNumberFormat="1" applyFill="1" applyBorder="1"/>
    <xf numFmtId="0" fontId="0" fillId="82" borderId="90" xfId="0" applyFill="1" applyBorder="1" applyAlignment="1">
      <alignment horizontal="right"/>
    </xf>
    <xf numFmtId="173" fontId="0" fillId="40" borderId="40" xfId="0" applyNumberFormat="1" applyFill="1" applyBorder="1"/>
    <xf numFmtId="173" fontId="0" fillId="0" borderId="73" xfId="0" applyNumberFormat="1" applyBorder="1"/>
    <xf numFmtId="173" fontId="7" fillId="0" borderId="0" xfId="0" applyNumberFormat="1" applyFont="1" applyAlignment="1">
      <alignment horizontal="right"/>
    </xf>
    <xf numFmtId="0" fontId="0" fillId="83" borderId="91" xfId="0" applyFill="1" applyBorder="1" applyAlignment="1">
      <alignment horizontal="right"/>
    </xf>
    <xf numFmtId="173" fontId="0" fillId="84" borderId="92" xfId="0" applyNumberFormat="1" applyFill="1" applyBorder="1" applyAlignment="1">
      <alignment horizontal="right"/>
    </xf>
    <xf numFmtId="173" fontId="7" fillId="0" borderId="67" xfId="0" applyNumberFormat="1" applyFont="1" applyBorder="1" applyAlignment="1">
      <alignment horizontal="right"/>
    </xf>
    <xf numFmtId="0" fontId="11" fillId="0" borderId="0" xfId="0" applyFont="1"/>
    <xf numFmtId="173" fontId="0" fillId="84" borderId="92" xfId="0" applyNumberFormat="1" applyFill="1" applyBorder="1"/>
    <xf numFmtId="0" fontId="7" fillId="85" borderId="93" xfId="0" applyFont="1" applyFill="1" applyBorder="1"/>
    <xf numFmtId="170" fontId="7" fillId="81" borderId="89" xfId="2" applyNumberFormat="1" applyFont="1" applyFill="1" applyBorder="1"/>
    <xf numFmtId="173" fontId="0" fillId="86" borderId="94" xfId="0" applyNumberFormat="1" applyFill="1" applyBorder="1"/>
    <xf numFmtId="0" fontId="11" fillId="80" borderId="88" xfId="0" applyFont="1" applyFill="1" applyBorder="1" applyAlignment="1">
      <alignment wrapText="1"/>
    </xf>
    <xf numFmtId="0" fontId="11" fillId="80" borderId="88" xfId="0" applyFont="1" applyFill="1" applyBorder="1"/>
    <xf numFmtId="174" fontId="11" fillId="81" borderId="89" xfId="0" applyNumberFormat="1" applyFont="1" applyFill="1" applyBorder="1"/>
    <xf numFmtId="174" fontId="11" fillId="80" borderId="88" xfId="0" applyNumberFormat="1" applyFont="1" applyFill="1" applyBorder="1"/>
    <xf numFmtId="0" fontId="42" fillId="67" borderId="75" xfId="0" applyFont="1" applyFill="1" applyBorder="1"/>
    <xf numFmtId="0" fontId="12" fillId="0" borderId="0" xfId="0" applyFont="1" applyAlignment="1">
      <alignment wrapText="1"/>
    </xf>
    <xf numFmtId="178" fontId="12" fillId="0" borderId="0" xfId="0" applyNumberFormat="1" applyFont="1" applyAlignment="1">
      <alignment wrapText="1"/>
    </xf>
    <xf numFmtId="173" fontId="0" fillId="0" borderId="67" xfId="0" applyNumberFormat="1" applyBorder="1" applyAlignment="1">
      <alignment horizontal="right"/>
    </xf>
    <xf numFmtId="175" fontId="7" fillId="0" borderId="0" xfId="0" applyNumberFormat="1" applyFont="1"/>
    <xf numFmtId="175" fontId="7" fillId="0" borderId="0" xfId="0" applyNumberFormat="1" applyFont="1" applyAlignment="1">
      <alignment horizontal="center"/>
    </xf>
    <xf numFmtId="0" fontId="7" fillId="87" borderId="95" xfId="0" applyFont="1" applyFill="1" applyBorder="1" applyAlignment="1">
      <alignment horizontal="center"/>
    </xf>
    <xf numFmtId="176" fontId="7" fillId="87" borderId="95" xfId="1" applyNumberFormat="1" applyFont="1" applyFill="1" applyBorder="1" applyAlignment="1">
      <alignment horizontal="center" wrapText="1"/>
    </xf>
    <xf numFmtId="0" fontId="7" fillId="87" borderId="95" xfId="0" applyFont="1" applyFill="1" applyBorder="1" applyAlignment="1">
      <alignment horizontal="right"/>
    </xf>
    <xf numFmtId="170" fontId="11" fillId="0" borderId="3" xfId="2" applyNumberFormat="1" applyFont="1" applyBorder="1"/>
    <xf numFmtId="170" fontId="11" fillId="0" borderId="64" xfId="2" applyNumberFormat="1" applyFont="1" applyBorder="1" applyAlignment="1">
      <alignment horizontal="center"/>
    </xf>
    <xf numFmtId="0" fontId="0" fillId="88" borderId="96" xfId="0" applyFill="1" applyBorder="1" applyAlignment="1">
      <alignment horizontal="right"/>
    </xf>
    <xf numFmtId="173" fontId="0" fillId="89" borderId="97" xfId="0" applyNumberFormat="1" applyFill="1" applyBorder="1"/>
    <xf numFmtId="0" fontId="0" fillId="0" borderId="98" xfId="0" applyBorder="1" applyAlignment="1">
      <alignment horizontal="right"/>
    </xf>
    <xf numFmtId="173" fontId="0" fillId="0" borderId="99" xfId="0" applyNumberFormat="1" applyBorder="1"/>
    <xf numFmtId="170" fontId="0" fillId="0" borderId="100" xfId="2" applyNumberFormat="1" applyFont="1" applyBorder="1"/>
    <xf numFmtId="177" fontId="7" fillId="87" borderId="95" xfId="4" applyNumberFormat="1" applyFont="1" applyFill="1" applyBorder="1" applyAlignment="1">
      <alignment horizontal="center" wrapText="1"/>
    </xf>
    <xf numFmtId="0" fontId="10" fillId="0" borderId="98" xfId="0" applyFont="1" applyBorder="1" applyAlignment="1">
      <alignment horizontal="right"/>
    </xf>
    <xf numFmtId="173" fontId="10" fillId="0" borderId="101" xfId="0" applyNumberFormat="1" applyFont="1" applyBorder="1"/>
    <xf numFmtId="9" fontId="7" fillId="0" borderId="70" xfId="2" applyFont="1" applyBorder="1"/>
    <xf numFmtId="9" fontId="7" fillId="0" borderId="100" xfId="2" applyFont="1" applyBorder="1"/>
    <xf numFmtId="164" fontId="7" fillId="87" borderId="95" xfId="1" applyFont="1" applyFill="1" applyBorder="1" applyAlignment="1">
      <alignment horizontal="center" wrapText="1"/>
    </xf>
    <xf numFmtId="0" fontId="22" fillId="0" borderId="0" xfId="0" applyFont="1" applyAlignment="1">
      <alignment horizontal="right"/>
    </xf>
    <xf numFmtId="173" fontId="22" fillId="0" borderId="0" xfId="0" applyNumberFormat="1" applyFont="1"/>
    <xf numFmtId="0" fontId="46" fillId="0" borderId="0" xfId="0" applyFont="1" applyAlignment="1">
      <alignment horizontal="right"/>
    </xf>
    <xf numFmtId="173" fontId="46" fillId="0" borderId="0" xfId="0" applyNumberFormat="1" applyFont="1"/>
    <xf numFmtId="2" fontId="47" fillId="0" borderId="0" xfId="0" applyNumberFormat="1" applyFont="1"/>
    <xf numFmtId="0" fontId="48" fillId="0" borderId="0" xfId="0" applyFont="1"/>
    <xf numFmtId="176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56" fillId="4" borderId="4" xfId="3" applyFill="1" applyBorder="1" applyAlignment="1">
      <alignment horizontal="right"/>
    </xf>
    <xf numFmtId="174" fontId="48" fillId="0" borderId="0" xfId="0" applyNumberFormat="1" applyFont="1"/>
    <xf numFmtId="173" fontId="22" fillId="78" borderId="86" xfId="0" applyNumberFormat="1" applyFont="1" applyFill="1" applyBorder="1" applyAlignment="1">
      <alignment horizontal="right"/>
    </xf>
    <xf numFmtId="0" fontId="27" fillId="4" borderId="4" xfId="3" applyFont="1" applyFill="1" applyBorder="1" applyAlignment="1">
      <alignment horizontal="right"/>
    </xf>
    <xf numFmtId="1" fontId="28" fillId="0" borderId="3" xfId="3" applyNumberFormat="1" applyFont="1" applyBorder="1" applyAlignment="1">
      <alignment horizontal="right"/>
    </xf>
    <xf numFmtId="0" fontId="29" fillId="0" borderId="3" xfId="3" applyFont="1" applyBorder="1" applyAlignment="1">
      <alignment horizontal="center"/>
    </xf>
    <xf numFmtId="173" fontId="44" fillId="86" borderId="94" xfId="0" applyNumberFormat="1" applyFont="1" applyFill="1" applyBorder="1"/>
    <xf numFmtId="0" fontId="33" fillId="4" borderId="4" xfId="3" applyFont="1" applyFill="1" applyBorder="1" applyAlignment="1">
      <alignment horizontal="right"/>
    </xf>
    <xf numFmtId="0" fontId="7" fillId="90" borderId="102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28" fillId="0" borderId="3" xfId="3" applyNumberFormat="1" applyFont="1" applyBorder="1"/>
    <xf numFmtId="165" fontId="40" fillId="54" borderId="54" xfId="3" applyNumberFormat="1" applyFont="1" applyFill="1" applyBorder="1" applyAlignment="1">
      <alignment horizontal="center"/>
    </xf>
    <xf numFmtId="2" fontId="31" fillId="35" borderId="35" xfId="3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50" fillId="91" borderId="103" xfId="0" applyFont="1" applyFill="1" applyBorder="1" applyAlignment="1">
      <alignment horizontal="center" wrapText="1"/>
    </xf>
    <xf numFmtId="0" fontId="0" fillId="92" borderId="104" xfId="0" applyFill="1" applyBorder="1"/>
    <xf numFmtId="0" fontId="51" fillId="93" borderId="105" xfId="0" applyFont="1" applyFill="1" applyBorder="1" applyAlignment="1">
      <alignment horizontal="center" wrapText="1"/>
    </xf>
    <xf numFmtId="0" fontId="52" fillId="0" borderId="0" xfId="0" applyFont="1" applyAlignment="1">
      <alignment horizontal="center" wrapText="1"/>
    </xf>
    <xf numFmtId="2" fontId="52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0" xfId="0" applyBorder="1" applyAlignment="1">
      <alignment wrapText="1"/>
    </xf>
    <xf numFmtId="1" fontId="0" fillId="0" borderId="70" xfId="0" applyNumberFormat="1" applyBorder="1"/>
    <xf numFmtId="0" fontId="0" fillId="0" borderId="60" xfId="0" applyBorder="1"/>
    <xf numFmtId="0" fontId="52" fillId="94" borderId="106" xfId="0" applyFont="1" applyFill="1" applyBorder="1" applyAlignment="1">
      <alignment horizontal="center" wrapText="1"/>
    </xf>
    <xf numFmtId="0" fontId="51" fillId="94" borderId="106" xfId="0" applyFont="1" applyFill="1" applyBorder="1" applyAlignment="1">
      <alignment horizontal="center" wrapText="1"/>
    </xf>
    <xf numFmtId="1" fontId="0" fillId="95" borderId="107" xfId="0" applyNumberFormat="1" applyFill="1" applyBorder="1"/>
    <xf numFmtId="0" fontId="52" fillId="0" borderId="64" xfId="0" applyFont="1" applyBorder="1" applyAlignment="1">
      <alignment horizontal="center" wrapText="1"/>
    </xf>
    <xf numFmtId="177" fontId="0" fillId="0" borderId="3" xfId="4" applyNumberFormat="1" applyFont="1" applyBorder="1"/>
    <xf numFmtId="0" fontId="52" fillId="0" borderId="3" xfId="0" applyFont="1" applyBorder="1" applyAlignment="1">
      <alignment horizontal="center" wrapText="1"/>
    </xf>
    <xf numFmtId="177" fontId="0" fillId="0" borderId="60" xfId="4" applyNumberFormat="1" applyFont="1" applyBorder="1"/>
    <xf numFmtId="1" fontId="0" fillId="96" borderId="108" xfId="0" applyNumberFormat="1" applyFill="1" applyBorder="1"/>
    <xf numFmtId="0" fontId="52" fillId="97" borderId="109" xfId="0" applyFont="1" applyFill="1" applyBorder="1" applyAlignment="1">
      <alignment horizontal="center" wrapText="1"/>
    </xf>
    <xf numFmtId="0" fontId="52" fillId="98" borderId="110" xfId="0" applyFont="1" applyFill="1" applyBorder="1" applyAlignment="1">
      <alignment horizontal="center" wrapText="1"/>
    </xf>
    <xf numFmtId="1" fontId="0" fillId="99" borderId="111" xfId="0" applyNumberFormat="1" applyFill="1" applyBorder="1"/>
    <xf numFmtId="170" fontId="0" fillId="100" borderId="112" xfId="2" applyNumberFormat="1" applyFont="1" applyFill="1" applyBorder="1"/>
    <xf numFmtId="170" fontId="0" fillId="101" borderId="113" xfId="2" applyNumberFormat="1" applyFont="1" applyFill="1" applyBorder="1"/>
    <xf numFmtId="170" fontId="0" fillId="102" borderId="114" xfId="2" applyNumberFormat="1" applyFont="1" applyFill="1" applyBorder="1"/>
    <xf numFmtId="174" fontId="0" fillId="102" borderId="114" xfId="0" applyNumberFormat="1" applyFill="1" applyBorder="1" applyAlignment="1">
      <alignment wrapText="1"/>
    </xf>
    <xf numFmtId="174" fontId="0" fillId="102" borderId="114" xfId="0" applyNumberFormat="1" applyFill="1" applyBorder="1"/>
    <xf numFmtId="0" fontId="53" fillId="103" borderId="115" xfId="0" applyFont="1" applyFill="1" applyBorder="1" applyAlignment="1">
      <alignment horizontal="right"/>
    </xf>
    <xf numFmtId="174" fontId="7" fillId="104" borderId="116" xfId="0" applyNumberFormat="1" applyFont="1" applyFill="1" applyBorder="1"/>
    <xf numFmtId="0" fontId="7" fillId="105" borderId="117" xfId="0" applyFont="1" applyFill="1" applyBorder="1" applyAlignment="1">
      <alignment horizontal="center"/>
    </xf>
    <xf numFmtId="0" fontId="0" fillId="106" borderId="118" xfId="0" applyFill="1" applyBorder="1"/>
    <xf numFmtId="1" fontId="0" fillId="106" borderId="118" xfId="0" applyNumberFormat="1" applyFill="1" applyBorder="1"/>
    <xf numFmtId="0" fontId="0" fillId="103" borderId="115" xfId="0" applyFill="1" applyBorder="1" applyAlignment="1">
      <alignment horizontal="right"/>
    </xf>
    <xf numFmtId="1" fontId="0" fillId="103" borderId="115" xfId="0" applyNumberFormat="1" applyFill="1" applyBorder="1"/>
    <xf numFmtId="0" fontId="0" fillId="107" borderId="119" xfId="0" applyFill="1" applyBorder="1" applyAlignment="1">
      <alignment horizontal="right" wrapText="1"/>
    </xf>
    <xf numFmtId="175" fontId="0" fillId="107" borderId="119" xfId="0" applyNumberFormat="1" applyFill="1" applyBorder="1"/>
    <xf numFmtId="0" fontId="0" fillId="108" borderId="120" xfId="0" applyFill="1" applyBorder="1" applyAlignment="1">
      <alignment horizontal="right" wrapText="1"/>
    </xf>
    <xf numFmtId="175" fontId="0" fillId="108" borderId="120" xfId="0" applyNumberFormat="1" applyFill="1" applyBorder="1"/>
    <xf numFmtId="0" fontId="6" fillId="106" borderId="118" xfId="0" applyFont="1" applyFill="1" applyBorder="1" applyAlignment="1">
      <alignment horizontal="right" wrapText="1"/>
    </xf>
    <xf numFmtId="175" fontId="12" fillId="106" borderId="118" xfId="0" applyNumberFormat="1" applyFont="1" applyFill="1" applyBorder="1"/>
    <xf numFmtId="0" fontId="12" fillId="106" borderId="118" xfId="0" applyFont="1" applyFill="1" applyBorder="1" applyAlignment="1">
      <alignment horizontal="right" wrapText="1"/>
    </xf>
    <xf numFmtId="0" fontId="7" fillId="106" borderId="118" xfId="0" applyFont="1" applyFill="1" applyBorder="1"/>
    <xf numFmtId="1" fontId="7" fillId="106" borderId="118" xfId="0" applyNumberFormat="1" applyFont="1" applyFill="1" applyBorder="1"/>
    <xf numFmtId="0" fontId="7" fillId="84" borderId="92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5" fillId="5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center"/>
    </xf>
    <xf numFmtId="0" fontId="7" fillId="109" borderId="121" xfId="0" applyFont="1" applyFill="1" applyBorder="1" applyAlignment="1">
      <alignment horizontal="center" wrapText="1"/>
    </xf>
    <xf numFmtId="1" fontId="7" fillId="110" borderId="122" xfId="0" applyNumberFormat="1" applyFont="1" applyFill="1" applyBorder="1" applyAlignment="1">
      <alignment horizontal="center" wrapText="1"/>
    </xf>
    <xf numFmtId="174" fontId="0" fillId="111" borderId="123" xfId="0" applyNumberFormat="1" applyFill="1" applyBorder="1"/>
    <xf numFmtId="174" fontId="0" fillId="111" borderId="123" xfId="0" applyNumberFormat="1" applyFill="1" applyBorder="1" applyAlignment="1">
      <alignment horizontal="center"/>
    </xf>
    <xf numFmtId="174" fontId="43" fillId="111" borderId="123" xfId="0" applyNumberFormat="1" applyFont="1" applyFill="1" applyBorder="1"/>
    <xf numFmtId="174" fontId="0" fillId="112" borderId="124" xfId="0" applyNumberFormat="1" applyFill="1" applyBorder="1"/>
    <xf numFmtId="174" fontId="11" fillId="112" borderId="124" xfId="0" applyNumberFormat="1" applyFont="1" applyFill="1" applyBorder="1"/>
    <xf numFmtId="178" fontId="12" fillId="34" borderId="34" xfId="0" applyNumberFormat="1" applyFont="1" applyFill="1" applyBorder="1" applyAlignment="1">
      <alignment wrapText="1"/>
    </xf>
    <xf numFmtId="174" fontId="10" fillId="113" borderId="125" xfId="0" applyNumberFormat="1" applyFont="1" applyFill="1" applyBorder="1"/>
    <xf numFmtId="0" fontId="12" fillId="0" borderId="68" xfId="0" applyFont="1" applyBorder="1"/>
    <xf numFmtId="0" fontId="0" fillId="0" borderId="68" xfId="0" applyBorder="1"/>
    <xf numFmtId="178" fontId="12" fillId="0" borderId="68" xfId="0" applyNumberFormat="1" applyFont="1" applyBorder="1" applyAlignment="1">
      <alignment horizontal="center"/>
    </xf>
    <xf numFmtId="178" fontId="12" fillId="114" borderId="126" xfId="0" applyNumberFormat="1" applyFont="1" applyFill="1" applyBorder="1" applyAlignment="1">
      <alignment horizontal="center"/>
    </xf>
    <xf numFmtId="165" fontId="49" fillId="35" borderId="35" xfId="3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131" borderId="144" xfId="0" applyFill="1" applyBorder="1"/>
    <xf numFmtId="164" fontId="0" fillId="0" borderId="66" xfId="1" applyFont="1" applyBorder="1" applyAlignment="1">
      <alignment horizontal="center"/>
    </xf>
    <xf numFmtId="165" fontId="0" fillId="0" borderId="67" xfId="0" applyNumberFormat="1" applyBorder="1" applyAlignment="1">
      <alignment horizontal="center"/>
    </xf>
    <xf numFmtId="2" fontId="0" fillId="0" borderId="67" xfId="0" applyNumberFormat="1" applyBorder="1" applyAlignment="1">
      <alignment horizontal="center"/>
    </xf>
    <xf numFmtId="2" fontId="0" fillId="0" borderId="67" xfId="0" applyNumberFormat="1" applyBorder="1"/>
    <xf numFmtId="0" fontId="7" fillId="0" borderId="67" xfId="0" applyFont="1" applyBorder="1"/>
    <xf numFmtId="1" fontId="0" fillId="0" borderId="67" xfId="0" applyNumberFormat="1" applyBorder="1"/>
    <xf numFmtId="0" fontId="9" fillId="132" borderId="145" xfId="0" applyFont="1" applyFill="1" applyBorder="1"/>
    <xf numFmtId="0" fontId="9" fillId="133" borderId="146" xfId="0" applyFont="1" applyFill="1" applyBorder="1"/>
    <xf numFmtId="0" fontId="9" fillId="133" borderId="146" xfId="0" applyFont="1" applyFill="1" applyBorder="1" applyAlignment="1">
      <alignment horizontal="center"/>
    </xf>
    <xf numFmtId="0" fontId="9" fillId="134" borderId="147" xfId="0" applyFont="1" applyFill="1" applyBorder="1" applyAlignment="1">
      <alignment horizontal="center"/>
    </xf>
    <xf numFmtId="0" fontId="9" fillId="135" borderId="148" xfId="0" applyFont="1" applyFill="1" applyBorder="1" applyAlignment="1">
      <alignment horizontal="center"/>
    </xf>
    <xf numFmtId="0" fontId="9" fillId="136" borderId="149" xfId="0" applyFont="1" applyFill="1" applyBorder="1" applyAlignment="1">
      <alignment horizontal="center"/>
    </xf>
    <xf numFmtId="0" fontId="9" fillId="137" borderId="150" xfId="0" applyFont="1" applyFill="1" applyBorder="1" applyAlignment="1">
      <alignment horizontal="center"/>
    </xf>
    <xf numFmtId="0" fontId="9" fillId="138" borderId="151" xfId="0" applyFont="1" applyFill="1" applyBorder="1" applyAlignment="1">
      <alignment horizontal="center"/>
    </xf>
    <xf numFmtId="0" fontId="9" fillId="139" borderId="152" xfId="0" applyFont="1" applyFill="1" applyBorder="1"/>
    <xf numFmtId="0" fontId="9" fillId="140" borderId="153" xfId="0" applyFont="1" applyFill="1" applyBorder="1"/>
    <xf numFmtId="0" fontId="9" fillId="141" borderId="154" xfId="0" applyFont="1" applyFill="1" applyBorder="1"/>
    <xf numFmtId="0" fontId="9" fillId="142" borderId="155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90" borderId="120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144" xfId="0" applyBorder="1"/>
    <xf numFmtId="0" fontId="0" fillId="0" borderId="130" xfId="0" applyBorder="1" applyAlignment="1">
      <alignment horizontal="center"/>
    </xf>
    <xf numFmtId="164" fontId="0" fillId="0" borderId="144" xfId="1" applyFont="1" applyBorder="1" applyAlignment="1">
      <alignment horizontal="center"/>
    </xf>
    <xf numFmtId="165" fontId="0" fillId="0" borderId="130" xfId="0" applyNumberFormat="1" applyBorder="1" applyAlignment="1">
      <alignment horizontal="center"/>
    </xf>
    <xf numFmtId="2" fontId="0" fillId="0" borderId="130" xfId="0" applyNumberFormat="1" applyBorder="1" applyAlignment="1">
      <alignment horizontal="center"/>
    </xf>
    <xf numFmtId="2" fontId="0" fillId="0" borderId="130" xfId="0" applyNumberFormat="1" applyBorder="1"/>
    <xf numFmtId="0" fontId="0" fillId="0" borderId="130" xfId="0" applyBorder="1"/>
    <xf numFmtId="0" fontId="7" fillId="0" borderId="130" xfId="0" applyFont="1" applyBorder="1"/>
    <xf numFmtId="1" fontId="0" fillId="0" borderId="130" xfId="0" applyNumberFormat="1" applyBorder="1"/>
    <xf numFmtId="0" fontId="7" fillId="143" borderId="144" xfId="0" applyFont="1" applyFill="1" applyBorder="1"/>
    <xf numFmtId="0" fontId="7" fillId="79" borderId="144" xfId="0" applyFont="1" applyFill="1" applyBorder="1"/>
    <xf numFmtId="0" fontId="0" fillId="144" borderId="0" xfId="0" applyFill="1"/>
    <xf numFmtId="0" fontId="7" fillId="145" borderId="67" xfId="0" applyFont="1" applyFill="1" applyBorder="1"/>
    <xf numFmtId="0" fontId="0" fillId="0" borderId="0" xfId="0" applyFill="1"/>
    <xf numFmtId="0" fontId="0" fillId="131" borderId="87" xfId="0" applyFill="1" applyBorder="1"/>
    <xf numFmtId="0" fontId="7" fillId="23" borderId="23" xfId="0" applyFont="1" applyFill="1" applyBorder="1" applyAlignment="1">
      <alignment horizontal="center"/>
    </xf>
    <xf numFmtId="0" fontId="33" fillId="0" borderId="0" xfId="3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7" fillId="126" borderId="139" xfId="0" applyFont="1" applyFill="1" applyBorder="1" applyAlignment="1">
      <alignment horizontal="left" vertical="top" wrapText="1"/>
    </xf>
    <xf numFmtId="0" fontId="7" fillId="127" borderId="140" xfId="0" applyFont="1" applyFill="1" applyBorder="1" applyAlignment="1">
      <alignment horizontal="left" vertical="top" wrapText="1"/>
    </xf>
    <xf numFmtId="0" fontId="7" fillId="128" borderId="141" xfId="0" applyFont="1" applyFill="1" applyBorder="1" applyAlignment="1">
      <alignment horizontal="left" vertical="top" wrapText="1"/>
    </xf>
    <xf numFmtId="174" fontId="45" fillId="69" borderId="77" xfId="0" applyNumberFormat="1" applyFont="1" applyFill="1" applyBorder="1" applyAlignment="1">
      <alignment horizontal="center"/>
    </xf>
    <xf numFmtId="0" fontId="7" fillId="115" borderId="127" xfId="0" applyFont="1" applyFill="1" applyBorder="1" applyAlignment="1">
      <alignment horizontal="left" vertical="top" wrapText="1"/>
    </xf>
    <xf numFmtId="0" fontId="7" fillId="116" borderId="128" xfId="0" applyFont="1" applyFill="1" applyBorder="1" applyAlignment="1">
      <alignment horizontal="left" vertical="top" wrapText="1"/>
    </xf>
    <xf numFmtId="0" fontId="7" fillId="117" borderId="129" xfId="0" applyFont="1" applyFill="1" applyBorder="1" applyAlignment="1">
      <alignment horizontal="left" vertical="top" wrapText="1"/>
    </xf>
    <xf numFmtId="0" fontId="7" fillId="118" borderId="130" xfId="0" applyFont="1" applyFill="1" applyBorder="1" applyAlignment="1">
      <alignment horizontal="center" vertical="top" wrapText="1"/>
    </xf>
    <xf numFmtId="174" fontId="11" fillId="81" borderId="89" xfId="0" applyNumberFormat="1" applyFont="1" applyFill="1" applyBorder="1" applyAlignment="1">
      <alignment horizontal="center"/>
    </xf>
    <xf numFmtId="0" fontId="41" fillId="119" borderId="131" xfId="0" applyFont="1" applyFill="1" applyBorder="1" applyAlignment="1">
      <alignment horizontal="center"/>
    </xf>
    <xf numFmtId="0" fontId="41" fillId="120" borderId="132" xfId="0" applyFont="1" applyFill="1" applyBorder="1" applyAlignment="1">
      <alignment horizontal="center"/>
    </xf>
    <xf numFmtId="0" fontId="41" fillId="121" borderId="133" xfId="0" applyFont="1" applyFill="1" applyBorder="1" applyAlignment="1">
      <alignment horizontal="center"/>
    </xf>
    <xf numFmtId="0" fontId="0" fillId="0" borderId="69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134" xfId="0" applyBorder="1" applyAlignment="1">
      <alignment horizontal="right"/>
    </xf>
    <xf numFmtId="0" fontId="0" fillId="0" borderId="64" xfId="0" applyBorder="1" applyAlignment="1">
      <alignment horizontal="right"/>
    </xf>
    <xf numFmtId="0" fontId="10" fillId="122" borderId="135" xfId="0" applyFont="1" applyFill="1" applyBorder="1" applyAlignment="1">
      <alignment horizontal="center"/>
    </xf>
    <xf numFmtId="0" fontId="10" fillId="123" borderId="136" xfId="0" applyFont="1" applyFill="1" applyBorder="1" applyAlignment="1">
      <alignment horizontal="center"/>
    </xf>
    <xf numFmtId="0" fontId="10" fillId="124" borderId="137" xfId="0" applyFont="1" applyFill="1" applyBorder="1" applyAlignment="1">
      <alignment horizontal="center"/>
    </xf>
    <xf numFmtId="0" fontId="10" fillId="125" borderId="138" xfId="0" applyFont="1" applyFill="1" applyBorder="1" applyAlignment="1">
      <alignment horizontal="center"/>
    </xf>
    <xf numFmtId="0" fontId="0" fillId="101" borderId="113" xfId="0" applyFill="1" applyBorder="1" applyAlignment="1">
      <alignment horizontal="center"/>
    </xf>
    <xf numFmtId="0" fontId="0" fillId="129" borderId="142" xfId="0" applyFill="1" applyBorder="1" applyAlignment="1">
      <alignment horizontal="center"/>
    </xf>
    <xf numFmtId="0" fontId="0" fillId="130" borderId="143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7" fillId="146" borderId="144" xfId="0" applyFont="1" applyFill="1" applyBorder="1"/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7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0.43406593406593408</c:v>
                </c:pt>
                <c:pt idx="8">
                  <c:v>0.35820895522388058</c:v>
                </c:pt>
                <c:pt idx="9">
                  <c:v>0.46969696969696972</c:v>
                </c:pt>
                <c:pt idx="10">
                  <c:v>0.47619047619047616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96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182</c:v>
                </c:pt>
                <c:pt idx="8">
                  <c:v>67</c:v>
                </c:pt>
                <c:pt idx="9">
                  <c:v>132</c:v>
                </c:pt>
                <c:pt idx="10">
                  <c:v>42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19050</xdr:rowOff>
    </xdr:from>
    <xdr:to>
      <xdr:col>7</xdr:col>
      <xdr:colOff>133350</xdr:colOff>
      <xdr:row>19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ZRsAABYLAADyBwAAUhAAAAAAAABkAAAAZAAAAAEAAAAjAAAABAAAAGQAAAAXAAAAFAAAAAAAAAAAAAAA/38AAP9/AAAAAAAACQAAAAQAAAAQkh0DDAAAABAAAAAAAAAAAAAAAAAAAAAAAAAAHgAAAGgAAAAAAAAAAAAAAAAAAAAAAAAAAAAAABAnAAAQJwAAAAAAAAAAAAAAAAAAAAAAAAAAAAAAAAAAAAAAAAAAAAAUAAAAAAAAAMDA/wAAAAAAZAAAADIAAAAAAAAAZAAAAAAAAAB/f38ACgAAACEAAAAwAAAALAAAAAEAAAAAAAAAZABBARMAAAAHAAAAwQG0AHcBAABSAQAACCAAABEWAAABAAAA"/>
            </a:ext>
          </a:extLst>
        </xdr:cNvPicPr>
      </xdr:nvPicPr>
      <xdr:blipFill>
        <a:blip xmlns:r="http://schemas.openxmlformats.org/officeDocument/2006/relationships" r:embed="rId1"/>
        <a:srcRect l="70130" t="28380" r="20340" b="41780"/>
        <a:stretch>
          <a:fillRect/>
        </a:stretch>
      </xdr:blipFill>
      <xdr:spPr>
        <a:xfrm>
          <a:off x="238125" y="214630"/>
          <a:ext cx="5207000" cy="358711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ny11/HI/projects/current/hattrick/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ORTA Isaac" id="{9D6A3A77-FC87-4EC6-94CD-E94E7D8999A4}" userId="S::i-porta@bruneau.es::dea48508-bb25-4e70-b4e7-11595d3af8b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48.563789351851" createdVersion="4" refreshedVersion="6" minRefreshableVersion="3" recordCount="227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5-29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m/>
    <s v="Lirio de Oña"/>
    <x v="8"/>
    <m/>
    <n v="8"/>
    <n v="4"/>
    <n v="0.5"/>
  </r>
  <r>
    <d v="2020-05-09T00:00:00"/>
    <m/>
    <s v="Enxebre FC"/>
    <x v="10"/>
    <m/>
    <n v="7"/>
    <n v="4"/>
    <n v="0.5714285714285714"/>
  </r>
  <r>
    <d v="2020-05-16T00:00:00"/>
    <s v="Atlético Uzumaki"/>
    <m/>
    <x v="7"/>
    <m/>
    <n v="9"/>
    <n v="4"/>
    <n v="0.44444444444444442"/>
  </r>
  <r>
    <d v="2020-05-18T00:00:00"/>
    <m/>
    <s v="Fc kickers ZH"/>
    <x v="8"/>
    <m/>
    <n v="9"/>
    <n v="4"/>
    <n v="0.44444444444444442"/>
  </r>
  <r>
    <d v="2020-05-19T00:00:00"/>
    <s v="Brattforce"/>
    <m/>
    <x v="8"/>
    <m/>
    <n v="8"/>
    <n v="5"/>
    <n v="0.625"/>
  </r>
  <r>
    <d v="2020-05-19T00:00:00"/>
    <s v="El Dorado F.C"/>
    <m/>
    <x v="7"/>
    <m/>
    <n v="9"/>
    <n v="5"/>
    <n v="0.55555555555555558"/>
  </r>
  <r>
    <d v="2020-05-20T00:00:00"/>
    <m/>
    <s v="iSoccer"/>
    <x v="8"/>
    <m/>
    <n v="9"/>
    <n v="3"/>
    <n v="0.33333333333333331"/>
  </r>
  <r>
    <d v="2020-05-20T00:00:00"/>
    <s v="TIGRII FURIOSI"/>
    <m/>
    <x v="9"/>
    <m/>
    <n v="9"/>
    <n v="2"/>
    <n v="0.22222222222222221"/>
  </r>
  <r>
    <d v="2020-05-21T00:00:00"/>
    <s v="Royal lions 2"/>
    <m/>
    <x v="8"/>
    <m/>
    <n v="8"/>
    <n v="5"/>
    <n v="0.625"/>
  </r>
  <r>
    <d v="2020-05-21T00:00:00"/>
    <m/>
    <s v="Sant Andreu"/>
    <x v="9"/>
    <m/>
    <n v="5"/>
    <n v="2"/>
    <n v="0.4"/>
  </r>
  <r>
    <d v="2020-05-21T00:00:00"/>
    <s v="FC Myth"/>
    <m/>
    <x v="7"/>
    <m/>
    <n v="5"/>
    <n v="2"/>
    <n v="0.4"/>
  </r>
  <r>
    <d v="2020-05-22T00:00:00"/>
    <s v="Brocklers"/>
    <m/>
    <x v="7"/>
    <m/>
    <n v="10"/>
    <n v="4"/>
    <n v="0.4"/>
  </r>
  <r>
    <d v="2020-05-25T00:00:00"/>
    <m/>
    <s v="FC HV 1964"/>
    <x v="9"/>
    <m/>
    <n v="6"/>
    <n v="4"/>
    <n v="0.66666666666666663"/>
  </r>
  <r>
    <d v="2020-05-26T00:00:00"/>
    <m/>
    <s v="SALSEPAREILLE"/>
    <x v="8"/>
    <m/>
    <n v="6"/>
    <n v="4"/>
    <n v="0.66666666666666663"/>
  </r>
  <r>
    <d v="2020-05-26T00:00:00"/>
    <s v="Divine Overconfidence"/>
    <m/>
    <x v="8"/>
    <m/>
    <n v="8"/>
    <n v="3"/>
    <n v="0.375"/>
  </r>
  <r>
    <d v="2020-05-26T00:00:00"/>
    <s v="Os Marcos do Nordeste"/>
    <m/>
    <x v="8"/>
    <m/>
    <n v="6"/>
    <n v="2"/>
    <n v="0.33333333333333331"/>
  </r>
  <r>
    <d v="2020-05-27T00:00:00"/>
    <m/>
    <s v="Lazio Princes Town"/>
    <x v="8"/>
    <m/>
    <n v="7"/>
    <n v="3"/>
    <n v="0.42857142857142855"/>
  </r>
  <r>
    <d v="2020-05-27T00:00:00"/>
    <s v="SS Scappati di Casa"/>
    <m/>
    <x v="8"/>
    <m/>
    <n v="7"/>
    <n v="3"/>
    <n v="0.42857142857142855"/>
  </r>
  <r>
    <d v="2020-05-27T00:00:00"/>
    <m/>
    <s v="FC Glasscherbenviertel"/>
    <x v="10"/>
    <m/>
    <n v="9"/>
    <n v="4"/>
    <n v="0.44444444444444442"/>
  </r>
  <r>
    <d v="2020-05-28T00:00:00"/>
    <m/>
    <s v="Blues Nord"/>
    <x v="8"/>
    <m/>
    <n v="7"/>
    <n v="4"/>
    <n v="0.5714285714285714"/>
  </r>
  <r>
    <d v="2020-05-28T00:00:00"/>
    <m/>
    <s v="Juventus de kudus"/>
    <x v="8"/>
    <m/>
    <n v="8"/>
    <n v="3"/>
    <n v="0.375"/>
  </r>
  <r>
    <d v="2020-05-28T00:00:00"/>
    <s v="Clerks II"/>
    <m/>
    <x v="10"/>
    <m/>
    <n v="8"/>
    <n v="3"/>
    <n v="0.375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0-08-25T13:36:50.70" personId="{9D6A3A77-FC87-4EC6-94CD-E94E7D8999A4}" id="{4D722616-FA5A-4CDA-A038-48E07680C431}">
    <text>Comprartiva a 2000, se vende 3142 xDDD</text>
  </threadedComment>
  <threadedComment ref="AA7" dT="2020-08-24T14:00:51.80" personId="{9D6A3A77-FC87-4EC6-94CD-E94E7D8999A4}" id="{C223E997-198D-48E4-8AA7-77CD21FADA50}">
    <text>4150</text>
  </threadedComment>
  <threadedComment ref="AA8" dT="2020-08-24T09:50:57.99" personId="{9D6A3A77-FC87-4EC6-94CD-E94E7D8999A4}" id="{661AE06C-6699-47B1-9517-EA3D2635C276}">
    <text>7500</text>
  </threadedComment>
  <threadedComment ref="AA9" dT="2020-08-24T09:50:22.42" personId="{9D6A3A77-FC87-4EC6-94CD-E94E7D8999A4}" id="{D132555C-CE98-4551-B6A5-A71A14C3BDA9}">
    <text>7100</text>
  </threadedComment>
  <threadedComment ref="AA14" dT="2020-08-24T09:52:52.10" personId="{9D6A3A77-FC87-4EC6-94CD-E94E7D8999A4}" id="{F98AA9EF-5A8B-4A1B-97A5-F14070E4929D}">
    <text>6200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P40"/>
  <sheetViews>
    <sheetView workbookViewId="0">
      <selection activeCell="B3" sqref="B3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</cols>
  <sheetData>
    <row r="1" spans="1:16" x14ac:dyDescent="0.25">
      <c r="A1" s="92" t="s">
        <v>0</v>
      </c>
      <c r="F1" s="94" t="s">
        <v>1</v>
      </c>
      <c r="G1" s="463" t="s">
        <v>2</v>
      </c>
      <c r="H1" s="463"/>
      <c r="J1" s="94" t="s">
        <v>1</v>
      </c>
      <c r="K1" s="463" t="s">
        <v>3</v>
      </c>
      <c r="L1" s="463"/>
      <c r="N1" s="94" t="s">
        <v>1</v>
      </c>
      <c r="O1" s="463" t="s">
        <v>4</v>
      </c>
      <c r="P1" s="463"/>
    </row>
    <row r="2" spans="1:16" x14ac:dyDescent="0.25">
      <c r="A2" s="443">
        <v>44048</v>
      </c>
      <c r="F2" s="43">
        <v>1</v>
      </c>
      <c r="G2" s="93" t="s">
        <v>5</v>
      </c>
      <c r="H2" s="42" t="s">
        <v>6</v>
      </c>
      <c r="J2" s="43">
        <v>1</v>
      </c>
      <c r="K2" s="93" t="s">
        <v>7</v>
      </c>
      <c r="L2" s="42">
        <v>175</v>
      </c>
      <c r="N2" s="43">
        <v>1</v>
      </c>
      <c r="O2" s="353" t="s">
        <v>31</v>
      </c>
      <c r="P2" s="42">
        <v>77</v>
      </c>
    </row>
    <row r="3" spans="1:16" x14ac:dyDescent="0.25">
      <c r="F3" s="43">
        <v>2</v>
      </c>
      <c r="G3" s="93" t="s">
        <v>10</v>
      </c>
      <c r="H3" s="42" t="s">
        <v>11</v>
      </c>
      <c r="J3" s="43">
        <v>2</v>
      </c>
      <c r="K3" s="353" t="s">
        <v>14</v>
      </c>
      <c r="L3" s="42">
        <v>164</v>
      </c>
      <c r="N3" s="43">
        <v>2</v>
      </c>
      <c r="O3" s="93" t="s">
        <v>8</v>
      </c>
      <c r="P3" s="42">
        <v>58</v>
      </c>
    </row>
    <row r="4" spans="1:16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93" t="s">
        <v>12</v>
      </c>
      <c r="L4" s="42">
        <v>155</v>
      </c>
      <c r="N4" s="43">
        <v>3</v>
      </c>
      <c r="O4" s="93" t="s">
        <v>13</v>
      </c>
      <c r="P4" s="42">
        <v>57</v>
      </c>
    </row>
    <row r="5" spans="1:16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4</v>
      </c>
      <c r="G5" s="93" t="s">
        <v>24</v>
      </c>
      <c r="H5" s="42" t="s">
        <v>25</v>
      </c>
      <c r="J5" s="43">
        <v>4</v>
      </c>
      <c r="K5" s="353" t="s">
        <v>34</v>
      </c>
      <c r="L5" s="42">
        <v>150</v>
      </c>
      <c r="N5" s="43">
        <v>4</v>
      </c>
      <c r="O5" s="93" t="s">
        <v>10</v>
      </c>
      <c r="P5" s="42">
        <v>44</v>
      </c>
    </row>
    <row r="6" spans="1:16" x14ac:dyDescent="0.25">
      <c r="A6" s="42" t="s">
        <v>28</v>
      </c>
      <c r="B6" t="s">
        <v>29</v>
      </c>
      <c r="C6" s="23">
        <v>42991</v>
      </c>
      <c r="D6" s="43" t="s">
        <v>30</v>
      </c>
      <c r="F6" s="43">
        <v>4</v>
      </c>
      <c r="G6" s="93" t="s">
        <v>8</v>
      </c>
      <c r="H6" s="42" t="s">
        <v>25</v>
      </c>
      <c r="J6" s="43">
        <v>5</v>
      </c>
      <c r="K6" s="353" t="s">
        <v>20</v>
      </c>
      <c r="L6" s="42">
        <v>147</v>
      </c>
      <c r="N6" s="43">
        <v>5</v>
      </c>
      <c r="O6" s="93" t="s">
        <v>5</v>
      </c>
      <c r="P6" s="42">
        <v>42</v>
      </c>
    </row>
    <row r="7" spans="1:16" x14ac:dyDescent="0.25">
      <c r="F7" s="43">
        <v>6</v>
      </c>
      <c r="G7" s="93" t="s">
        <v>18</v>
      </c>
      <c r="H7" s="42" t="s">
        <v>32</v>
      </c>
      <c r="J7" s="43">
        <v>6</v>
      </c>
      <c r="K7" s="93" t="s">
        <v>18</v>
      </c>
      <c r="L7" s="42">
        <v>145</v>
      </c>
      <c r="N7" s="43">
        <v>6</v>
      </c>
      <c r="O7" s="93" t="s">
        <v>33</v>
      </c>
      <c r="P7" s="42">
        <v>29</v>
      </c>
    </row>
    <row r="8" spans="1:16" x14ac:dyDescent="0.25">
      <c r="A8" s="94" t="s">
        <v>1</v>
      </c>
      <c r="B8" s="463" t="s">
        <v>35</v>
      </c>
      <c r="C8" s="463"/>
      <c r="F8" s="43">
        <v>6</v>
      </c>
      <c r="G8" s="353" t="s">
        <v>917</v>
      </c>
      <c r="H8" s="42" t="s">
        <v>32</v>
      </c>
      <c r="J8" s="43">
        <v>7</v>
      </c>
      <c r="K8" s="93" t="s">
        <v>24</v>
      </c>
      <c r="L8" s="42">
        <v>144</v>
      </c>
      <c r="N8" s="43">
        <v>7</v>
      </c>
      <c r="O8" s="93" t="s">
        <v>16</v>
      </c>
      <c r="P8" s="42">
        <v>27</v>
      </c>
    </row>
    <row r="9" spans="1:16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36</v>
      </c>
      <c r="H9" s="42" t="s">
        <v>37</v>
      </c>
      <c r="J9" s="43">
        <v>8</v>
      </c>
      <c r="K9" s="353" t="s">
        <v>26</v>
      </c>
      <c r="L9" s="42">
        <v>143</v>
      </c>
      <c r="N9" s="43">
        <v>8</v>
      </c>
      <c r="O9" s="353" t="s">
        <v>26</v>
      </c>
      <c r="P9" s="42">
        <v>26</v>
      </c>
    </row>
    <row r="10" spans="1:16" x14ac:dyDescent="0.25">
      <c r="A10" s="43">
        <v>2</v>
      </c>
      <c r="B10" s="353" t="s">
        <v>9</v>
      </c>
      <c r="C10" s="42">
        <v>38</v>
      </c>
      <c r="F10" s="43">
        <v>9</v>
      </c>
      <c r="G10" s="93" t="s">
        <v>39</v>
      </c>
      <c r="H10" s="42" t="s">
        <v>40</v>
      </c>
      <c r="J10" s="43">
        <v>9</v>
      </c>
      <c r="K10" s="353" t="s">
        <v>31</v>
      </c>
      <c r="L10" s="42">
        <v>142</v>
      </c>
      <c r="N10" s="43">
        <v>9</v>
      </c>
      <c r="O10" s="93" t="s">
        <v>41</v>
      </c>
      <c r="P10" s="42">
        <v>22</v>
      </c>
    </row>
    <row r="11" spans="1:16" x14ac:dyDescent="0.25">
      <c r="A11" s="43">
        <v>3</v>
      </c>
      <c r="B11" s="93" t="s">
        <v>42</v>
      </c>
      <c r="C11" s="42">
        <v>29</v>
      </c>
      <c r="F11" s="43">
        <v>9</v>
      </c>
      <c r="G11" s="93" t="s">
        <v>43</v>
      </c>
      <c r="H11" s="42" t="s">
        <v>40</v>
      </c>
      <c r="J11" s="43">
        <v>10</v>
      </c>
      <c r="K11" s="93" t="s">
        <v>5</v>
      </c>
      <c r="L11" s="42">
        <v>141</v>
      </c>
      <c r="N11" s="43">
        <v>10</v>
      </c>
      <c r="O11" s="93" t="s">
        <v>44</v>
      </c>
      <c r="P11" s="42">
        <v>20</v>
      </c>
    </row>
    <row r="12" spans="1:16" x14ac:dyDescent="0.25">
      <c r="A12" s="43">
        <v>4</v>
      </c>
      <c r="B12" s="93" t="s">
        <v>45</v>
      </c>
      <c r="C12" s="42">
        <v>16</v>
      </c>
      <c r="F12" s="43">
        <v>9</v>
      </c>
      <c r="G12" s="93" t="s">
        <v>46</v>
      </c>
      <c r="H12" s="42" t="s">
        <v>40</v>
      </c>
      <c r="J12" s="43">
        <v>11</v>
      </c>
      <c r="K12" s="93" t="s">
        <v>13</v>
      </c>
      <c r="L12" s="42">
        <v>140</v>
      </c>
      <c r="N12" s="43">
        <v>11</v>
      </c>
      <c r="O12" s="93" t="s">
        <v>48</v>
      </c>
      <c r="P12" s="42">
        <v>13</v>
      </c>
    </row>
    <row r="13" spans="1:16" x14ac:dyDescent="0.25">
      <c r="A13" s="43">
        <v>5</v>
      </c>
      <c r="B13" s="93" t="s">
        <v>52</v>
      </c>
      <c r="C13" s="42">
        <v>12</v>
      </c>
      <c r="F13" s="43">
        <v>9</v>
      </c>
      <c r="G13" s="93" t="s">
        <v>50</v>
      </c>
      <c r="H13" s="42" t="s">
        <v>40</v>
      </c>
      <c r="J13" s="43">
        <v>12</v>
      </c>
      <c r="K13" s="93" t="s">
        <v>38</v>
      </c>
      <c r="L13" s="42">
        <v>135</v>
      </c>
      <c r="N13" s="43">
        <v>12</v>
      </c>
      <c r="O13" s="93" t="s">
        <v>51</v>
      </c>
      <c r="P13" s="42">
        <v>12</v>
      </c>
    </row>
    <row r="14" spans="1:16" x14ac:dyDescent="0.25">
      <c r="A14" s="43">
        <v>6</v>
      </c>
      <c r="B14" s="93" t="s">
        <v>56</v>
      </c>
      <c r="C14" s="42">
        <v>11</v>
      </c>
      <c r="F14" s="43">
        <v>9</v>
      </c>
      <c r="G14" s="353" t="s">
        <v>9</v>
      </c>
      <c r="H14" s="42" t="s">
        <v>40</v>
      </c>
      <c r="J14" s="43">
        <v>13</v>
      </c>
      <c r="K14" s="353" t="s">
        <v>9</v>
      </c>
      <c r="L14" s="42">
        <v>119</v>
      </c>
      <c r="N14" s="43">
        <v>12</v>
      </c>
      <c r="O14" s="93" t="s">
        <v>55</v>
      </c>
      <c r="P14" s="42">
        <v>12</v>
      </c>
    </row>
    <row r="15" spans="1:16" x14ac:dyDescent="0.25">
      <c r="A15" s="43">
        <v>6</v>
      </c>
      <c r="B15" s="93" t="s">
        <v>60</v>
      </c>
      <c r="C15" s="42">
        <v>11</v>
      </c>
      <c r="F15" s="43">
        <v>9</v>
      </c>
      <c r="G15" s="444" t="s">
        <v>181</v>
      </c>
      <c r="H15" s="42" t="s">
        <v>40</v>
      </c>
      <c r="J15" s="43">
        <v>14</v>
      </c>
      <c r="K15" s="93" t="s">
        <v>39</v>
      </c>
      <c r="L15" s="42">
        <v>111</v>
      </c>
      <c r="N15" s="43">
        <v>14</v>
      </c>
      <c r="O15" s="93" t="s">
        <v>58</v>
      </c>
      <c r="P15" s="42">
        <v>11</v>
      </c>
    </row>
    <row r="16" spans="1:16" x14ac:dyDescent="0.25">
      <c r="A16" s="43">
        <v>8</v>
      </c>
      <c r="B16" s="353" t="s">
        <v>65</v>
      </c>
      <c r="C16" s="42">
        <v>9</v>
      </c>
      <c r="F16" s="43">
        <v>15</v>
      </c>
      <c r="G16" s="93" t="s">
        <v>53</v>
      </c>
      <c r="H16" s="42" t="s">
        <v>54</v>
      </c>
      <c r="J16" s="43">
        <v>15</v>
      </c>
      <c r="K16" s="93" t="s">
        <v>47</v>
      </c>
      <c r="L16" s="42">
        <v>105</v>
      </c>
      <c r="N16" s="43">
        <v>14</v>
      </c>
      <c r="O16" s="93" t="s">
        <v>56</v>
      </c>
      <c r="P16" s="42">
        <v>11</v>
      </c>
    </row>
    <row r="17" spans="1:16" x14ac:dyDescent="0.25">
      <c r="A17" s="43">
        <v>8</v>
      </c>
      <c r="B17" s="93" t="s">
        <v>62</v>
      </c>
      <c r="C17" s="42">
        <v>6</v>
      </c>
      <c r="F17" s="43">
        <v>15</v>
      </c>
      <c r="G17" s="93" t="s">
        <v>57</v>
      </c>
      <c r="H17" s="42" t="s">
        <v>54</v>
      </c>
      <c r="J17" s="43">
        <v>16</v>
      </c>
      <c r="K17" s="93" t="s">
        <v>42</v>
      </c>
      <c r="L17" s="42">
        <v>93</v>
      </c>
      <c r="N17" s="43">
        <v>16</v>
      </c>
      <c r="O17" s="93" t="s">
        <v>67</v>
      </c>
      <c r="P17" s="42">
        <v>8</v>
      </c>
    </row>
    <row r="18" spans="1:16" x14ac:dyDescent="0.25">
      <c r="A18" s="43">
        <v>10</v>
      </c>
      <c r="B18" s="93" t="s">
        <v>69</v>
      </c>
      <c r="C18" s="42">
        <v>4</v>
      </c>
      <c r="F18" s="43">
        <v>15</v>
      </c>
      <c r="G18" s="93" t="s">
        <v>61</v>
      </c>
      <c r="H18" s="42" t="s">
        <v>54</v>
      </c>
      <c r="J18" s="43">
        <v>16</v>
      </c>
      <c r="K18" s="353" t="s">
        <v>49</v>
      </c>
      <c r="L18" s="42">
        <v>93</v>
      </c>
      <c r="N18" s="43">
        <v>16</v>
      </c>
      <c r="O18" s="93" t="s">
        <v>73</v>
      </c>
      <c r="P18" s="42">
        <v>8</v>
      </c>
    </row>
    <row r="19" spans="1:16" x14ac:dyDescent="0.25">
      <c r="A19" s="43">
        <v>11</v>
      </c>
      <c r="B19" s="93" t="s">
        <v>75</v>
      </c>
      <c r="C19" s="42">
        <v>3</v>
      </c>
      <c r="F19" s="43">
        <v>15</v>
      </c>
      <c r="G19" s="93" t="s">
        <v>63</v>
      </c>
      <c r="H19" s="42" t="s">
        <v>54</v>
      </c>
      <c r="J19" s="43">
        <v>18</v>
      </c>
      <c r="K19" s="353" t="s">
        <v>68</v>
      </c>
      <c r="L19" s="42">
        <v>91</v>
      </c>
      <c r="N19" s="43">
        <v>16</v>
      </c>
      <c r="O19" s="93" t="s">
        <v>77</v>
      </c>
      <c r="P19" s="42">
        <v>8</v>
      </c>
    </row>
    <row r="20" spans="1:16" x14ac:dyDescent="0.25">
      <c r="A20" s="43">
        <v>12</v>
      </c>
      <c r="B20" s="93" t="s">
        <v>78</v>
      </c>
      <c r="C20" s="42">
        <v>2</v>
      </c>
      <c r="F20" s="43">
        <v>15</v>
      </c>
      <c r="G20" s="93" t="s">
        <v>7</v>
      </c>
      <c r="H20" s="42" t="s">
        <v>54</v>
      </c>
      <c r="J20" s="43">
        <v>19</v>
      </c>
      <c r="K20" s="93" t="s">
        <v>66</v>
      </c>
      <c r="L20" s="42">
        <v>83</v>
      </c>
      <c r="N20" s="43">
        <v>19</v>
      </c>
      <c r="O20" s="93" t="s">
        <v>80</v>
      </c>
      <c r="P20" s="42">
        <v>7</v>
      </c>
    </row>
    <row r="21" spans="1:16" x14ac:dyDescent="0.25">
      <c r="A21" s="43">
        <v>12</v>
      </c>
      <c r="B21" s="93" t="s">
        <v>81</v>
      </c>
      <c r="C21" s="42">
        <v>2</v>
      </c>
      <c r="F21" s="43">
        <v>15</v>
      </c>
      <c r="G21" s="444" t="s">
        <v>182</v>
      </c>
      <c r="H21" s="42" t="s">
        <v>54</v>
      </c>
      <c r="J21" s="43">
        <v>20</v>
      </c>
      <c r="K21" s="353" t="s">
        <v>74</v>
      </c>
      <c r="L21" s="42">
        <v>82</v>
      </c>
      <c r="N21" s="43">
        <v>19</v>
      </c>
      <c r="O21" s="93" t="s">
        <v>84</v>
      </c>
      <c r="P21" s="42">
        <v>7</v>
      </c>
    </row>
    <row r="22" spans="1:16" x14ac:dyDescent="0.25">
      <c r="A22" s="43">
        <v>14</v>
      </c>
      <c r="B22" s="93" t="s">
        <v>85</v>
      </c>
      <c r="C22" s="42">
        <v>1</v>
      </c>
      <c r="F22" s="43">
        <v>15</v>
      </c>
      <c r="G22" s="444" t="s">
        <v>14</v>
      </c>
      <c r="H22" s="42" t="s">
        <v>54</v>
      </c>
      <c r="J22" s="43">
        <v>20</v>
      </c>
      <c r="K22" s="353" t="s">
        <v>27</v>
      </c>
      <c r="L22" s="42">
        <v>82</v>
      </c>
      <c r="N22" s="43">
        <v>19</v>
      </c>
      <c r="O22" s="93" t="s">
        <v>59</v>
      </c>
      <c r="P22" s="42">
        <v>7</v>
      </c>
    </row>
    <row r="23" spans="1:16" x14ac:dyDescent="0.25">
      <c r="A23" s="43">
        <v>14</v>
      </c>
      <c r="B23" s="93" t="s">
        <v>87</v>
      </c>
      <c r="C23" s="42">
        <v>1</v>
      </c>
      <c r="F23" s="43">
        <v>22</v>
      </c>
      <c r="G23" s="93" t="s">
        <v>70</v>
      </c>
      <c r="H23" s="42" t="s">
        <v>71</v>
      </c>
      <c r="J23" s="43">
        <v>22</v>
      </c>
      <c r="K23" s="93" t="s">
        <v>72</v>
      </c>
      <c r="L23" s="42">
        <v>78</v>
      </c>
      <c r="N23" s="43">
        <v>22</v>
      </c>
      <c r="O23" s="93" t="s">
        <v>89</v>
      </c>
      <c r="P23" s="42">
        <v>6</v>
      </c>
    </row>
    <row r="24" spans="1:16" x14ac:dyDescent="0.25">
      <c r="A24" s="43">
        <v>14</v>
      </c>
      <c r="B24" s="93" t="s">
        <v>90</v>
      </c>
      <c r="C24" s="42">
        <v>1</v>
      </c>
      <c r="F24" s="43">
        <v>22</v>
      </c>
      <c r="G24" s="93" t="s">
        <v>76</v>
      </c>
      <c r="H24" s="42" t="s">
        <v>71</v>
      </c>
      <c r="J24" s="43">
        <v>23</v>
      </c>
      <c r="K24" s="93" t="s">
        <v>61</v>
      </c>
      <c r="L24" s="42">
        <v>67</v>
      </c>
      <c r="N24" s="43">
        <v>22</v>
      </c>
      <c r="O24" s="93" t="s">
        <v>91</v>
      </c>
      <c r="P24" s="42">
        <v>6</v>
      </c>
    </row>
    <row r="25" spans="1:16" x14ac:dyDescent="0.25">
      <c r="A25" s="43">
        <v>14</v>
      </c>
      <c r="B25" s="93" t="s">
        <v>92</v>
      </c>
      <c r="C25" s="42">
        <v>1</v>
      </c>
      <c r="F25" s="43">
        <v>22</v>
      </c>
      <c r="G25" s="93" t="s">
        <v>79</v>
      </c>
      <c r="H25" s="42" t="s">
        <v>71</v>
      </c>
      <c r="J25" s="43">
        <v>24</v>
      </c>
      <c r="K25" s="93" t="s">
        <v>8</v>
      </c>
      <c r="L25" s="42">
        <v>64</v>
      </c>
      <c r="N25" s="43">
        <v>22</v>
      </c>
      <c r="O25" s="93" t="s">
        <v>38</v>
      </c>
      <c r="P25" s="42">
        <v>6</v>
      </c>
    </row>
    <row r="26" spans="1:16" x14ac:dyDescent="0.25">
      <c r="A26" s="43">
        <v>14</v>
      </c>
      <c r="B26" s="93" t="s">
        <v>93</v>
      </c>
      <c r="C26" s="42">
        <v>1</v>
      </c>
      <c r="F26" s="43">
        <v>22</v>
      </c>
      <c r="G26" s="93" t="s">
        <v>82</v>
      </c>
      <c r="H26" s="42" t="s">
        <v>71</v>
      </c>
      <c r="J26" s="43">
        <v>25</v>
      </c>
      <c r="K26" s="93" t="s">
        <v>83</v>
      </c>
      <c r="L26" s="42">
        <v>60</v>
      </c>
    </row>
    <row r="27" spans="1:16" x14ac:dyDescent="0.25">
      <c r="A27" s="43">
        <v>14</v>
      </c>
      <c r="B27" s="93" t="s">
        <v>95</v>
      </c>
      <c r="C27" s="42">
        <v>1</v>
      </c>
      <c r="F27" s="43">
        <v>22</v>
      </c>
      <c r="G27" s="93" t="s">
        <v>86</v>
      </c>
      <c r="H27" s="42" t="s">
        <v>71</v>
      </c>
      <c r="J27" s="43">
        <v>25</v>
      </c>
      <c r="K27" s="93" t="s">
        <v>63</v>
      </c>
      <c r="L27" s="42">
        <v>60</v>
      </c>
    </row>
    <row r="28" spans="1:16" x14ac:dyDescent="0.25">
      <c r="A28" s="43">
        <v>14</v>
      </c>
      <c r="B28" s="93" t="s">
        <v>98</v>
      </c>
      <c r="C28" s="42">
        <v>1</v>
      </c>
      <c r="F28" s="43">
        <v>22</v>
      </c>
      <c r="G28" s="93" t="s">
        <v>66</v>
      </c>
      <c r="H28" s="42" t="s">
        <v>71</v>
      </c>
      <c r="J28" s="43">
        <v>27</v>
      </c>
      <c r="K28" s="93" t="s">
        <v>88</v>
      </c>
      <c r="L28" s="42">
        <v>58</v>
      </c>
    </row>
    <row r="29" spans="1:16" x14ac:dyDescent="0.25">
      <c r="A29" s="43">
        <v>14</v>
      </c>
      <c r="B29" s="93" t="s">
        <v>100</v>
      </c>
      <c r="C29" s="42">
        <v>1</v>
      </c>
      <c r="F29" s="43">
        <v>22</v>
      </c>
      <c r="G29" s="93" t="s">
        <v>72</v>
      </c>
      <c r="H29" s="42" t="s">
        <v>71</v>
      </c>
      <c r="J29" s="43">
        <v>28</v>
      </c>
      <c r="K29" s="93" t="s">
        <v>41</v>
      </c>
      <c r="L29" s="42">
        <v>57</v>
      </c>
    </row>
    <row r="30" spans="1:16" x14ac:dyDescent="0.25">
      <c r="A30" s="43">
        <v>14</v>
      </c>
      <c r="B30" s="93" t="s">
        <v>102</v>
      </c>
      <c r="C30" s="42">
        <v>1</v>
      </c>
      <c r="F30" s="43">
        <v>22</v>
      </c>
      <c r="G30" s="93" t="s">
        <v>83</v>
      </c>
      <c r="H30" s="42" t="s">
        <v>71</v>
      </c>
      <c r="J30" s="43">
        <v>28</v>
      </c>
      <c r="K30" s="93" t="s">
        <v>10</v>
      </c>
      <c r="L30" s="42">
        <v>57</v>
      </c>
    </row>
    <row r="31" spans="1:16" x14ac:dyDescent="0.25">
      <c r="A31" s="43">
        <v>14</v>
      </c>
      <c r="B31" s="93" t="s">
        <v>105</v>
      </c>
      <c r="C31" s="42">
        <v>1</v>
      </c>
      <c r="F31" s="43">
        <v>22</v>
      </c>
      <c r="G31" s="93" t="s">
        <v>94</v>
      </c>
      <c r="H31" s="42" t="s">
        <v>71</v>
      </c>
      <c r="J31" s="43">
        <v>30</v>
      </c>
      <c r="K31" s="93" t="s">
        <v>97</v>
      </c>
      <c r="L31" s="42">
        <v>56</v>
      </c>
    </row>
    <row r="32" spans="1:16" x14ac:dyDescent="0.25">
      <c r="A32" s="43">
        <v>14</v>
      </c>
      <c r="B32" s="93" t="s">
        <v>107</v>
      </c>
      <c r="C32" s="42">
        <v>1</v>
      </c>
      <c r="F32" s="43">
        <v>22</v>
      </c>
      <c r="G32" s="93" t="s">
        <v>96</v>
      </c>
      <c r="H32" s="42" t="s">
        <v>71</v>
      </c>
      <c r="J32" s="43">
        <v>30</v>
      </c>
      <c r="K32" s="93" t="s">
        <v>76</v>
      </c>
      <c r="L32" s="42">
        <v>56</v>
      </c>
    </row>
    <row r="33" spans="6:12" x14ac:dyDescent="0.25">
      <c r="F33" s="43">
        <v>22</v>
      </c>
      <c r="G33" s="93" t="s">
        <v>99</v>
      </c>
      <c r="H33" s="42" t="s">
        <v>71</v>
      </c>
      <c r="J33" s="43">
        <v>32</v>
      </c>
      <c r="K33" s="93" t="s">
        <v>36</v>
      </c>
      <c r="L33" s="42">
        <v>54</v>
      </c>
    </row>
    <row r="34" spans="6:12" x14ac:dyDescent="0.25">
      <c r="F34" s="43">
        <v>22</v>
      </c>
      <c r="G34" s="93" t="s">
        <v>101</v>
      </c>
      <c r="H34" s="42" t="s">
        <v>71</v>
      </c>
      <c r="J34" s="43">
        <v>33</v>
      </c>
      <c r="K34" s="54" t="s">
        <v>104</v>
      </c>
      <c r="L34" s="42">
        <v>52</v>
      </c>
    </row>
    <row r="35" spans="6:12" x14ac:dyDescent="0.25">
      <c r="F35" s="43">
        <v>22</v>
      </c>
      <c r="G35" s="93" t="s">
        <v>103</v>
      </c>
      <c r="H35" s="42" t="s">
        <v>71</v>
      </c>
      <c r="J35" s="43">
        <v>34</v>
      </c>
      <c r="K35" s="93" t="s">
        <v>99</v>
      </c>
      <c r="L35" s="42">
        <v>51</v>
      </c>
    </row>
    <row r="36" spans="6:12" x14ac:dyDescent="0.25">
      <c r="F36" s="43">
        <v>22</v>
      </c>
      <c r="G36" s="93" t="s">
        <v>106</v>
      </c>
      <c r="H36" s="42" t="s">
        <v>71</v>
      </c>
      <c r="J36" s="43">
        <v>34</v>
      </c>
      <c r="K36" s="93" t="s">
        <v>77</v>
      </c>
      <c r="L36" s="42">
        <v>51</v>
      </c>
    </row>
    <row r="37" spans="6:12" x14ac:dyDescent="0.25">
      <c r="F37" s="43">
        <v>22</v>
      </c>
      <c r="G37" s="353" t="s">
        <v>49</v>
      </c>
      <c r="H37" s="42" t="s">
        <v>71</v>
      </c>
    </row>
    <row r="38" spans="6:12" x14ac:dyDescent="0.25">
      <c r="F38" s="43">
        <v>22</v>
      </c>
      <c r="G38" s="353" t="s">
        <v>27</v>
      </c>
      <c r="H38" s="42" t="s">
        <v>71</v>
      </c>
    </row>
    <row r="39" spans="6:12" x14ac:dyDescent="0.25">
      <c r="F39" s="43">
        <v>22</v>
      </c>
      <c r="G39" s="93" t="s">
        <v>918</v>
      </c>
      <c r="H39" s="42" t="s">
        <v>71</v>
      </c>
    </row>
    <row r="40" spans="6:12" x14ac:dyDescent="0.25">
      <c r="F40" s="43">
        <v>22</v>
      </c>
      <c r="G40" s="93" t="s">
        <v>19</v>
      </c>
      <c r="H40" s="42" t="s">
        <v>71</v>
      </c>
    </row>
  </sheetData>
  <mergeCells count="4">
    <mergeCell ref="B8:C8"/>
    <mergeCell ref="G1:H1"/>
    <mergeCell ref="K1:L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topLeftCell="A2" zoomScale="90" workbookViewId="0">
      <selection activeCell="N32" sqref="N32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360" t="s">
        <v>696</v>
      </c>
      <c r="N1" s="360" t="s">
        <v>697</v>
      </c>
      <c r="O1" s="360" t="s">
        <v>698</v>
      </c>
      <c r="P1" s="360" t="s">
        <v>699</v>
      </c>
      <c r="Q1" s="360" t="s">
        <v>700</v>
      </c>
      <c r="R1" s="360" t="s">
        <v>701</v>
      </c>
      <c r="S1" s="360" t="s">
        <v>702</v>
      </c>
      <c r="U1" s="360" t="s">
        <v>703</v>
      </c>
    </row>
    <row r="2" spans="1:36" x14ac:dyDescent="0.25">
      <c r="C2" s="361" t="s">
        <v>704</v>
      </c>
      <c r="D2" s="487" t="s">
        <v>705</v>
      </c>
      <c r="E2" s="487"/>
      <c r="F2" s="488" t="s">
        <v>706</v>
      </c>
      <c r="G2" s="488"/>
      <c r="H2" s="489" t="s">
        <v>707</v>
      </c>
      <c r="I2" s="489"/>
      <c r="K2" s="54"/>
      <c r="M2" s="362">
        <v>11</v>
      </c>
      <c r="N2" s="363">
        <v>14.98</v>
      </c>
      <c r="O2" s="363">
        <v>5.95</v>
      </c>
      <c r="P2" s="364">
        <f t="shared" ref="P2:P12" si="0">U2*0.97</f>
        <v>5.3253000000000004</v>
      </c>
      <c r="Q2" s="363">
        <v>0.68000000000000016</v>
      </c>
      <c r="R2" s="365">
        <v>27.09</v>
      </c>
      <c r="U2" s="363">
        <v>5.49</v>
      </c>
    </row>
    <row r="3" spans="1:36" x14ac:dyDescent="0.25">
      <c r="A3" s="366" t="s">
        <v>708</v>
      </c>
      <c r="B3" s="367">
        <f>B4+B5+B6+B7</f>
        <v>54000</v>
      </c>
      <c r="C3" s="368">
        <f>C4+C5+C6+C7</f>
        <v>58283</v>
      </c>
      <c r="D3" s="18" t="s">
        <v>709</v>
      </c>
      <c r="E3" s="18" t="s">
        <v>710</v>
      </c>
      <c r="F3" s="18" t="s">
        <v>709</v>
      </c>
      <c r="G3" s="18" t="s">
        <v>711</v>
      </c>
      <c r="H3" s="18" t="s">
        <v>709</v>
      </c>
      <c r="I3" s="369" t="s">
        <v>712</v>
      </c>
      <c r="J3" s="18" t="s">
        <v>713</v>
      </c>
      <c r="K3" s="18" t="s">
        <v>714</v>
      </c>
      <c r="M3" s="362">
        <v>10</v>
      </c>
      <c r="N3" s="370">
        <v>14.23</v>
      </c>
      <c r="O3" s="370">
        <v>5.59</v>
      </c>
      <c r="P3" s="364">
        <f t="shared" si="0"/>
        <v>4.9179000000000004</v>
      </c>
      <c r="Q3" s="370">
        <v>0.62</v>
      </c>
      <c r="R3" s="371">
        <v>25.52</v>
      </c>
      <c r="U3" s="370">
        <v>5.07</v>
      </c>
    </row>
    <row r="4" spans="1:36" x14ac:dyDescent="0.25">
      <c r="A4" s="366" t="s">
        <v>715</v>
      </c>
      <c r="B4" s="367">
        <v>28944</v>
      </c>
      <c r="C4" s="372">
        <v>33353</v>
      </c>
      <c r="D4" s="373">
        <v>45</v>
      </c>
      <c r="E4" s="374">
        <f>D4*(C4-B4)</f>
        <v>198405</v>
      </c>
      <c r="F4" s="375">
        <v>0.5</v>
      </c>
      <c r="G4" s="374">
        <f>(C4-B4)*F4</f>
        <v>2204.5</v>
      </c>
      <c r="H4" s="375">
        <v>7</v>
      </c>
      <c r="I4" s="376">
        <f>(C4-B4)*H4</f>
        <v>30863</v>
      </c>
      <c r="J4" s="374">
        <f>H4*C4</f>
        <v>233471</v>
      </c>
      <c r="K4" s="18">
        <f>B4*F4</f>
        <v>14472</v>
      </c>
      <c r="L4" s="27">
        <f>5000*N13*F4</f>
        <v>1382.4289405684756</v>
      </c>
      <c r="M4" s="362">
        <v>9</v>
      </c>
      <c r="N4" s="363">
        <v>13.49</v>
      </c>
      <c r="O4" s="363">
        <v>5.24</v>
      </c>
      <c r="P4" s="364">
        <f t="shared" si="0"/>
        <v>4.5202</v>
      </c>
      <c r="Q4" s="363">
        <v>0.56999999999999995</v>
      </c>
      <c r="R4" s="365">
        <v>23.95</v>
      </c>
      <c r="U4" s="363">
        <v>4.66</v>
      </c>
    </row>
    <row r="5" spans="1:36" x14ac:dyDescent="0.25">
      <c r="A5" s="366" t="s">
        <v>716</v>
      </c>
      <c r="B5" s="367">
        <v>12420</v>
      </c>
      <c r="C5" s="377">
        <v>12802</v>
      </c>
      <c r="D5" s="378">
        <v>75</v>
      </c>
      <c r="E5" s="374">
        <f>D5*(C5-B5)</f>
        <v>28650</v>
      </c>
      <c r="F5" s="379">
        <v>0.7</v>
      </c>
      <c r="G5" s="374">
        <f>(C5-B5)*F5</f>
        <v>267.39999999999998</v>
      </c>
      <c r="H5" s="379">
        <v>10</v>
      </c>
      <c r="I5" s="376">
        <f>(C5-B5)*H5</f>
        <v>3820</v>
      </c>
      <c r="J5" s="374">
        <f>H5*C5</f>
        <v>128020</v>
      </c>
      <c r="K5" s="18">
        <f>B5*F5</f>
        <v>8694</v>
      </c>
      <c r="L5" s="27">
        <f>5000*O13*F5</f>
        <v>768.73385012919903</v>
      </c>
      <c r="M5" s="362">
        <v>8</v>
      </c>
      <c r="N5" s="370">
        <v>12.74</v>
      </c>
      <c r="O5" s="370">
        <v>4.8899999999999997</v>
      </c>
      <c r="P5" s="364">
        <f t="shared" si="0"/>
        <v>4.1224999999999996</v>
      </c>
      <c r="Q5" s="370">
        <v>0.51</v>
      </c>
      <c r="R5" s="371">
        <v>22.39</v>
      </c>
      <c r="U5" s="370">
        <v>4.25</v>
      </c>
    </row>
    <row r="6" spans="1:36" x14ac:dyDescent="0.25">
      <c r="A6" s="366" t="s">
        <v>717</v>
      </c>
      <c r="B6" s="367">
        <v>11448</v>
      </c>
      <c r="C6" s="377">
        <v>10793</v>
      </c>
      <c r="D6" s="373">
        <v>90</v>
      </c>
      <c r="E6" s="374">
        <f>D6*(C6-B6)</f>
        <v>-58950</v>
      </c>
      <c r="F6" s="375">
        <v>1</v>
      </c>
      <c r="G6" s="374">
        <f>(C6-B6)*F6</f>
        <v>-655</v>
      </c>
      <c r="H6" s="375">
        <v>19</v>
      </c>
      <c r="I6" s="376">
        <f>(C6-B6)*H6</f>
        <v>-12445</v>
      </c>
      <c r="J6" s="374">
        <f>H6*C6</f>
        <v>205067</v>
      </c>
      <c r="K6" s="18">
        <f>B6*F6</f>
        <v>11448</v>
      </c>
      <c r="L6" s="27">
        <f>5000*P13*F6</f>
        <v>982.89036544850512</v>
      </c>
      <c r="M6" s="362">
        <v>7</v>
      </c>
      <c r="N6" s="363">
        <v>12</v>
      </c>
      <c r="O6" s="363">
        <v>4.53</v>
      </c>
      <c r="P6" s="364">
        <f t="shared" si="0"/>
        <v>3.7247999999999997</v>
      </c>
      <c r="Q6" s="363">
        <v>0.46000000000000008</v>
      </c>
      <c r="R6" s="365">
        <v>20.83</v>
      </c>
      <c r="U6" s="363">
        <v>3.84</v>
      </c>
    </row>
    <row r="7" spans="1:36" x14ac:dyDescent="0.25">
      <c r="A7" s="366" t="s">
        <v>718</v>
      </c>
      <c r="B7" s="367">
        <v>1188</v>
      </c>
      <c r="C7" s="380">
        <v>1335</v>
      </c>
      <c r="D7" s="378">
        <v>300</v>
      </c>
      <c r="E7" s="374">
        <f>D7*(C7-B7)</f>
        <v>44100</v>
      </c>
      <c r="F7" s="379">
        <v>2.5</v>
      </c>
      <c r="G7" s="374">
        <f>(C7-B7)*F7</f>
        <v>367.5</v>
      </c>
      <c r="H7" s="379">
        <v>35</v>
      </c>
      <c r="I7" s="376">
        <f>(C7-B7)*H7</f>
        <v>5145</v>
      </c>
      <c r="J7" s="374">
        <f>H7*C7</f>
        <v>46725</v>
      </c>
      <c r="K7" s="18">
        <f>B7*F7</f>
        <v>2970</v>
      </c>
      <c r="L7" s="27">
        <f>5000*Q13*F7</f>
        <v>313.76891842008126</v>
      </c>
      <c r="M7" s="362">
        <v>6</v>
      </c>
      <c r="N7" s="370">
        <v>11.26</v>
      </c>
      <c r="O7" s="370">
        <v>4.17</v>
      </c>
      <c r="P7" s="364">
        <f t="shared" si="0"/>
        <v>3.3367999999999998</v>
      </c>
      <c r="Q7" s="370">
        <v>0.41</v>
      </c>
      <c r="R7" s="371">
        <v>19.27</v>
      </c>
      <c r="U7" s="370">
        <v>3.44</v>
      </c>
    </row>
    <row r="8" spans="1:36" x14ac:dyDescent="0.25">
      <c r="C8" s="381">
        <f>C4/$C$3</f>
        <v>0.57225949247636532</v>
      </c>
      <c r="J8" s="374">
        <f>J7+J6+J5+J4</f>
        <v>613283</v>
      </c>
      <c r="K8" s="18">
        <f>K7+K6+K5+K4</f>
        <v>37584</v>
      </c>
      <c r="L8" s="18">
        <f>L7+L6+L5+L4</f>
        <v>3447.8220745662611</v>
      </c>
      <c r="M8" s="362">
        <v>5</v>
      </c>
      <c r="N8" s="363">
        <v>10.52</v>
      </c>
      <c r="O8" s="363">
        <v>3.81</v>
      </c>
      <c r="P8" s="364">
        <f t="shared" si="0"/>
        <v>2.9390999999999998</v>
      </c>
      <c r="Q8" s="363">
        <v>0.35</v>
      </c>
      <c r="R8" s="365">
        <v>17.719999999999995</v>
      </c>
      <c r="U8" s="363">
        <v>3.03</v>
      </c>
    </row>
    <row r="9" spans="1:36" x14ac:dyDescent="0.25">
      <c r="C9" s="382">
        <f>C5/$C$3</f>
        <v>0.21965238577286689</v>
      </c>
      <c r="E9" s="25">
        <f>C4-B4</f>
        <v>4409</v>
      </c>
      <c r="H9">
        <f>H10+H11+H12+H13</f>
        <v>71304</v>
      </c>
      <c r="M9" s="362">
        <v>4</v>
      </c>
      <c r="N9" s="370">
        <v>9.8000000000000007</v>
      </c>
      <c r="O9" s="370">
        <v>3.46</v>
      </c>
      <c r="P9" s="364">
        <f t="shared" si="0"/>
        <v>2.5510999999999999</v>
      </c>
      <c r="Q9" s="370">
        <v>0.3</v>
      </c>
      <c r="R9" s="371">
        <v>16.170000000000002</v>
      </c>
      <c r="U9" s="370">
        <v>2.63</v>
      </c>
    </row>
    <row r="10" spans="1:36" x14ac:dyDescent="0.25">
      <c r="B10" s="383">
        <f>B11/B13</f>
        <v>4.5003487770302199E-2</v>
      </c>
      <c r="C10" s="382">
        <f>C6/$C$3</f>
        <v>0.18518264330936979</v>
      </c>
      <c r="E10" s="25">
        <f>C5-B5</f>
        <v>382</v>
      </c>
      <c r="H10">
        <v>40146</v>
      </c>
      <c r="I10" s="58">
        <f>H10/$H$9</f>
        <v>0.56302591719959605</v>
      </c>
      <c r="M10" s="362">
        <v>3</v>
      </c>
      <c r="N10" s="363">
        <v>9.09</v>
      </c>
      <c r="O10" s="363">
        <v>3.1</v>
      </c>
      <c r="P10" s="364">
        <f t="shared" si="0"/>
        <v>2.1436999999999999</v>
      </c>
      <c r="Q10" s="363">
        <v>0.24</v>
      </c>
      <c r="R10" s="365">
        <v>14.63</v>
      </c>
      <c r="U10" s="363">
        <v>2.21</v>
      </c>
    </row>
    <row r="11" spans="1:36" x14ac:dyDescent="0.25">
      <c r="A11" s="341" t="s">
        <v>719</v>
      </c>
      <c r="B11" s="384">
        <v>10000</v>
      </c>
      <c r="C11" s="382">
        <f>C7/$C$3</f>
        <v>2.2905478441398005E-2</v>
      </c>
      <c r="E11" s="25">
        <f>C6-B6</f>
        <v>-655</v>
      </c>
      <c r="H11">
        <v>15594</v>
      </c>
      <c r="I11" s="58">
        <f>H11/$H$9</f>
        <v>0.21869740828004039</v>
      </c>
      <c r="M11" s="362">
        <v>2</v>
      </c>
      <c r="N11" s="370">
        <v>8.42</v>
      </c>
      <c r="O11" s="370">
        <v>2.73</v>
      </c>
      <c r="P11" s="364">
        <f t="shared" si="0"/>
        <v>1.7168999999999999</v>
      </c>
      <c r="Q11" s="370">
        <v>0.17999999999999997</v>
      </c>
      <c r="R11" s="371">
        <v>13.090000000000002</v>
      </c>
      <c r="U11" s="370">
        <v>1.77</v>
      </c>
    </row>
    <row r="12" spans="1:36" x14ac:dyDescent="0.25">
      <c r="A12" s="341" t="s">
        <v>720</v>
      </c>
      <c r="B12" s="385">
        <f>E7+E6+E5+E4</f>
        <v>212205</v>
      </c>
      <c r="E12" s="25">
        <f>C7-B7</f>
        <v>147</v>
      </c>
      <c r="H12">
        <v>13868</v>
      </c>
      <c r="I12" s="58">
        <f>H12/$H$9</f>
        <v>0.19449119263996409</v>
      </c>
      <c r="M12" s="362">
        <v>1</v>
      </c>
      <c r="N12" s="363">
        <v>7.8499999999999988</v>
      </c>
      <c r="O12" s="363">
        <v>2.34</v>
      </c>
      <c r="P12" s="364">
        <f t="shared" si="0"/>
        <v>1.1931</v>
      </c>
      <c r="Q12" s="363">
        <v>0.1</v>
      </c>
      <c r="R12" s="365">
        <v>11.53</v>
      </c>
      <c r="U12" s="363">
        <v>1.23</v>
      </c>
    </row>
    <row r="13" spans="1:36" x14ac:dyDescent="0.25">
      <c r="A13" s="386" t="s">
        <v>584</v>
      </c>
      <c r="B13" s="387">
        <f>B11+B12</f>
        <v>222205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364">
        <f>P2/R2</f>
        <v>0.19657807308970102</v>
      </c>
      <c r="Q13">
        <f>Q2/R2</f>
        <v>2.5101513473606504E-2</v>
      </c>
    </row>
    <row r="15" spans="1:36" x14ac:dyDescent="0.25">
      <c r="A15" s="43"/>
      <c r="B15" s="388" t="s">
        <v>503</v>
      </c>
      <c r="C15" s="388" t="s">
        <v>504</v>
      </c>
      <c r="D15" s="388" t="s">
        <v>505</v>
      </c>
      <c r="E15" s="388" t="s">
        <v>506</v>
      </c>
      <c r="F15" s="388" t="s">
        <v>507</v>
      </c>
      <c r="G15" s="388" t="s">
        <v>508</v>
      </c>
      <c r="H15" s="388" t="s">
        <v>509</v>
      </c>
      <c r="I15" s="388" t="s">
        <v>510</v>
      </c>
      <c r="J15" s="388" t="s">
        <v>511</v>
      </c>
      <c r="K15" s="388" t="s">
        <v>512</v>
      </c>
      <c r="L15" s="388" t="s">
        <v>513</v>
      </c>
      <c r="M15" s="388" t="s">
        <v>514</v>
      </c>
      <c r="N15" s="388" t="s">
        <v>515</v>
      </c>
      <c r="O15" s="388" t="s">
        <v>516</v>
      </c>
      <c r="P15" s="388" t="s">
        <v>517</v>
      </c>
      <c r="Q15" s="388" t="s">
        <v>518</v>
      </c>
      <c r="R15" s="388" t="s">
        <v>503</v>
      </c>
      <c r="S15" s="388" t="s">
        <v>504</v>
      </c>
      <c r="T15" s="388" t="s">
        <v>505</v>
      </c>
      <c r="U15" s="388" t="s">
        <v>506</v>
      </c>
      <c r="V15" s="388" t="s">
        <v>507</v>
      </c>
      <c r="W15" s="388" t="s">
        <v>508</v>
      </c>
      <c r="X15" s="388" t="s">
        <v>509</v>
      </c>
      <c r="Y15" s="388" t="s">
        <v>510</v>
      </c>
      <c r="Z15" s="388" t="s">
        <v>511</v>
      </c>
      <c r="AA15" s="388" t="s">
        <v>512</v>
      </c>
      <c r="AB15" s="388" t="s">
        <v>513</v>
      </c>
      <c r="AC15" s="388" t="s">
        <v>514</v>
      </c>
      <c r="AD15" s="388" t="s">
        <v>515</v>
      </c>
      <c r="AE15" s="388" t="s">
        <v>516</v>
      </c>
      <c r="AF15" s="388" t="s">
        <v>517</v>
      </c>
      <c r="AG15" s="388" t="s">
        <v>518</v>
      </c>
      <c r="AH15" s="388"/>
      <c r="AI15" s="388"/>
    </row>
    <row r="16" spans="1:36" x14ac:dyDescent="0.25">
      <c r="A16" s="389" t="s">
        <v>721</v>
      </c>
      <c r="B16" s="390">
        <v>2588</v>
      </c>
      <c r="C16" s="390">
        <f t="shared" ref="C16:AG16" si="1">B16+2</f>
        <v>2590</v>
      </c>
      <c r="D16" s="390">
        <f t="shared" si="1"/>
        <v>2592</v>
      </c>
      <c r="E16" s="390">
        <f t="shared" si="1"/>
        <v>2594</v>
      </c>
      <c r="F16" s="390">
        <f t="shared" si="1"/>
        <v>2596</v>
      </c>
      <c r="G16" s="390">
        <f t="shared" si="1"/>
        <v>2598</v>
      </c>
      <c r="H16" s="390">
        <f t="shared" si="1"/>
        <v>2600</v>
      </c>
      <c r="I16" s="390">
        <f t="shared" si="1"/>
        <v>2602</v>
      </c>
      <c r="J16" s="390">
        <f t="shared" si="1"/>
        <v>2604</v>
      </c>
      <c r="K16" s="390">
        <f t="shared" si="1"/>
        <v>2606</v>
      </c>
      <c r="L16" s="390">
        <f t="shared" si="1"/>
        <v>2608</v>
      </c>
      <c r="M16" s="390">
        <f t="shared" si="1"/>
        <v>2610</v>
      </c>
      <c r="N16" s="390">
        <f t="shared" si="1"/>
        <v>2612</v>
      </c>
      <c r="O16" s="390">
        <f t="shared" si="1"/>
        <v>2614</v>
      </c>
      <c r="P16" s="390">
        <f t="shared" si="1"/>
        <v>2616</v>
      </c>
      <c r="Q16" s="390">
        <f t="shared" si="1"/>
        <v>2618</v>
      </c>
      <c r="R16" s="390">
        <f t="shared" si="1"/>
        <v>2620</v>
      </c>
      <c r="S16" s="390">
        <f t="shared" si="1"/>
        <v>2622</v>
      </c>
      <c r="T16" s="390">
        <f t="shared" si="1"/>
        <v>2624</v>
      </c>
      <c r="U16" s="390">
        <f t="shared" si="1"/>
        <v>2626</v>
      </c>
      <c r="V16" s="390">
        <f t="shared" si="1"/>
        <v>2628</v>
      </c>
      <c r="W16" s="390">
        <f t="shared" si="1"/>
        <v>2630</v>
      </c>
      <c r="X16" s="390">
        <f t="shared" si="1"/>
        <v>2632</v>
      </c>
      <c r="Y16" s="390">
        <f t="shared" si="1"/>
        <v>2634</v>
      </c>
      <c r="Z16" s="390">
        <f t="shared" si="1"/>
        <v>2636</v>
      </c>
      <c r="AA16" s="390">
        <f t="shared" si="1"/>
        <v>2638</v>
      </c>
      <c r="AB16" s="390">
        <f t="shared" si="1"/>
        <v>2640</v>
      </c>
      <c r="AC16" s="390">
        <f t="shared" si="1"/>
        <v>2642</v>
      </c>
      <c r="AD16" s="390">
        <f t="shared" si="1"/>
        <v>2644</v>
      </c>
      <c r="AE16" s="390">
        <f t="shared" si="1"/>
        <v>2646</v>
      </c>
      <c r="AF16" s="390">
        <f t="shared" si="1"/>
        <v>2648</v>
      </c>
      <c r="AG16" s="390">
        <f t="shared" si="1"/>
        <v>2650</v>
      </c>
      <c r="AH16" s="390">
        <f>AG16+4</f>
        <v>2654</v>
      </c>
      <c r="AI16" s="390">
        <f>AH16+4</f>
        <v>2658</v>
      </c>
      <c r="AJ16" s="390">
        <f>AI16+4</f>
        <v>2662</v>
      </c>
    </row>
    <row r="17" spans="1:48" s="41" customFormat="1" x14ac:dyDescent="0.25">
      <c r="A17" s="400"/>
      <c r="B17" s="401">
        <f t="shared" ref="B17:AD17" si="2">B18+B19+B20+B21</f>
        <v>57615.35</v>
      </c>
      <c r="C17" s="401">
        <f t="shared" si="2"/>
        <v>57659.875</v>
      </c>
      <c r="D17" s="401">
        <f t="shared" si="2"/>
        <v>57704.399999999994</v>
      </c>
      <c r="E17" s="401">
        <f t="shared" si="2"/>
        <v>57748.925000000003</v>
      </c>
      <c r="F17" s="401">
        <f t="shared" si="2"/>
        <v>57793.44999999999</v>
      </c>
      <c r="G17" s="401">
        <f t="shared" si="2"/>
        <v>57837.975000000006</v>
      </c>
      <c r="H17" s="401">
        <f t="shared" si="2"/>
        <v>57882.5</v>
      </c>
      <c r="I17" s="401">
        <f t="shared" si="2"/>
        <v>57927.025000000001</v>
      </c>
      <c r="J17" s="401">
        <f t="shared" si="2"/>
        <v>57971.549999999996</v>
      </c>
      <c r="K17" s="401">
        <f t="shared" si="2"/>
        <v>58016.074999999997</v>
      </c>
      <c r="L17" s="401">
        <f t="shared" si="2"/>
        <v>58060.599999999991</v>
      </c>
      <c r="M17" s="401">
        <f t="shared" si="2"/>
        <v>58105.125</v>
      </c>
      <c r="N17" s="401">
        <f t="shared" si="2"/>
        <v>58149.65</v>
      </c>
      <c r="O17" s="401">
        <f t="shared" si="2"/>
        <v>58194.174999999996</v>
      </c>
      <c r="P17" s="401">
        <f t="shared" si="2"/>
        <v>58238.700000000004</v>
      </c>
      <c r="Q17" s="401">
        <f t="shared" si="2"/>
        <v>58283.224999999999</v>
      </c>
      <c r="R17" s="401">
        <f t="shared" si="2"/>
        <v>58327.75</v>
      </c>
      <c r="S17" s="401">
        <f t="shared" si="2"/>
        <v>58372.275000000001</v>
      </c>
      <c r="T17" s="401">
        <f t="shared" si="2"/>
        <v>58416.799999999996</v>
      </c>
      <c r="U17" s="401">
        <f t="shared" si="2"/>
        <v>58461.324999999997</v>
      </c>
      <c r="V17" s="401">
        <f t="shared" si="2"/>
        <v>58505.85</v>
      </c>
      <c r="W17" s="401">
        <f t="shared" si="2"/>
        <v>58550.375</v>
      </c>
      <c r="X17" s="401">
        <f t="shared" si="2"/>
        <v>58594.9</v>
      </c>
      <c r="Y17" s="401">
        <f t="shared" si="2"/>
        <v>58639.424999999996</v>
      </c>
      <c r="Z17" s="401">
        <f t="shared" si="2"/>
        <v>58683.95</v>
      </c>
      <c r="AA17" s="401">
        <f t="shared" si="2"/>
        <v>58728.474999999999</v>
      </c>
      <c r="AB17" s="401">
        <f t="shared" si="2"/>
        <v>58773</v>
      </c>
      <c r="AC17" s="401">
        <f t="shared" si="2"/>
        <v>58817.524999999994</v>
      </c>
      <c r="AD17" s="401">
        <f t="shared" si="2"/>
        <v>58862.05</v>
      </c>
      <c r="AE17" s="401"/>
      <c r="AF17" s="401"/>
      <c r="AG17" s="401"/>
      <c r="AH17" s="401"/>
      <c r="AI17" s="401"/>
    </row>
    <row r="18" spans="1:48" x14ac:dyDescent="0.25">
      <c r="A18" s="391" t="s">
        <v>722</v>
      </c>
      <c r="B18" s="392">
        <f t="shared" ref="B18:AK18" si="3">B16*$N$5</f>
        <v>32971.120000000003</v>
      </c>
      <c r="C18" s="392">
        <f t="shared" si="3"/>
        <v>32996.6</v>
      </c>
      <c r="D18" s="392">
        <f t="shared" si="3"/>
        <v>33022.080000000002</v>
      </c>
      <c r="E18" s="392">
        <f t="shared" si="3"/>
        <v>33047.56</v>
      </c>
      <c r="F18" s="392">
        <f t="shared" si="3"/>
        <v>33073.040000000001</v>
      </c>
      <c r="G18" s="392">
        <f t="shared" si="3"/>
        <v>33098.520000000004</v>
      </c>
      <c r="H18" s="392">
        <f t="shared" si="3"/>
        <v>33124</v>
      </c>
      <c r="I18" s="392">
        <f t="shared" si="3"/>
        <v>33149.480000000003</v>
      </c>
      <c r="J18" s="392">
        <f t="shared" si="3"/>
        <v>33174.959999999999</v>
      </c>
      <c r="K18" s="392">
        <f t="shared" si="3"/>
        <v>33200.44</v>
      </c>
      <c r="L18" s="392">
        <f t="shared" si="3"/>
        <v>33225.919999999998</v>
      </c>
      <c r="M18" s="392">
        <f t="shared" si="3"/>
        <v>33251.4</v>
      </c>
      <c r="N18" s="392">
        <f t="shared" si="3"/>
        <v>33276.879999999997</v>
      </c>
      <c r="O18" s="392">
        <f t="shared" si="3"/>
        <v>33302.36</v>
      </c>
      <c r="P18" s="392">
        <f t="shared" si="3"/>
        <v>33327.840000000004</v>
      </c>
      <c r="Q18" s="392">
        <f t="shared" si="3"/>
        <v>33353.32</v>
      </c>
      <c r="R18" s="392">
        <f t="shared" si="3"/>
        <v>33378.800000000003</v>
      </c>
      <c r="S18" s="392">
        <f t="shared" si="3"/>
        <v>33404.28</v>
      </c>
      <c r="T18" s="392">
        <f t="shared" si="3"/>
        <v>33429.760000000002</v>
      </c>
      <c r="U18" s="392">
        <f t="shared" si="3"/>
        <v>33455.24</v>
      </c>
      <c r="V18" s="392">
        <f t="shared" si="3"/>
        <v>33480.720000000001</v>
      </c>
      <c r="W18" s="392">
        <f t="shared" si="3"/>
        <v>33506.199999999997</v>
      </c>
      <c r="X18" s="392">
        <f t="shared" si="3"/>
        <v>33531.68</v>
      </c>
      <c r="Y18" s="392">
        <f t="shared" si="3"/>
        <v>33557.160000000003</v>
      </c>
      <c r="Z18" s="392">
        <f t="shared" si="3"/>
        <v>33582.639999999999</v>
      </c>
      <c r="AA18" s="392">
        <f t="shared" si="3"/>
        <v>33608.120000000003</v>
      </c>
      <c r="AB18" s="392">
        <f t="shared" si="3"/>
        <v>33633.599999999999</v>
      </c>
      <c r="AC18" s="392">
        <f t="shared" si="3"/>
        <v>33659.08</v>
      </c>
      <c r="AD18" s="392">
        <f t="shared" si="3"/>
        <v>33684.559999999998</v>
      </c>
      <c r="AE18" s="392">
        <f t="shared" si="3"/>
        <v>33710.04</v>
      </c>
      <c r="AF18" s="392">
        <f t="shared" si="3"/>
        <v>33735.520000000004</v>
      </c>
      <c r="AG18" s="392">
        <f t="shared" si="3"/>
        <v>33761</v>
      </c>
      <c r="AH18" s="392">
        <f t="shared" si="3"/>
        <v>33811.96</v>
      </c>
      <c r="AI18" s="392">
        <f t="shared" si="3"/>
        <v>33862.92</v>
      </c>
      <c r="AJ18" s="392">
        <f t="shared" si="3"/>
        <v>33913.879999999997</v>
      </c>
      <c r="AK18" s="392">
        <f t="shared" si="3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391" t="s">
        <v>723</v>
      </c>
      <c r="B19" s="392">
        <f t="shared" ref="B19:AK19" si="4">B16*$O$5</f>
        <v>12655.32</v>
      </c>
      <c r="C19" s="392">
        <f t="shared" si="4"/>
        <v>12665.099999999999</v>
      </c>
      <c r="D19" s="392">
        <f t="shared" si="4"/>
        <v>12674.88</v>
      </c>
      <c r="E19" s="392">
        <f t="shared" si="4"/>
        <v>12684.66</v>
      </c>
      <c r="F19" s="392">
        <f t="shared" si="4"/>
        <v>12694.439999999999</v>
      </c>
      <c r="G19" s="392">
        <f t="shared" si="4"/>
        <v>12704.22</v>
      </c>
      <c r="H19" s="392">
        <f t="shared" si="4"/>
        <v>12714</v>
      </c>
      <c r="I19" s="392">
        <f t="shared" si="4"/>
        <v>12723.779999999999</v>
      </c>
      <c r="J19" s="392">
        <f t="shared" si="4"/>
        <v>12733.56</v>
      </c>
      <c r="K19" s="392">
        <f t="shared" si="4"/>
        <v>12743.339999999998</v>
      </c>
      <c r="L19" s="392">
        <f t="shared" si="4"/>
        <v>12753.119999999999</v>
      </c>
      <c r="M19" s="392">
        <f t="shared" si="4"/>
        <v>12762.9</v>
      </c>
      <c r="N19" s="392">
        <f t="shared" si="4"/>
        <v>12772.679999999998</v>
      </c>
      <c r="O19" s="392">
        <f t="shared" si="4"/>
        <v>12782.46</v>
      </c>
      <c r="P19" s="392">
        <f t="shared" si="4"/>
        <v>12792.24</v>
      </c>
      <c r="Q19" s="392">
        <f t="shared" si="4"/>
        <v>12802.019999999999</v>
      </c>
      <c r="R19" s="392">
        <f t="shared" si="4"/>
        <v>12811.8</v>
      </c>
      <c r="S19" s="392">
        <f t="shared" si="4"/>
        <v>12821.58</v>
      </c>
      <c r="T19" s="392">
        <f t="shared" si="4"/>
        <v>12831.359999999999</v>
      </c>
      <c r="U19" s="392">
        <f t="shared" si="4"/>
        <v>12841.14</v>
      </c>
      <c r="V19" s="392">
        <f t="shared" si="4"/>
        <v>12850.919999999998</v>
      </c>
      <c r="W19" s="392">
        <f t="shared" si="4"/>
        <v>12860.699999999999</v>
      </c>
      <c r="X19" s="392">
        <f t="shared" si="4"/>
        <v>12870.48</v>
      </c>
      <c r="Y19" s="392">
        <f t="shared" si="4"/>
        <v>12880.259999999998</v>
      </c>
      <c r="Z19" s="392">
        <f t="shared" si="4"/>
        <v>12890.039999999999</v>
      </c>
      <c r="AA19" s="392">
        <f t="shared" si="4"/>
        <v>12899.82</v>
      </c>
      <c r="AB19" s="392">
        <f t="shared" si="4"/>
        <v>12909.599999999999</v>
      </c>
      <c r="AC19" s="392">
        <f t="shared" si="4"/>
        <v>12919.38</v>
      </c>
      <c r="AD19" s="392">
        <f t="shared" si="4"/>
        <v>12929.16</v>
      </c>
      <c r="AE19" s="392">
        <f t="shared" si="4"/>
        <v>12938.939999999999</v>
      </c>
      <c r="AF19" s="392">
        <f t="shared" si="4"/>
        <v>12948.72</v>
      </c>
      <c r="AG19" s="392">
        <f t="shared" si="4"/>
        <v>12958.5</v>
      </c>
      <c r="AH19" s="392">
        <f t="shared" si="4"/>
        <v>12978.06</v>
      </c>
      <c r="AI19" s="392">
        <f t="shared" si="4"/>
        <v>12997.619999999999</v>
      </c>
      <c r="AJ19" s="392">
        <f t="shared" si="4"/>
        <v>13017.179999999998</v>
      </c>
      <c r="AK19" s="392">
        <f t="shared" si="4"/>
        <v>0</v>
      </c>
    </row>
    <row r="20" spans="1:48" x14ac:dyDescent="0.25">
      <c r="A20" s="391" t="s">
        <v>724</v>
      </c>
      <c r="B20" s="392">
        <f t="shared" ref="B20:AK20" si="5">B16*$P$5</f>
        <v>10669.029999999999</v>
      </c>
      <c r="C20" s="392">
        <f t="shared" si="5"/>
        <v>10677.275</v>
      </c>
      <c r="D20" s="392">
        <f t="shared" si="5"/>
        <v>10685.519999999999</v>
      </c>
      <c r="E20" s="392">
        <f t="shared" si="5"/>
        <v>10693.764999999999</v>
      </c>
      <c r="F20" s="392">
        <f t="shared" si="5"/>
        <v>10702.009999999998</v>
      </c>
      <c r="G20" s="392">
        <f t="shared" si="5"/>
        <v>10710.254999999999</v>
      </c>
      <c r="H20" s="392">
        <f t="shared" si="5"/>
        <v>10718.499999999998</v>
      </c>
      <c r="I20" s="392">
        <f t="shared" si="5"/>
        <v>10726.744999999999</v>
      </c>
      <c r="J20" s="392">
        <f t="shared" si="5"/>
        <v>10734.99</v>
      </c>
      <c r="K20" s="392">
        <f t="shared" si="5"/>
        <v>10743.234999999999</v>
      </c>
      <c r="L20" s="392">
        <f t="shared" si="5"/>
        <v>10751.48</v>
      </c>
      <c r="M20" s="392">
        <f t="shared" si="5"/>
        <v>10759.724999999999</v>
      </c>
      <c r="N20" s="392">
        <f t="shared" si="5"/>
        <v>10767.97</v>
      </c>
      <c r="O20" s="392">
        <f t="shared" si="5"/>
        <v>10776.214999999998</v>
      </c>
      <c r="P20" s="392">
        <f t="shared" si="5"/>
        <v>10784.46</v>
      </c>
      <c r="Q20" s="392">
        <f t="shared" si="5"/>
        <v>10792.704999999998</v>
      </c>
      <c r="R20" s="392">
        <f t="shared" si="5"/>
        <v>10800.949999999999</v>
      </c>
      <c r="S20" s="392">
        <f t="shared" si="5"/>
        <v>10809.195</v>
      </c>
      <c r="T20" s="392">
        <f t="shared" si="5"/>
        <v>10817.439999999999</v>
      </c>
      <c r="U20" s="392">
        <f t="shared" si="5"/>
        <v>10825.684999999999</v>
      </c>
      <c r="V20" s="392">
        <f t="shared" si="5"/>
        <v>10833.929999999998</v>
      </c>
      <c r="W20" s="392">
        <f t="shared" si="5"/>
        <v>10842.174999999999</v>
      </c>
      <c r="X20" s="392">
        <f t="shared" si="5"/>
        <v>10850.419999999998</v>
      </c>
      <c r="Y20" s="392">
        <f t="shared" si="5"/>
        <v>10858.664999999999</v>
      </c>
      <c r="Z20" s="392">
        <f t="shared" si="5"/>
        <v>10866.91</v>
      </c>
      <c r="AA20" s="392">
        <f t="shared" si="5"/>
        <v>10875.154999999999</v>
      </c>
      <c r="AB20" s="392">
        <f t="shared" si="5"/>
        <v>10883.4</v>
      </c>
      <c r="AC20" s="392">
        <f t="shared" si="5"/>
        <v>10891.644999999999</v>
      </c>
      <c r="AD20" s="392">
        <f t="shared" si="5"/>
        <v>10899.89</v>
      </c>
      <c r="AE20" s="392">
        <f t="shared" si="5"/>
        <v>10908.134999999998</v>
      </c>
      <c r="AF20" s="392">
        <f t="shared" si="5"/>
        <v>10916.38</v>
      </c>
      <c r="AG20" s="392">
        <f t="shared" si="5"/>
        <v>10924.624999999998</v>
      </c>
      <c r="AH20" s="392">
        <f t="shared" si="5"/>
        <v>10941.115</v>
      </c>
      <c r="AI20" s="392">
        <f t="shared" si="5"/>
        <v>10957.605</v>
      </c>
      <c r="AJ20" s="392">
        <f t="shared" si="5"/>
        <v>10974.094999999999</v>
      </c>
      <c r="AK20" s="392">
        <f t="shared" si="5"/>
        <v>0</v>
      </c>
    </row>
    <row r="21" spans="1:48" x14ac:dyDescent="0.25">
      <c r="A21" s="391" t="s">
        <v>725</v>
      </c>
      <c r="B21" s="392">
        <f t="shared" ref="B21:AK21" si="6">B16*$Q$5</f>
        <v>1319.88</v>
      </c>
      <c r="C21" s="392">
        <f t="shared" si="6"/>
        <v>1320.9</v>
      </c>
      <c r="D21" s="392">
        <f t="shared" si="6"/>
        <v>1321.92</v>
      </c>
      <c r="E21" s="392">
        <f t="shared" si="6"/>
        <v>1322.94</v>
      </c>
      <c r="F21" s="392">
        <f t="shared" si="6"/>
        <v>1323.96</v>
      </c>
      <c r="G21" s="392">
        <f t="shared" si="6"/>
        <v>1324.98</v>
      </c>
      <c r="H21" s="392">
        <f t="shared" si="6"/>
        <v>1326</v>
      </c>
      <c r="I21" s="392">
        <f t="shared" si="6"/>
        <v>1327.02</v>
      </c>
      <c r="J21" s="392">
        <f t="shared" si="6"/>
        <v>1328.04</v>
      </c>
      <c r="K21" s="392">
        <f t="shared" si="6"/>
        <v>1329.06</v>
      </c>
      <c r="L21" s="392">
        <f t="shared" si="6"/>
        <v>1330.08</v>
      </c>
      <c r="M21" s="392">
        <f t="shared" si="6"/>
        <v>1331.1000000000001</v>
      </c>
      <c r="N21" s="392">
        <f t="shared" si="6"/>
        <v>1332.1200000000001</v>
      </c>
      <c r="O21" s="392">
        <f t="shared" si="6"/>
        <v>1333.14</v>
      </c>
      <c r="P21" s="392">
        <f t="shared" si="6"/>
        <v>1334.16</v>
      </c>
      <c r="Q21" s="392">
        <f t="shared" si="6"/>
        <v>1335.18</v>
      </c>
      <c r="R21" s="392">
        <f t="shared" si="6"/>
        <v>1336.2</v>
      </c>
      <c r="S21" s="392">
        <f t="shared" si="6"/>
        <v>1337.22</v>
      </c>
      <c r="T21" s="392">
        <f t="shared" si="6"/>
        <v>1338.24</v>
      </c>
      <c r="U21" s="392">
        <f t="shared" si="6"/>
        <v>1339.26</v>
      </c>
      <c r="V21" s="392">
        <f t="shared" si="6"/>
        <v>1340.28</v>
      </c>
      <c r="W21" s="392">
        <f t="shared" si="6"/>
        <v>1341.3</v>
      </c>
      <c r="X21" s="392">
        <f t="shared" si="6"/>
        <v>1342.32</v>
      </c>
      <c r="Y21" s="392">
        <f t="shared" si="6"/>
        <v>1343.34</v>
      </c>
      <c r="Z21" s="392">
        <f t="shared" si="6"/>
        <v>1344.3600000000001</v>
      </c>
      <c r="AA21" s="392">
        <f t="shared" si="6"/>
        <v>1345.38</v>
      </c>
      <c r="AB21" s="392">
        <f t="shared" si="6"/>
        <v>1346.4</v>
      </c>
      <c r="AC21" s="392">
        <f t="shared" si="6"/>
        <v>1347.42</v>
      </c>
      <c r="AD21" s="392">
        <f t="shared" si="6"/>
        <v>1348.44</v>
      </c>
      <c r="AE21" s="392">
        <f t="shared" si="6"/>
        <v>1349.46</v>
      </c>
      <c r="AF21" s="392">
        <f t="shared" si="6"/>
        <v>1350.48</v>
      </c>
      <c r="AG21" s="392">
        <f t="shared" si="6"/>
        <v>1351.5</v>
      </c>
      <c r="AH21" s="392">
        <f t="shared" si="6"/>
        <v>1353.54</v>
      </c>
      <c r="AI21" s="392">
        <f t="shared" si="6"/>
        <v>1355.58</v>
      </c>
      <c r="AJ21" s="392">
        <f t="shared" si="6"/>
        <v>1357.6200000000001</v>
      </c>
      <c r="AK21" s="392">
        <f t="shared" si="6"/>
        <v>0</v>
      </c>
    </row>
    <row r="22" spans="1:48" x14ac:dyDescent="0.25">
      <c r="A22" s="391" t="s">
        <v>726</v>
      </c>
      <c r="B22" s="392">
        <f t="shared" ref="B22:AD22" si="7">MIN(B$18,$C$4)</f>
        <v>32971.120000000003</v>
      </c>
      <c r="C22" s="392">
        <f t="shared" si="7"/>
        <v>32996.6</v>
      </c>
      <c r="D22" s="392">
        <f t="shared" si="7"/>
        <v>33022.080000000002</v>
      </c>
      <c r="E22" s="392">
        <f t="shared" si="7"/>
        <v>33047.56</v>
      </c>
      <c r="F22" s="392">
        <f t="shared" si="7"/>
        <v>33073.040000000001</v>
      </c>
      <c r="G22" s="392">
        <f t="shared" si="7"/>
        <v>33098.520000000004</v>
      </c>
      <c r="H22" s="392">
        <f t="shared" si="7"/>
        <v>33124</v>
      </c>
      <c r="I22" s="392">
        <f t="shared" si="7"/>
        <v>33149.480000000003</v>
      </c>
      <c r="J22" s="392">
        <f t="shared" si="7"/>
        <v>33174.959999999999</v>
      </c>
      <c r="K22" s="392">
        <f t="shared" si="7"/>
        <v>33200.44</v>
      </c>
      <c r="L22" s="392">
        <f t="shared" si="7"/>
        <v>33225.919999999998</v>
      </c>
      <c r="M22" s="392">
        <f t="shared" si="7"/>
        <v>33251.4</v>
      </c>
      <c r="N22" s="392">
        <f t="shared" si="7"/>
        <v>33276.879999999997</v>
      </c>
      <c r="O22" s="392">
        <f t="shared" si="7"/>
        <v>33302.36</v>
      </c>
      <c r="P22" s="392">
        <f t="shared" si="7"/>
        <v>33327.840000000004</v>
      </c>
      <c r="Q22" s="392">
        <f t="shared" si="7"/>
        <v>33353</v>
      </c>
      <c r="R22" s="392">
        <f t="shared" si="7"/>
        <v>33353</v>
      </c>
      <c r="S22" s="392">
        <f t="shared" si="7"/>
        <v>33353</v>
      </c>
      <c r="T22" s="392">
        <f t="shared" si="7"/>
        <v>33353</v>
      </c>
      <c r="U22" s="392">
        <f t="shared" si="7"/>
        <v>33353</v>
      </c>
      <c r="V22" s="392">
        <f t="shared" si="7"/>
        <v>33353</v>
      </c>
      <c r="W22" s="392">
        <f t="shared" si="7"/>
        <v>33353</v>
      </c>
      <c r="X22" s="392">
        <f t="shared" si="7"/>
        <v>33353</v>
      </c>
      <c r="Y22" s="392">
        <f t="shared" si="7"/>
        <v>33353</v>
      </c>
      <c r="Z22" s="392">
        <f t="shared" si="7"/>
        <v>33353</v>
      </c>
      <c r="AA22" s="392">
        <f t="shared" si="7"/>
        <v>33353</v>
      </c>
      <c r="AB22" s="392">
        <f t="shared" si="7"/>
        <v>33353</v>
      </c>
      <c r="AC22" s="392">
        <f t="shared" si="7"/>
        <v>33353</v>
      </c>
      <c r="AD22" s="392">
        <f t="shared" si="7"/>
        <v>33353</v>
      </c>
      <c r="AE22" s="392"/>
      <c r="AF22" s="392"/>
      <c r="AG22" s="392"/>
      <c r="AH22" s="392"/>
      <c r="AI22" s="392"/>
    </row>
    <row r="23" spans="1:48" x14ac:dyDescent="0.25">
      <c r="A23" s="391" t="s">
        <v>727</v>
      </c>
      <c r="B23" s="392">
        <f t="shared" ref="B23:AD23" si="8">MIN(B$19,$C$5)</f>
        <v>12655.32</v>
      </c>
      <c r="C23" s="392">
        <f t="shared" si="8"/>
        <v>12665.099999999999</v>
      </c>
      <c r="D23" s="392">
        <f t="shared" si="8"/>
        <v>12674.88</v>
      </c>
      <c r="E23" s="392">
        <f t="shared" si="8"/>
        <v>12684.66</v>
      </c>
      <c r="F23" s="392">
        <f t="shared" si="8"/>
        <v>12694.439999999999</v>
      </c>
      <c r="G23" s="392">
        <f t="shared" si="8"/>
        <v>12704.22</v>
      </c>
      <c r="H23" s="392">
        <f t="shared" si="8"/>
        <v>12714</v>
      </c>
      <c r="I23" s="392">
        <f t="shared" si="8"/>
        <v>12723.779999999999</v>
      </c>
      <c r="J23" s="392">
        <f t="shared" si="8"/>
        <v>12733.56</v>
      </c>
      <c r="K23" s="392">
        <f t="shared" si="8"/>
        <v>12743.339999999998</v>
      </c>
      <c r="L23" s="392">
        <f t="shared" si="8"/>
        <v>12753.119999999999</v>
      </c>
      <c r="M23" s="392">
        <f t="shared" si="8"/>
        <v>12762.9</v>
      </c>
      <c r="N23" s="392">
        <f t="shared" si="8"/>
        <v>12772.679999999998</v>
      </c>
      <c r="O23" s="392">
        <f t="shared" si="8"/>
        <v>12782.46</v>
      </c>
      <c r="P23" s="392">
        <f t="shared" si="8"/>
        <v>12792.24</v>
      </c>
      <c r="Q23" s="392">
        <f t="shared" si="8"/>
        <v>12802</v>
      </c>
      <c r="R23" s="392">
        <f t="shared" si="8"/>
        <v>12802</v>
      </c>
      <c r="S23" s="392">
        <f t="shared" si="8"/>
        <v>12802</v>
      </c>
      <c r="T23" s="392">
        <f t="shared" si="8"/>
        <v>12802</v>
      </c>
      <c r="U23" s="392">
        <f t="shared" si="8"/>
        <v>12802</v>
      </c>
      <c r="V23" s="392">
        <f t="shared" si="8"/>
        <v>12802</v>
      </c>
      <c r="W23" s="392">
        <f t="shared" si="8"/>
        <v>12802</v>
      </c>
      <c r="X23" s="392">
        <f t="shared" si="8"/>
        <v>12802</v>
      </c>
      <c r="Y23" s="392">
        <f t="shared" si="8"/>
        <v>12802</v>
      </c>
      <c r="Z23" s="392">
        <f t="shared" si="8"/>
        <v>12802</v>
      </c>
      <c r="AA23" s="392">
        <f t="shared" si="8"/>
        <v>12802</v>
      </c>
      <c r="AB23" s="392">
        <f t="shared" si="8"/>
        <v>12802</v>
      </c>
      <c r="AC23" s="392">
        <f t="shared" si="8"/>
        <v>12802</v>
      </c>
      <c r="AD23" s="392">
        <f t="shared" si="8"/>
        <v>12802</v>
      </c>
      <c r="AE23" s="392"/>
      <c r="AF23" s="392"/>
      <c r="AG23" s="392"/>
      <c r="AH23" s="392"/>
      <c r="AI23" s="392"/>
    </row>
    <row r="24" spans="1:48" x14ac:dyDescent="0.25">
      <c r="A24" s="391" t="s">
        <v>728</v>
      </c>
      <c r="B24" s="392">
        <f t="shared" ref="B24:AD24" si="9">MIN(B$20,$C$6)</f>
        <v>10669.029999999999</v>
      </c>
      <c r="C24" s="392">
        <f t="shared" si="9"/>
        <v>10677.275</v>
      </c>
      <c r="D24" s="392">
        <f t="shared" si="9"/>
        <v>10685.519999999999</v>
      </c>
      <c r="E24" s="392">
        <f t="shared" si="9"/>
        <v>10693.764999999999</v>
      </c>
      <c r="F24" s="392">
        <f t="shared" si="9"/>
        <v>10702.009999999998</v>
      </c>
      <c r="G24" s="392">
        <f t="shared" si="9"/>
        <v>10710.254999999999</v>
      </c>
      <c r="H24" s="392">
        <f t="shared" si="9"/>
        <v>10718.499999999998</v>
      </c>
      <c r="I24" s="392">
        <f t="shared" si="9"/>
        <v>10726.744999999999</v>
      </c>
      <c r="J24" s="392">
        <f t="shared" si="9"/>
        <v>10734.99</v>
      </c>
      <c r="K24" s="392">
        <f t="shared" si="9"/>
        <v>10743.234999999999</v>
      </c>
      <c r="L24" s="392">
        <f t="shared" si="9"/>
        <v>10751.48</v>
      </c>
      <c r="M24" s="392">
        <f t="shared" si="9"/>
        <v>10759.724999999999</v>
      </c>
      <c r="N24" s="392">
        <f t="shared" si="9"/>
        <v>10767.97</v>
      </c>
      <c r="O24" s="392">
        <f t="shared" si="9"/>
        <v>10776.214999999998</v>
      </c>
      <c r="P24" s="392">
        <f t="shared" si="9"/>
        <v>10784.46</v>
      </c>
      <c r="Q24" s="392">
        <f t="shared" si="9"/>
        <v>10792.704999999998</v>
      </c>
      <c r="R24" s="392">
        <f t="shared" si="9"/>
        <v>10793</v>
      </c>
      <c r="S24" s="392">
        <f t="shared" si="9"/>
        <v>10793</v>
      </c>
      <c r="T24" s="392">
        <f t="shared" si="9"/>
        <v>10793</v>
      </c>
      <c r="U24" s="392">
        <f t="shared" si="9"/>
        <v>10793</v>
      </c>
      <c r="V24" s="392">
        <f t="shared" si="9"/>
        <v>10793</v>
      </c>
      <c r="W24" s="392">
        <f t="shared" si="9"/>
        <v>10793</v>
      </c>
      <c r="X24" s="392">
        <f t="shared" si="9"/>
        <v>10793</v>
      </c>
      <c r="Y24" s="392">
        <f t="shared" si="9"/>
        <v>10793</v>
      </c>
      <c r="Z24" s="392">
        <f t="shared" si="9"/>
        <v>10793</v>
      </c>
      <c r="AA24" s="392">
        <f t="shared" si="9"/>
        <v>10793</v>
      </c>
      <c r="AB24" s="392">
        <f t="shared" si="9"/>
        <v>10793</v>
      </c>
      <c r="AC24" s="392">
        <f t="shared" si="9"/>
        <v>10793</v>
      </c>
      <c r="AD24" s="392">
        <f t="shared" si="9"/>
        <v>10793</v>
      </c>
      <c r="AE24" s="392"/>
      <c r="AF24" s="392"/>
      <c r="AG24" s="392"/>
      <c r="AH24" s="392"/>
      <c r="AI24" s="392"/>
    </row>
    <row r="25" spans="1:48" x14ac:dyDescent="0.25">
      <c r="A25" s="391" t="s">
        <v>729</v>
      </c>
      <c r="B25" s="392">
        <f t="shared" ref="B25:AD25" si="10">MIN(B$21,$C$7)</f>
        <v>1319.88</v>
      </c>
      <c r="C25" s="392">
        <f t="shared" si="10"/>
        <v>1320.9</v>
      </c>
      <c r="D25" s="392">
        <f t="shared" si="10"/>
        <v>1321.92</v>
      </c>
      <c r="E25" s="392">
        <f t="shared" si="10"/>
        <v>1322.94</v>
      </c>
      <c r="F25" s="392">
        <f t="shared" si="10"/>
        <v>1323.96</v>
      </c>
      <c r="G25" s="392">
        <f t="shared" si="10"/>
        <v>1324.98</v>
      </c>
      <c r="H25" s="392">
        <f t="shared" si="10"/>
        <v>1326</v>
      </c>
      <c r="I25" s="392">
        <f t="shared" si="10"/>
        <v>1327.02</v>
      </c>
      <c r="J25" s="392">
        <f t="shared" si="10"/>
        <v>1328.04</v>
      </c>
      <c r="K25" s="392">
        <f t="shared" si="10"/>
        <v>1329.06</v>
      </c>
      <c r="L25" s="392">
        <f t="shared" si="10"/>
        <v>1330.08</v>
      </c>
      <c r="M25" s="392">
        <f t="shared" si="10"/>
        <v>1331.1000000000001</v>
      </c>
      <c r="N25" s="392">
        <f t="shared" si="10"/>
        <v>1332.1200000000001</v>
      </c>
      <c r="O25" s="392">
        <f t="shared" si="10"/>
        <v>1333.14</v>
      </c>
      <c r="P25" s="392">
        <f t="shared" si="10"/>
        <v>1334.16</v>
      </c>
      <c r="Q25" s="392">
        <f t="shared" si="10"/>
        <v>1335</v>
      </c>
      <c r="R25" s="392">
        <f t="shared" si="10"/>
        <v>1335</v>
      </c>
      <c r="S25" s="392">
        <f t="shared" si="10"/>
        <v>1335</v>
      </c>
      <c r="T25" s="392">
        <f t="shared" si="10"/>
        <v>1335</v>
      </c>
      <c r="U25" s="392">
        <f t="shared" si="10"/>
        <v>1335</v>
      </c>
      <c r="V25" s="392">
        <f t="shared" si="10"/>
        <v>1335</v>
      </c>
      <c r="W25" s="392">
        <f t="shared" si="10"/>
        <v>1335</v>
      </c>
      <c r="X25" s="392">
        <f t="shared" si="10"/>
        <v>1335</v>
      </c>
      <c r="Y25" s="392">
        <f t="shared" si="10"/>
        <v>1335</v>
      </c>
      <c r="Z25" s="392">
        <f t="shared" si="10"/>
        <v>1335</v>
      </c>
      <c r="AA25" s="392">
        <f t="shared" si="10"/>
        <v>1335</v>
      </c>
      <c r="AB25" s="392">
        <f t="shared" si="10"/>
        <v>1335</v>
      </c>
      <c r="AC25" s="392">
        <f t="shared" si="10"/>
        <v>1335</v>
      </c>
      <c r="AD25" s="392">
        <f t="shared" si="10"/>
        <v>1335</v>
      </c>
      <c r="AE25" s="392"/>
      <c r="AF25" s="392"/>
      <c r="AG25" s="392"/>
      <c r="AH25" s="392"/>
      <c r="AI25" s="392"/>
    </row>
    <row r="26" spans="1:48" x14ac:dyDescent="0.25">
      <c r="A26" s="393" t="s">
        <v>730</v>
      </c>
      <c r="B26" s="394">
        <f>IF(B22&gt;$B$4,(B22-$B$4)*$H$4,0)</f>
        <v>28189.840000000018</v>
      </c>
      <c r="C26" s="394">
        <v>0</v>
      </c>
      <c r="D26" s="394">
        <f>IF(D22&gt;$B$4,(D22-$B$4)*$H$4,0)</f>
        <v>28546.560000000012</v>
      </c>
      <c r="E26" s="394">
        <v>0</v>
      </c>
      <c r="F26" s="394">
        <f>IF(F22&gt;$B$4,(F22-$B$4)*$H$4,0)</f>
        <v>28903.280000000006</v>
      </c>
      <c r="G26" s="394">
        <v>0</v>
      </c>
      <c r="H26" s="394">
        <f>IF(H22&gt;$B$4,(H22-$B$4)*$H$4,0)</f>
        <v>29260</v>
      </c>
      <c r="I26" s="394">
        <v>0</v>
      </c>
      <c r="J26" s="394">
        <f>IF(J22&gt;$B$4,(J22-$B$4)*$H$4,0)</f>
        <v>29616.719999999994</v>
      </c>
      <c r="K26" s="394">
        <v>0</v>
      </c>
      <c r="L26" s="394">
        <f>IF(L22&gt;$B$4,(L22-$B$4)*$H$4,0)</f>
        <v>29973.439999999988</v>
      </c>
      <c r="M26" s="394">
        <v>0</v>
      </c>
      <c r="N26" s="394">
        <f>IF(N22&gt;$B$4,(N22-$B$4)*$H$4,0)</f>
        <v>30330.159999999982</v>
      </c>
      <c r="O26" s="394">
        <v>0</v>
      </c>
      <c r="P26" s="394">
        <f>IF(P22&gt;$B$4,(P22-$B$4)*$H$4,0)</f>
        <v>30686.880000000026</v>
      </c>
      <c r="Q26" s="394">
        <v>0</v>
      </c>
      <c r="R26" s="394">
        <f>IF(R22&gt;$B$4,(R22-$B$4)*$H$4,0)</f>
        <v>30863</v>
      </c>
      <c r="S26" s="394">
        <v>0</v>
      </c>
      <c r="T26" s="394">
        <f>IF(T22&gt;$B$4,(T22-$B$4)*$H$4,0)</f>
        <v>30863</v>
      </c>
      <c r="U26" s="394">
        <v>0</v>
      </c>
      <c r="V26" s="394">
        <f>IF(V22&gt;$B$4,(V22-$B$4)*$H$4,0)</f>
        <v>30863</v>
      </c>
      <c r="W26" s="394">
        <v>0</v>
      </c>
      <c r="X26" s="394">
        <f>IF(X22&gt;$B$4,(X22-$B$4)*$H$4,0)</f>
        <v>30863</v>
      </c>
      <c r="Y26" s="394">
        <v>0</v>
      </c>
      <c r="Z26" s="394">
        <f>IF(Z22&gt;$B$4,(Z22-$B$4)*$H$4,0)</f>
        <v>30863</v>
      </c>
      <c r="AA26" s="394">
        <v>0</v>
      </c>
      <c r="AB26" s="394">
        <f>IF(AB22&gt;$B$4,(AB22-$B$4)*$H$4,0)</f>
        <v>30863</v>
      </c>
      <c r="AC26" s="394">
        <v>0</v>
      </c>
      <c r="AD26" s="394">
        <f>IF(AD22&gt;$B$4,(AD22-$B$4)*$H$4,0)</f>
        <v>30863</v>
      </c>
      <c r="AE26" s="394">
        <v>0</v>
      </c>
      <c r="AF26" s="394">
        <f>IF(AF22&gt;$B$4,(AF22-$B$4)*$H$4,0)</f>
        <v>0</v>
      </c>
      <c r="AG26" s="394">
        <v>0</v>
      </c>
      <c r="AH26" s="394">
        <f>IF(AH22&gt;$B$4,(AH22-$B$4)*$H$4,0)</f>
        <v>0</v>
      </c>
      <c r="AI26" s="394">
        <v>0</v>
      </c>
      <c r="AJ26" s="394">
        <f>IF(AJ22&gt;$B$4,(AJ22-$B$4)*$H$4,0)</f>
        <v>0</v>
      </c>
      <c r="AK26" s="394">
        <v>0</v>
      </c>
    </row>
    <row r="27" spans="1:48" x14ac:dyDescent="0.25">
      <c r="A27" s="393" t="s">
        <v>731</v>
      </c>
      <c r="B27" s="394">
        <f>IF(B23&gt;$B$5,(B23-$B$5)*$H$5,0)</f>
        <v>2353.1999999999971</v>
      </c>
      <c r="C27" s="394">
        <v>0</v>
      </c>
      <c r="D27" s="394">
        <f>IF(D23&gt;$B$5,(D23-$B$5)*$H$5,0)</f>
        <v>2548.799999999992</v>
      </c>
      <c r="E27" s="394">
        <v>0</v>
      </c>
      <c r="F27" s="394">
        <f>IF(F23&gt;$B$5,(F23-$B$5)*$H$5,0)</f>
        <v>2744.3999999999869</v>
      </c>
      <c r="G27" s="394">
        <v>0</v>
      </c>
      <c r="H27" s="394">
        <f>IF(H23&gt;$B$5,(H23-$B$5)*$H$5,0)</f>
        <v>2940</v>
      </c>
      <c r="I27" s="394">
        <v>0</v>
      </c>
      <c r="J27" s="394">
        <f>IF(J23&gt;$B$5,(J23-$B$5)*$H$5,0)</f>
        <v>3135.5999999999949</v>
      </c>
      <c r="K27" s="394">
        <v>0</v>
      </c>
      <c r="L27" s="394">
        <f>IF(L23&gt;$B$5,(L23-$B$5)*$H$5,0)</f>
        <v>3331.1999999999898</v>
      </c>
      <c r="M27" s="394">
        <v>0</v>
      </c>
      <c r="N27" s="394">
        <f>IF(N23&gt;$B$5,(N23-$B$5)*$H$5,0)</f>
        <v>3526.7999999999847</v>
      </c>
      <c r="O27" s="394">
        <v>0</v>
      </c>
      <c r="P27" s="394">
        <f>IF(P23&gt;$B$5,(P23-$B$5)*$H$5,0)</f>
        <v>3722.3999999999978</v>
      </c>
      <c r="Q27" s="394">
        <v>0</v>
      </c>
      <c r="R27" s="394">
        <f>IF(R23&gt;$B$5,(R23-$B$5)*$H$5,0)</f>
        <v>3820</v>
      </c>
      <c r="S27" s="394">
        <v>0</v>
      </c>
      <c r="T27" s="394">
        <f>IF(T23&gt;$B$5,(T23-$B$5)*$H$5,0)</f>
        <v>3820</v>
      </c>
      <c r="U27" s="394">
        <v>0</v>
      </c>
      <c r="V27" s="394">
        <f>IF(V23&gt;$B$5,(V23-$B$5)*$H$5,0)</f>
        <v>3820</v>
      </c>
      <c r="W27" s="394">
        <v>0</v>
      </c>
      <c r="X27" s="394">
        <f>IF(X23&gt;$B$5,(X23-$B$5)*$H$5,0)</f>
        <v>3820</v>
      </c>
      <c r="Y27" s="394">
        <v>0</v>
      </c>
      <c r="Z27" s="394">
        <f>IF(Z23&gt;$B$5,(Z23-$B$5)*$H$5,0)</f>
        <v>3820</v>
      </c>
      <c r="AA27" s="394">
        <v>0</v>
      </c>
      <c r="AB27" s="394">
        <f>IF(AB23&gt;$B$5,(AB23-$B$5)*$H$5,0)</f>
        <v>3820</v>
      </c>
      <c r="AC27" s="394">
        <v>0</v>
      </c>
      <c r="AD27" s="394">
        <f>IF(AD23&gt;$B$5,(AD23-$B$5)*$H$5,0)</f>
        <v>3820</v>
      </c>
      <c r="AE27" s="394">
        <v>0</v>
      </c>
      <c r="AF27" s="394">
        <f>IF(AF23&gt;$B$5,(AF23-$B$5)*$H$5,0)</f>
        <v>0</v>
      </c>
      <c r="AG27" s="394">
        <v>0</v>
      </c>
      <c r="AH27" s="394">
        <f>IF(AH23&gt;$B$5,(AH23-$B$5)*$H$5,0)</f>
        <v>0</v>
      </c>
      <c r="AI27" s="394">
        <v>0</v>
      </c>
      <c r="AJ27" s="394">
        <f>IF(AJ23&gt;$B$5,(AJ23-$B$5)*$H$5,0)</f>
        <v>0</v>
      </c>
      <c r="AK27" s="394">
        <v>0</v>
      </c>
    </row>
    <row r="28" spans="1:48" x14ac:dyDescent="0.25">
      <c r="A28" s="393" t="s">
        <v>732</v>
      </c>
      <c r="B28" s="394">
        <f>IF(B24&gt;$B$6,(B24-$B$6)*$H$6,0)</f>
        <v>0</v>
      </c>
      <c r="C28" s="394">
        <v>0</v>
      </c>
      <c r="D28" s="394">
        <f>IF(D24&gt;$B$6,(D24-$B$6)*$H$6,0)</f>
        <v>0</v>
      </c>
      <c r="E28" s="394">
        <v>0</v>
      </c>
      <c r="F28" s="394">
        <f>IF(F24&gt;$B$6,(F24-$B$6)*$H$6,0)</f>
        <v>0</v>
      </c>
      <c r="G28" s="394">
        <v>0</v>
      </c>
      <c r="H28" s="394">
        <f>IF(H24&gt;$B$6,(H24-$B$6)*$H$6,0)</f>
        <v>0</v>
      </c>
      <c r="I28" s="394">
        <v>0</v>
      </c>
      <c r="J28" s="394">
        <f>IF(J24&gt;$B$6,(J24-$B$6)*$H$6,0)</f>
        <v>0</v>
      </c>
      <c r="K28" s="394">
        <v>0</v>
      </c>
      <c r="L28" s="394">
        <f>IF(L24&gt;$B$6,(L24-$B$6)*$H$6,0)</f>
        <v>0</v>
      </c>
      <c r="M28" s="394">
        <v>0</v>
      </c>
      <c r="N28" s="394">
        <f>IF(N24&gt;$B$6,(N24-$B$6)*$H$6,0)</f>
        <v>0</v>
      </c>
      <c r="O28" s="394">
        <v>0</v>
      </c>
      <c r="P28" s="394">
        <f>IF(P24&gt;$B$6,(P24-$B$6)*$H$6,0)</f>
        <v>0</v>
      </c>
      <c r="Q28" s="394">
        <v>0</v>
      </c>
      <c r="R28" s="394">
        <f>IF(R24&gt;$B$6,(R24-$B$6)*$H$6,0)</f>
        <v>0</v>
      </c>
      <c r="S28" s="394">
        <v>0</v>
      </c>
      <c r="T28" s="394">
        <f>IF(T24&gt;$B$6,(T24-$B$6)*$H$6,0)</f>
        <v>0</v>
      </c>
      <c r="U28" s="394">
        <v>0</v>
      </c>
      <c r="V28" s="394">
        <f>IF(V24&gt;$B$6,(V24-$B$6)*$H$6,0)</f>
        <v>0</v>
      </c>
      <c r="W28" s="394">
        <v>0</v>
      </c>
      <c r="X28" s="394">
        <f>IF(X24&gt;$B$6,(X24-$B$6)*$H$6,0)</f>
        <v>0</v>
      </c>
      <c r="Y28" s="394">
        <v>0</v>
      </c>
      <c r="Z28" s="394">
        <f>IF(Z24&gt;$B$6,(Z24-$B$6)*$H$6,0)</f>
        <v>0</v>
      </c>
      <c r="AA28" s="394">
        <v>0</v>
      </c>
      <c r="AB28" s="394">
        <f>IF(AB24&gt;$B$6,(AB24-$B$6)*$H$6,0)</f>
        <v>0</v>
      </c>
      <c r="AC28" s="394">
        <v>0</v>
      </c>
      <c r="AD28" s="394">
        <f>IF(AD24&gt;$B$6,(AD24-$B$6)*$H$6,0)</f>
        <v>0</v>
      </c>
      <c r="AE28" s="394">
        <v>0</v>
      </c>
      <c r="AF28" s="394">
        <f>IF(AF24&gt;$B$6,(AF24-$B$6)*$H$6,0)</f>
        <v>0</v>
      </c>
      <c r="AG28" s="394">
        <v>0</v>
      </c>
      <c r="AH28" s="394">
        <f>IF(AH24&gt;$B$6,(AH24-$B$6)*$H$6,0)</f>
        <v>0</v>
      </c>
      <c r="AI28" s="394">
        <v>0</v>
      </c>
      <c r="AJ28" s="394">
        <f>IF(AJ24&gt;$B$6,(AJ24-$B$6)*$H$6,0)</f>
        <v>0</v>
      </c>
      <c r="AK28" s="394">
        <v>0</v>
      </c>
    </row>
    <row r="29" spans="1:48" x14ac:dyDescent="0.25">
      <c r="A29" s="393" t="s">
        <v>733</v>
      </c>
      <c r="B29" s="394">
        <f>IF(B25&gt;$B$7,(B25-$B$7)*$H$7,0)</f>
        <v>4615.8000000000038</v>
      </c>
      <c r="C29" s="394">
        <v>0</v>
      </c>
      <c r="D29" s="394">
        <f>IF(D25&gt;$B$7,(D25-$B$7)*$H$7,0)</f>
        <v>4687.2000000000025</v>
      </c>
      <c r="E29" s="394">
        <v>0</v>
      </c>
      <c r="F29" s="394">
        <f>IF(F25&gt;$B$7,(F25-$B$7)*$H$7,0)</f>
        <v>4758.6000000000013</v>
      </c>
      <c r="G29" s="394">
        <v>0</v>
      </c>
      <c r="H29" s="394">
        <f>IF(H25&gt;$B$7,(H25-$B$7)*$H$7,0)</f>
        <v>4830</v>
      </c>
      <c r="I29" s="394">
        <v>0</v>
      </c>
      <c r="J29" s="394">
        <f>IF(J25&gt;$B$7,(J25-$B$7)*$H$7,0)</f>
        <v>4901.3999999999987</v>
      </c>
      <c r="K29" s="394">
        <v>0</v>
      </c>
      <c r="L29" s="394">
        <f>IF(L25&gt;$B$7,(L25-$B$7)*$H$7,0)</f>
        <v>4972.7999999999975</v>
      </c>
      <c r="M29" s="394">
        <v>0</v>
      </c>
      <c r="N29" s="394">
        <f>IF(N25&gt;$B$7,(N25-$B$7)*$H$7,0)</f>
        <v>5044.2000000000044</v>
      </c>
      <c r="O29" s="394">
        <v>0</v>
      </c>
      <c r="P29" s="394">
        <f>IF(P25&gt;$B$7,(P25-$B$7)*$H$7,0)</f>
        <v>5115.6000000000031</v>
      </c>
      <c r="Q29" s="394">
        <v>0</v>
      </c>
      <c r="R29" s="394">
        <f>IF(R25&gt;$B$7,(R25-$B$7)*$H$7,0)</f>
        <v>5145</v>
      </c>
      <c r="S29" s="394">
        <v>0</v>
      </c>
      <c r="T29" s="394">
        <f>IF(T25&gt;$B$7,(T25-$B$7)*$H$7,0)</f>
        <v>5145</v>
      </c>
      <c r="U29" s="394">
        <v>0</v>
      </c>
      <c r="V29" s="394">
        <f>IF(V25&gt;$B$7,(V25-$B$7)*$H$7,0)</f>
        <v>5145</v>
      </c>
      <c r="W29" s="394">
        <v>0</v>
      </c>
      <c r="X29" s="394">
        <f>IF(X25&gt;$B$7,(X25-$B$7)*$H$7,0)</f>
        <v>5145</v>
      </c>
      <c r="Y29" s="394">
        <v>0</v>
      </c>
      <c r="Z29" s="394">
        <f>IF(Z25&gt;$B$7,(Z25-$B$7)*$H$7,0)</f>
        <v>5145</v>
      </c>
      <c r="AA29" s="394">
        <v>0</v>
      </c>
      <c r="AB29" s="394">
        <f>IF(AB25&gt;$B$7,(AB25-$B$7)*$H$7,0)</f>
        <v>5145</v>
      </c>
      <c r="AC29" s="394">
        <v>0</v>
      </c>
      <c r="AD29" s="394">
        <f>IF(AD25&gt;$B$7,(AD25-$B$7)*$H$7,0)</f>
        <v>5145</v>
      </c>
      <c r="AE29" s="394">
        <v>0</v>
      </c>
      <c r="AF29" s="394">
        <f>IF(AF25&gt;$B$7,(AF25-$B$7)*$H$7,0)</f>
        <v>0</v>
      </c>
      <c r="AG29" s="394">
        <v>0</v>
      </c>
      <c r="AH29" s="394">
        <f>IF(AH25&gt;$B$7,(AH25-$B$7)*$H$7,0)</f>
        <v>0</v>
      </c>
      <c r="AI29" s="394">
        <v>0</v>
      </c>
      <c r="AJ29" s="394">
        <f>IF(AJ25&gt;$B$7,(AJ25-$B$7)*$H$7,0)</f>
        <v>0</v>
      </c>
      <c r="AK29" s="394">
        <v>0</v>
      </c>
    </row>
    <row r="30" spans="1:48" x14ac:dyDescent="0.25">
      <c r="A30" s="395" t="s">
        <v>734</v>
      </c>
      <c r="B30" s="396">
        <f>G4+G5+G6+G7</f>
        <v>2184.4</v>
      </c>
      <c r="C30" s="396">
        <f t="shared" ref="C30:AD30" si="11">B30</f>
        <v>2184.4</v>
      </c>
      <c r="D30" s="396">
        <f t="shared" si="11"/>
        <v>2184.4</v>
      </c>
      <c r="E30" s="396">
        <f t="shared" si="11"/>
        <v>2184.4</v>
      </c>
      <c r="F30" s="396">
        <f t="shared" si="11"/>
        <v>2184.4</v>
      </c>
      <c r="G30" s="396">
        <f t="shared" si="11"/>
        <v>2184.4</v>
      </c>
      <c r="H30" s="396">
        <f t="shared" si="11"/>
        <v>2184.4</v>
      </c>
      <c r="I30" s="396">
        <f t="shared" si="11"/>
        <v>2184.4</v>
      </c>
      <c r="J30" s="396">
        <f t="shared" si="11"/>
        <v>2184.4</v>
      </c>
      <c r="K30" s="396">
        <f t="shared" si="11"/>
        <v>2184.4</v>
      </c>
      <c r="L30" s="396">
        <f t="shared" si="11"/>
        <v>2184.4</v>
      </c>
      <c r="M30" s="396">
        <f t="shared" si="11"/>
        <v>2184.4</v>
      </c>
      <c r="N30" s="396">
        <f t="shared" si="11"/>
        <v>2184.4</v>
      </c>
      <c r="O30" s="396">
        <f t="shared" si="11"/>
        <v>2184.4</v>
      </c>
      <c r="P30" s="396">
        <f t="shared" si="11"/>
        <v>2184.4</v>
      </c>
      <c r="Q30" s="396">
        <f t="shared" si="11"/>
        <v>2184.4</v>
      </c>
      <c r="R30" s="396">
        <f t="shared" si="11"/>
        <v>2184.4</v>
      </c>
      <c r="S30" s="396">
        <f t="shared" si="11"/>
        <v>2184.4</v>
      </c>
      <c r="T30" s="396">
        <f t="shared" si="11"/>
        <v>2184.4</v>
      </c>
      <c r="U30" s="396">
        <f t="shared" si="11"/>
        <v>2184.4</v>
      </c>
      <c r="V30" s="396">
        <f t="shared" si="11"/>
        <v>2184.4</v>
      </c>
      <c r="W30" s="396">
        <f t="shared" si="11"/>
        <v>2184.4</v>
      </c>
      <c r="X30" s="396">
        <f t="shared" si="11"/>
        <v>2184.4</v>
      </c>
      <c r="Y30" s="396">
        <f t="shared" si="11"/>
        <v>2184.4</v>
      </c>
      <c r="Z30" s="396">
        <f t="shared" si="11"/>
        <v>2184.4</v>
      </c>
      <c r="AA30" s="396">
        <f t="shared" si="11"/>
        <v>2184.4</v>
      </c>
      <c r="AB30" s="396">
        <f t="shared" si="11"/>
        <v>2184.4</v>
      </c>
      <c r="AC30" s="396">
        <f t="shared" si="11"/>
        <v>2184.4</v>
      </c>
      <c r="AD30" s="396">
        <f t="shared" si="11"/>
        <v>2184.4</v>
      </c>
      <c r="AE30" s="396"/>
      <c r="AF30" s="396"/>
      <c r="AG30" s="396"/>
      <c r="AH30" s="396"/>
      <c r="AI30" s="396"/>
    </row>
    <row r="31" spans="1:48" x14ac:dyDescent="0.25">
      <c r="A31" s="397" t="s">
        <v>735</v>
      </c>
      <c r="B31" s="398">
        <f t="shared" ref="B31:AD31" si="12">B26+B27+B28+B29-B30</f>
        <v>32974.440000000017</v>
      </c>
      <c r="C31" s="398">
        <f t="shared" si="12"/>
        <v>-2184.4</v>
      </c>
      <c r="D31" s="398">
        <f t="shared" si="12"/>
        <v>33598.160000000003</v>
      </c>
      <c r="E31" s="398">
        <f t="shared" si="12"/>
        <v>-2184.4</v>
      </c>
      <c r="F31" s="398">
        <f t="shared" si="12"/>
        <v>34221.87999999999</v>
      </c>
      <c r="G31" s="398">
        <f t="shared" si="12"/>
        <v>-2184.4</v>
      </c>
      <c r="H31" s="398">
        <f t="shared" si="12"/>
        <v>34845.599999999999</v>
      </c>
      <c r="I31" s="398">
        <f t="shared" si="12"/>
        <v>-2184.4</v>
      </c>
      <c r="J31" s="398">
        <f t="shared" si="12"/>
        <v>35469.319999999985</v>
      </c>
      <c r="K31" s="398">
        <f t="shared" si="12"/>
        <v>-2184.4</v>
      </c>
      <c r="L31" s="398">
        <f t="shared" si="12"/>
        <v>36093.039999999972</v>
      </c>
      <c r="M31" s="398">
        <f t="shared" si="12"/>
        <v>-2184.4</v>
      </c>
      <c r="N31" s="398">
        <f t="shared" si="12"/>
        <v>36716.759999999966</v>
      </c>
      <c r="O31" s="398">
        <f t="shared" si="12"/>
        <v>-2184.4</v>
      </c>
      <c r="P31" s="398">
        <f t="shared" si="12"/>
        <v>37340.480000000032</v>
      </c>
      <c r="Q31" s="398">
        <f t="shared" si="12"/>
        <v>-2184.4</v>
      </c>
      <c r="R31" s="398">
        <f t="shared" si="12"/>
        <v>37643.599999999999</v>
      </c>
      <c r="S31" s="398">
        <f t="shared" si="12"/>
        <v>-2184.4</v>
      </c>
      <c r="T31" s="398">
        <f t="shared" si="12"/>
        <v>37643.599999999999</v>
      </c>
      <c r="U31" s="398">
        <f t="shared" si="12"/>
        <v>-2184.4</v>
      </c>
      <c r="V31" s="398">
        <f t="shared" si="12"/>
        <v>37643.599999999999</v>
      </c>
      <c r="W31" s="398">
        <f t="shared" si="12"/>
        <v>-2184.4</v>
      </c>
      <c r="X31" s="398">
        <f t="shared" si="12"/>
        <v>37643.599999999999</v>
      </c>
      <c r="Y31" s="398">
        <f t="shared" si="12"/>
        <v>-2184.4</v>
      </c>
      <c r="Z31" s="398">
        <f t="shared" si="12"/>
        <v>37643.599999999999</v>
      </c>
      <c r="AA31" s="398">
        <f t="shared" si="12"/>
        <v>-2184.4</v>
      </c>
      <c r="AB31" s="398">
        <f t="shared" si="12"/>
        <v>37643.599999999999</v>
      </c>
      <c r="AC31" s="398">
        <f t="shared" si="12"/>
        <v>-2184.4</v>
      </c>
      <c r="AD31" s="398">
        <f t="shared" si="12"/>
        <v>37643.599999999999</v>
      </c>
      <c r="AE31" s="398"/>
      <c r="AF31" s="398"/>
      <c r="AG31" s="398"/>
      <c r="AH31" s="398"/>
      <c r="AI31" s="398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399" t="s">
        <v>736</v>
      </c>
      <c r="B32" s="398">
        <f>-B12-B11+B31</f>
        <v>-189230.56</v>
      </c>
      <c r="C32" s="398">
        <f t="shared" ref="C32:AD32" si="13">B32+C31</f>
        <v>-191414.96</v>
      </c>
      <c r="D32" s="398">
        <f t="shared" si="13"/>
        <v>-157816.79999999999</v>
      </c>
      <c r="E32" s="398">
        <f t="shared" si="13"/>
        <v>-160001.19999999998</v>
      </c>
      <c r="F32" s="398">
        <f t="shared" si="13"/>
        <v>-125779.31999999999</v>
      </c>
      <c r="G32" s="398">
        <f t="shared" si="13"/>
        <v>-127963.71999999999</v>
      </c>
      <c r="H32" s="398">
        <f t="shared" si="13"/>
        <v>-93118.12</v>
      </c>
      <c r="I32" s="398">
        <f t="shared" si="13"/>
        <v>-95302.51999999999</v>
      </c>
      <c r="J32" s="398">
        <f t="shared" si="13"/>
        <v>-59833.200000000004</v>
      </c>
      <c r="K32" s="398">
        <f t="shared" si="13"/>
        <v>-62017.600000000006</v>
      </c>
      <c r="L32" s="398">
        <f t="shared" si="13"/>
        <v>-25924.560000000034</v>
      </c>
      <c r="M32" s="398">
        <f t="shared" si="13"/>
        <v>-28108.960000000036</v>
      </c>
      <c r="N32" s="398">
        <f t="shared" si="13"/>
        <v>8607.7999999999302</v>
      </c>
      <c r="O32" s="398">
        <f t="shared" si="13"/>
        <v>6423.3999999999305</v>
      </c>
      <c r="P32" s="398">
        <f t="shared" si="13"/>
        <v>43763.879999999961</v>
      </c>
      <c r="Q32" s="398">
        <f t="shared" si="13"/>
        <v>41579.47999999996</v>
      </c>
      <c r="R32" s="398">
        <f t="shared" si="13"/>
        <v>79223.079999999958</v>
      </c>
      <c r="S32" s="398">
        <f t="shared" si="13"/>
        <v>77038.679999999964</v>
      </c>
      <c r="T32" s="398">
        <f t="shared" si="13"/>
        <v>114682.27999999997</v>
      </c>
      <c r="U32" s="398">
        <f t="shared" si="13"/>
        <v>112497.87999999998</v>
      </c>
      <c r="V32" s="398">
        <f t="shared" si="13"/>
        <v>150141.47999999998</v>
      </c>
      <c r="W32" s="398">
        <f t="shared" si="13"/>
        <v>147957.07999999999</v>
      </c>
      <c r="X32" s="398">
        <f t="shared" si="13"/>
        <v>185600.68</v>
      </c>
      <c r="Y32" s="398">
        <f t="shared" si="13"/>
        <v>183416.28</v>
      </c>
      <c r="Z32" s="398">
        <f t="shared" si="13"/>
        <v>221059.88</v>
      </c>
      <c r="AA32" s="398">
        <f t="shared" si="13"/>
        <v>218875.48</v>
      </c>
      <c r="AB32" s="398">
        <f t="shared" si="13"/>
        <v>256519.08000000002</v>
      </c>
      <c r="AC32" s="398">
        <f t="shared" si="13"/>
        <v>254334.68000000002</v>
      </c>
      <c r="AD32" s="398">
        <f t="shared" si="13"/>
        <v>291978.28000000003</v>
      </c>
      <c r="AE32" s="398"/>
      <c r="AF32" s="398"/>
      <c r="AG32" s="398"/>
      <c r="AH32" s="398"/>
      <c r="AI32" s="398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14">B32/$B$13</f>
        <v>-0.85160351927274358</v>
      </c>
      <c r="C33" s="58">
        <f t="shared" si="14"/>
        <v>-0.86143408114128839</v>
      </c>
      <c r="D33" s="58">
        <f t="shared" si="14"/>
        <v>-0.71023064287482274</v>
      </c>
      <c r="E33" s="58">
        <f t="shared" si="14"/>
        <v>-0.72006120474336754</v>
      </c>
      <c r="F33" s="58">
        <f t="shared" si="14"/>
        <v>-0.56605080893769266</v>
      </c>
      <c r="G33" s="58">
        <f t="shared" si="14"/>
        <v>-0.57588137080623747</v>
      </c>
      <c r="H33" s="58">
        <f t="shared" si="14"/>
        <v>-0.41906401746135324</v>
      </c>
      <c r="I33" s="58">
        <f t="shared" si="14"/>
        <v>-0.428894579329898</v>
      </c>
      <c r="J33" s="58">
        <f t="shared" si="14"/>
        <v>-0.26927026844580459</v>
      </c>
      <c r="K33" s="58">
        <f t="shared" si="14"/>
        <v>-0.2791008303143494</v>
      </c>
      <c r="L33" s="58">
        <f t="shared" si="14"/>
        <v>-0.11666956189104671</v>
      </c>
      <c r="M33" s="58">
        <f t="shared" si="14"/>
        <v>-0.12650012375959152</v>
      </c>
      <c r="N33" s="58">
        <f t="shared" si="14"/>
        <v>3.8738102202920413E-2</v>
      </c>
      <c r="O33" s="58">
        <f t="shared" si="14"/>
        <v>2.8907540334375603E-2</v>
      </c>
      <c r="P33" s="58">
        <f t="shared" si="14"/>
        <v>0.19695272383609713</v>
      </c>
      <c r="Q33" s="58">
        <f t="shared" si="14"/>
        <v>0.1871221619675523</v>
      </c>
      <c r="R33" s="58">
        <f t="shared" si="14"/>
        <v>0.3565314911905671</v>
      </c>
      <c r="S33" s="58">
        <f t="shared" si="14"/>
        <v>0.34670092932202229</v>
      </c>
      <c r="T33" s="58">
        <f t="shared" si="14"/>
        <v>0.51611025854503711</v>
      </c>
      <c r="U33" s="58">
        <f t="shared" si="14"/>
        <v>0.50627969667649231</v>
      </c>
      <c r="V33" s="58">
        <f t="shared" si="14"/>
        <v>0.67568902589950708</v>
      </c>
      <c r="W33" s="58">
        <f t="shared" si="14"/>
        <v>0.66585846403096238</v>
      </c>
      <c r="X33" s="58">
        <f t="shared" si="14"/>
        <v>0.83526779325397715</v>
      </c>
      <c r="Y33" s="58">
        <f t="shared" si="14"/>
        <v>0.82543723138543235</v>
      </c>
      <c r="Z33" s="58">
        <f t="shared" si="14"/>
        <v>0.99484656060844723</v>
      </c>
      <c r="AA33" s="58">
        <f t="shared" si="14"/>
        <v>0.98501599873990242</v>
      </c>
      <c r="AB33" s="58">
        <f t="shared" si="14"/>
        <v>1.1544253279629173</v>
      </c>
      <c r="AC33" s="58">
        <f t="shared" si="14"/>
        <v>1.1445947660943725</v>
      </c>
      <c r="AD33" s="58">
        <f t="shared" si="14"/>
        <v>1.3140040953173873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1" priority="1" operator="lessThan">
      <formula>0</formula>
    </cfRule>
  </conditionalFormatting>
  <conditionalFormatting sqref="B32:AD32">
    <cfRule type="cellIs" dxfId="1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2" activePane="bottomLeft" state="frozen"/>
      <selection pane="bottomLeft" activeCell="P13" sqref="P13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490" t="s">
        <v>737</v>
      </c>
      <c r="B1" s="490"/>
      <c r="C1" s="490"/>
      <c r="D1" s="490"/>
      <c r="F1" s="13" t="s">
        <v>186</v>
      </c>
      <c r="G1" s="13" t="s">
        <v>112</v>
      </c>
      <c r="H1" s="13" t="s">
        <v>113</v>
      </c>
      <c r="I1" s="26" t="s">
        <v>738</v>
      </c>
      <c r="J1" s="26" t="s">
        <v>115</v>
      </c>
      <c r="K1" s="26" t="s">
        <v>471</v>
      </c>
      <c r="L1" s="26" t="s">
        <v>739</v>
      </c>
      <c r="M1" s="26" t="s">
        <v>740</v>
      </c>
      <c r="N1" s="64" t="s">
        <v>741</v>
      </c>
      <c r="O1" s="64" t="s">
        <v>742</v>
      </c>
      <c r="P1" s="64" t="s">
        <v>743</v>
      </c>
      <c r="Q1" s="64" t="s">
        <v>744</v>
      </c>
      <c r="R1" s="65" t="s">
        <v>745</v>
      </c>
      <c r="S1" s="65" t="s">
        <v>746</v>
      </c>
      <c r="T1" s="65" t="s">
        <v>743</v>
      </c>
      <c r="U1" s="65" t="s">
        <v>744</v>
      </c>
    </row>
    <row r="2" spans="1:21" x14ac:dyDescent="0.25">
      <c r="A2" s="491" t="s">
        <v>747</v>
      </c>
      <c r="B2" s="492" t="s">
        <v>748</v>
      </c>
      <c r="C2" s="492" t="s">
        <v>749</v>
      </c>
      <c r="D2" s="492" t="s">
        <v>750</v>
      </c>
      <c r="F2" s="88" t="s">
        <v>751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491"/>
      <c r="B3" s="492"/>
      <c r="C3" s="492"/>
      <c r="D3" s="492"/>
      <c r="F3" s="88" t="s">
        <v>752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748</v>
      </c>
      <c r="B4" s="73" t="s">
        <v>753</v>
      </c>
      <c r="C4" s="73" t="s">
        <v>754</v>
      </c>
      <c r="D4" s="73" t="s">
        <v>754</v>
      </c>
      <c r="F4" s="88" t="s">
        <v>755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749</v>
      </c>
      <c r="B5" s="75" t="s">
        <v>756</v>
      </c>
      <c r="C5" s="75" t="s">
        <v>757</v>
      </c>
      <c r="D5" s="75" t="s">
        <v>754</v>
      </c>
      <c r="F5" s="88" t="s">
        <v>758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750</v>
      </c>
      <c r="B6" s="73" t="s">
        <v>759</v>
      </c>
      <c r="C6" s="73" t="s">
        <v>760</v>
      </c>
      <c r="D6" s="73" t="s">
        <v>761</v>
      </c>
      <c r="F6" s="88" t="s">
        <v>762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763</v>
      </c>
      <c r="B7" s="75" t="s">
        <v>764</v>
      </c>
      <c r="C7" s="75" t="s">
        <v>765</v>
      </c>
      <c r="D7" s="75" t="s">
        <v>766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767</v>
      </c>
      <c r="B8" s="73" t="s">
        <v>768</v>
      </c>
      <c r="C8" s="73" t="s">
        <v>769</v>
      </c>
      <c r="D8" s="73" t="s">
        <v>770</v>
      </c>
      <c r="F8" s="88" t="s">
        <v>771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772</v>
      </c>
      <c r="B9" s="75" t="s">
        <v>773</v>
      </c>
      <c r="C9" s="75" t="s">
        <v>774</v>
      </c>
      <c r="D9" s="75" t="s">
        <v>775</v>
      </c>
      <c r="F9" s="88" t="s">
        <v>776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777</v>
      </c>
      <c r="B10" s="73" t="s">
        <v>778</v>
      </c>
      <c r="C10" s="73" t="s">
        <v>779</v>
      </c>
      <c r="D10" s="73" t="s">
        <v>780</v>
      </c>
      <c r="F10" s="88" t="s">
        <v>781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782</v>
      </c>
      <c r="B11" s="75" t="s">
        <v>783</v>
      </c>
      <c r="C11" s="75" t="s">
        <v>784</v>
      </c>
      <c r="D11" s="75" t="s">
        <v>785</v>
      </c>
      <c r="F11" s="88" t="s">
        <v>786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787</v>
      </c>
      <c r="B12" s="73" t="s">
        <v>788</v>
      </c>
      <c r="C12" s="73" t="s">
        <v>789</v>
      </c>
      <c r="D12" s="73" t="s">
        <v>790</v>
      </c>
      <c r="F12" s="88" t="s">
        <v>791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792</v>
      </c>
      <c r="B13" s="75" t="s">
        <v>793</v>
      </c>
      <c r="C13" s="75" t="s">
        <v>794</v>
      </c>
      <c r="D13" s="75" t="s">
        <v>795</v>
      </c>
      <c r="F13" s="88" t="s">
        <v>796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797</v>
      </c>
      <c r="B14" s="73" t="s">
        <v>798</v>
      </c>
      <c r="C14" s="73" t="s">
        <v>799</v>
      </c>
      <c r="D14" s="73" t="s">
        <v>800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801</v>
      </c>
      <c r="B15" s="75" t="s">
        <v>802</v>
      </c>
      <c r="C15" s="75" t="s">
        <v>803</v>
      </c>
      <c r="D15" s="75" t="s">
        <v>804</v>
      </c>
      <c r="F15" s="88" t="s">
        <v>805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806</v>
      </c>
      <c r="B16" s="73" t="s">
        <v>807</v>
      </c>
      <c r="C16" s="73" t="s">
        <v>808</v>
      </c>
      <c r="D16" s="73" t="s">
        <v>809</v>
      </c>
      <c r="F16" s="88" t="s">
        <v>810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811</v>
      </c>
      <c r="B17" s="75" t="s">
        <v>812</v>
      </c>
      <c r="C17" s="75" t="s">
        <v>813</v>
      </c>
      <c r="D17" s="75" t="s">
        <v>814</v>
      </c>
      <c r="F17" s="88" t="s">
        <v>815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816</v>
      </c>
      <c r="B18" s="73" t="s">
        <v>817</v>
      </c>
      <c r="C18" s="73" t="s">
        <v>818</v>
      </c>
      <c r="D18" s="73" t="s">
        <v>819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I19" s="55">
        <v>0</v>
      </c>
      <c r="J19" s="56">
        <v>0</v>
      </c>
      <c r="K19" s="45"/>
      <c r="L19" s="45"/>
      <c r="M19" s="61">
        <v>3</v>
      </c>
      <c r="N19" s="45"/>
      <c r="O19" s="45">
        <f t="shared" si="0"/>
        <v>0</v>
      </c>
      <c r="P19" s="66">
        <v>9</v>
      </c>
      <c r="Q19" s="76">
        <f t="shared" si="1"/>
        <v>0</v>
      </c>
      <c r="R19" s="45"/>
      <c r="S19" s="45">
        <f t="shared" si="2"/>
        <v>0</v>
      </c>
      <c r="T19" s="67">
        <f t="shared" si="3"/>
        <v>9</v>
      </c>
      <c r="U19" s="76">
        <f t="shared" si="4"/>
        <v>0</v>
      </c>
    </row>
    <row r="20" spans="1:21" x14ac:dyDescent="0.25">
      <c r="A20" s="13" t="s">
        <v>820</v>
      </c>
      <c r="B20" s="13" t="s">
        <v>821</v>
      </c>
      <c r="I20" s="55">
        <v>0</v>
      </c>
      <c r="J20" s="56">
        <v>0</v>
      </c>
      <c r="K20" s="45"/>
      <c r="L20" s="45"/>
      <c r="M20" s="61">
        <v>3</v>
      </c>
      <c r="N20" s="45"/>
      <c r="O20" s="45">
        <f t="shared" si="0"/>
        <v>0</v>
      </c>
      <c r="P20" s="66">
        <v>9</v>
      </c>
      <c r="Q20" s="76">
        <f t="shared" si="1"/>
        <v>0</v>
      </c>
      <c r="R20" s="45"/>
      <c r="S20" s="45">
        <f t="shared" si="2"/>
        <v>0</v>
      </c>
      <c r="T20" s="67">
        <f t="shared" si="3"/>
        <v>9</v>
      </c>
      <c r="U20" s="76">
        <f t="shared" si="4"/>
        <v>0</v>
      </c>
    </row>
    <row r="21" spans="1:21" x14ac:dyDescent="0.25">
      <c r="A21" s="42" t="s">
        <v>822</v>
      </c>
      <c r="B21" s="42">
        <v>2</v>
      </c>
      <c r="I21" s="55">
        <v>0</v>
      </c>
      <c r="J21" s="56">
        <v>0</v>
      </c>
      <c r="K21" s="45"/>
      <c r="L21" s="45"/>
      <c r="M21" s="61">
        <v>3</v>
      </c>
      <c r="N21" s="68"/>
      <c r="O21" s="45">
        <f t="shared" si="0"/>
        <v>0</v>
      </c>
      <c r="P21" s="66">
        <v>9</v>
      </c>
      <c r="Q21" s="76">
        <f t="shared" si="1"/>
        <v>0</v>
      </c>
      <c r="R21" s="45"/>
      <c r="S21" s="45">
        <f t="shared" si="2"/>
        <v>0</v>
      </c>
      <c r="T21" s="67">
        <f t="shared" si="3"/>
        <v>9</v>
      </c>
      <c r="U21" s="76">
        <f t="shared" si="4"/>
        <v>0</v>
      </c>
    </row>
    <row r="22" spans="1:21" x14ac:dyDescent="0.25">
      <c r="A22" s="42" t="s">
        <v>823</v>
      </c>
      <c r="B22" s="42">
        <v>1.5</v>
      </c>
      <c r="I22" s="55">
        <v>0</v>
      </c>
      <c r="J22" s="56">
        <v>0</v>
      </c>
      <c r="K22" s="45"/>
      <c r="L22" s="45"/>
      <c r="M22" s="61">
        <v>3</v>
      </c>
      <c r="N22" s="45"/>
      <c r="O22" s="45">
        <f t="shared" si="0"/>
        <v>0</v>
      </c>
      <c r="P22" s="66">
        <v>9</v>
      </c>
      <c r="Q22" s="76">
        <f t="shared" si="1"/>
        <v>0</v>
      </c>
      <c r="R22" s="45"/>
      <c r="S22" s="45">
        <f t="shared" si="2"/>
        <v>0</v>
      </c>
      <c r="T22" s="67">
        <f t="shared" si="3"/>
        <v>9</v>
      </c>
      <c r="U22" s="76">
        <f t="shared" si="4"/>
        <v>0</v>
      </c>
    </row>
    <row r="23" spans="1:21" x14ac:dyDescent="0.25">
      <c r="A23" s="42" t="s">
        <v>824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825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826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827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828</v>
      </c>
      <c r="B28" s="13" t="s">
        <v>829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830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831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832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833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834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835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836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A9694"/>
  </sheetPr>
  <dimension ref="A26"/>
  <sheetViews>
    <sheetView workbookViewId="0">
      <selection activeCell="A26" sqref="A26"/>
    </sheetView>
  </sheetViews>
  <sheetFormatPr baseColWidth="10" defaultColWidth="10.7109375" defaultRowHeight="15" x14ac:dyDescent="0.25"/>
  <sheetData>
    <row r="26" spans="1:1" x14ac:dyDescent="0.25">
      <c r="A26" s="23">
        <v>43733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BK3" activePane="bottomRight" state="frozen"/>
      <selection pane="topRight"/>
      <selection pane="bottomLeft"/>
      <selection pane="bottomRight" activeCell="CB12" sqref="CB12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837</v>
      </c>
      <c r="Z1" t="s">
        <v>838</v>
      </c>
      <c r="AD1" t="s">
        <v>839</v>
      </c>
      <c r="AH1" t="s">
        <v>840</v>
      </c>
      <c r="AL1" t="s">
        <v>841</v>
      </c>
      <c r="AP1" t="s">
        <v>842</v>
      </c>
      <c r="AW1" t="s">
        <v>843</v>
      </c>
      <c r="BD1" t="s">
        <v>844</v>
      </c>
      <c r="BI1" t="s">
        <v>845</v>
      </c>
      <c r="BN1" t="s">
        <v>846</v>
      </c>
      <c r="BS1" t="s">
        <v>847</v>
      </c>
      <c r="BX1" t="s">
        <v>848</v>
      </c>
      <c r="CB1" t="s">
        <v>180</v>
      </c>
    </row>
    <row r="2" spans="1:83" x14ac:dyDescent="0.25">
      <c r="A2" s="31" t="s">
        <v>186</v>
      </c>
      <c r="B2" s="31" t="s">
        <v>849</v>
      </c>
      <c r="C2" s="31" t="s">
        <v>113</v>
      </c>
      <c r="D2" s="51" t="s">
        <v>468</v>
      </c>
      <c r="E2" s="31" t="s">
        <v>850</v>
      </c>
      <c r="F2" s="39" t="s">
        <v>851</v>
      </c>
      <c r="G2" s="39" t="s">
        <v>125</v>
      </c>
      <c r="H2" s="39" t="s">
        <v>126</v>
      </c>
      <c r="I2" s="40" t="s">
        <v>121</v>
      </c>
      <c r="J2" s="32" t="s">
        <v>738</v>
      </c>
      <c r="K2" s="32" t="s">
        <v>154</v>
      </c>
      <c r="L2" s="32" t="s">
        <v>194</v>
      </c>
      <c r="M2" s="32" t="s">
        <v>195</v>
      </c>
      <c r="N2" s="32" t="s">
        <v>492</v>
      </c>
      <c r="O2" s="32" t="s">
        <v>197</v>
      </c>
      <c r="P2" s="32" t="s">
        <v>198</v>
      </c>
      <c r="Q2" s="32" t="s">
        <v>199</v>
      </c>
      <c r="R2" s="33" t="s">
        <v>140</v>
      </c>
      <c r="S2" s="33" t="s">
        <v>852</v>
      </c>
      <c r="T2" s="33" t="s">
        <v>853</v>
      </c>
      <c r="U2" s="33" t="s">
        <v>854</v>
      </c>
      <c r="V2" s="33" t="s">
        <v>855</v>
      </c>
      <c r="W2" s="34" t="s">
        <v>856</v>
      </c>
      <c r="X2" s="34" t="s">
        <v>857</v>
      </c>
      <c r="Y2" s="34" t="s">
        <v>856</v>
      </c>
      <c r="Z2" s="35" t="s">
        <v>856</v>
      </c>
      <c r="AA2" s="35" t="s">
        <v>857</v>
      </c>
      <c r="AB2" s="35" t="s">
        <v>856</v>
      </c>
      <c r="AC2" s="35" t="s">
        <v>174</v>
      </c>
      <c r="AD2" s="35" t="s">
        <v>856</v>
      </c>
      <c r="AE2" s="35" t="s">
        <v>857</v>
      </c>
      <c r="AF2" s="35" t="s">
        <v>856</v>
      </c>
      <c r="AG2" s="35" t="s">
        <v>174</v>
      </c>
      <c r="AH2" s="34" t="s">
        <v>856</v>
      </c>
      <c r="AI2" s="34" t="s">
        <v>857</v>
      </c>
      <c r="AJ2" s="34" t="s">
        <v>174</v>
      </c>
      <c r="AK2" s="34" t="s">
        <v>858</v>
      </c>
      <c r="AL2" s="34" t="s">
        <v>856</v>
      </c>
      <c r="AM2" s="34" t="s">
        <v>857</v>
      </c>
      <c r="AN2" s="34" t="s">
        <v>174</v>
      </c>
      <c r="AO2" s="34" t="s">
        <v>858</v>
      </c>
      <c r="AP2" s="34" t="s">
        <v>856</v>
      </c>
      <c r="AQ2" s="34" t="s">
        <v>857</v>
      </c>
      <c r="AR2" s="34" t="s">
        <v>856</v>
      </c>
      <c r="AS2" s="34" t="s">
        <v>174</v>
      </c>
      <c r="AT2" s="34" t="s">
        <v>858</v>
      </c>
      <c r="AU2" s="34" t="s">
        <v>859</v>
      </c>
      <c r="AV2" s="34" t="s">
        <v>858</v>
      </c>
      <c r="AW2" s="34" t="s">
        <v>856</v>
      </c>
      <c r="AX2" s="34" t="s">
        <v>857</v>
      </c>
      <c r="AY2" s="34" t="s">
        <v>856</v>
      </c>
      <c r="AZ2" s="34" t="s">
        <v>174</v>
      </c>
      <c r="BA2" s="34" t="s">
        <v>858</v>
      </c>
      <c r="BB2" s="34" t="s">
        <v>859</v>
      </c>
      <c r="BC2" s="34" t="s">
        <v>858</v>
      </c>
      <c r="BD2" s="35" t="s">
        <v>856</v>
      </c>
      <c r="BE2" s="35" t="s">
        <v>857</v>
      </c>
      <c r="BF2" s="35" t="s">
        <v>174</v>
      </c>
      <c r="BG2" s="35" t="s">
        <v>858</v>
      </c>
      <c r="BH2" s="35" t="s">
        <v>859</v>
      </c>
      <c r="BI2" s="35" t="s">
        <v>856</v>
      </c>
      <c r="BJ2" s="35" t="s">
        <v>857</v>
      </c>
      <c r="BK2" s="35" t="s">
        <v>174</v>
      </c>
      <c r="BL2" s="35" t="s">
        <v>858</v>
      </c>
      <c r="BM2" s="35" t="s">
        <v>859</v>
      </c>
      <c r="BN2" s="34" t="s">
        <v>856</v>
      </c>
      <c r="BO2" s="34" t="s">
        <v>857</v>
      </c>
      <c r="BP2" s="34" t="s">
        <v>174</v>
      </c>
      <c r="BQ2" s="34" t="s">
        <v>858</v>
      </c>
      <c r="BR2" s="34" t="s">
        <v>859</v>
      </c>
      <c r="BS2" s="34" t="s">
        <v>856</v>
      </c>
      <c r="BT2" s="34" t="s">
        <v>857</v>
      </c>
      <c r="BU2" s="34" t="s">
        <v>174</v>
      </c>
      <c r="BV2" s="34" t="s">
        <v>858</v>
      </c>
      <c r="BW2" s="34" t="s">
        <v>859</v>
      </c>
      <c r="BX2" s="35" t="s">
        <v>174</v>
      </c>
      <c r="BY2" s="35" t="s">
        <v>858</v>
      </c>
      <c r="BZ2" s="35" t="s">
        <v>859</v>
      </c>
      <c r="CA2" s="35" t="s">
        <v>858</v>
      </c>
      <c r="CB2" s="34" t="s">
        <v>858</v>
      </c>
      <c r="CC2" s="34" t="s">
        <v>859</v>
      </c>
      <c r="CD2" s="34" t="s">
        <v>858</v>
      </c>
      <c r="CE2" s="34" t="s">
        <v>174</v>
      </c>
    </row>
    <row r="3" spans="1:83" x14ac:dyDescent="0.25">
      <c r="A3" t="str">
        <f>Plantilla!D4</f>
        <v>Cosme Fonteboa</v>
      </c>
      <c r="B3">
        <f>Plantilla!E4</f>
        <v>26</v>
      </c>
      <c r="C3" s="25">
        <f ca="1">Plantilla!F4</f>
        <v>32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" si="0">(F3/7)^0.5</f>
        <v>0.92582009977255142</v>
      </c>
      <c r="H3" s="38">
        <f t="shared" ref="H3" si="1">IF(F3=7,1,((F3+0.99)/7)^0.5)</f>
        <v>0.99928545900129484</v>
      </c>
      <c r="I3" s="104">
        <f ca="1">Plantilla!N4</f>
        <v>1</v>
      </c>
      <c r="J3" s="29">
        <f>Plantilla!I4</f>
        <v>8.5</v>
      </c>
      <c r="K3" s="36">
        <f>Plantilla!X4</f>
        <v>15</v>
      </c>
      <c r="L3" s="36">
        <f>Plantilla!Y4</f>
        <v>12.363636363636363</v>
      </c>
      <c r="M3" s="36">
        <f>Plantilla!Z4</f>
        <v>0</v>
      </c>
      <c r="N3" s="36">
        <f>Plantilla!AA4</f>
        <v>1</v>
      </c>
      <c r="O3" s="36">
        <f>Plantilla!AB4</f>
        <v>1</v>
      </c>
      <c r="P3" s="36">
        <f>Plantilla!AC4</f>
        <v>1</v>
      </c>
      <c r="Q3" s="36">
        <f>Plantilla!AD4</f>
        <v>15</v>
      </c>
      <c r="R3" s="36">
        <f t="shared" ref="R3" si="2">((2*(O3+1))+(L3+1))/8</f>
        <v>2.1704545454545454</v>
      </c>
      <c r="S3" s="36">
        <f t="shared" ref="S3" si="3">(0.5*P3+0.3*Q3)/10</f>
        <v>0.5</v>
      </c>
      <c r="T3" s="36">
        <f t="shared" ref="T3" si="4">(0.4*L3+0.3*Q3)/10</f>
        <v>0.94454545454545458</v>
      </c>
      <c r="U3" s="36">
        <f t="shared" ref="U3" ca="1" si="5">(Q3+I3+(LOG(J3)*4/3))*(F3/7)^0.5</f>
        <v>15.960421226407894</v>
      </c>
      <c r="V3" s="36">
        <f t="shared" ref="V3" ca="1" si="6">IF(F3=7,U3,(Q3+I3+(LOG(J3)*4/3))*((F3+0.99)/7)^0.5)</f>
        <v>17.226907101069912</v>
      </c>
      <c r="W3" s="27">
        <f t="shared" ref="W3" ca="1" si="7">((K3+I3+(LOG(J3)*4/3))*0.597)+((L3+I3+(LOG(J3)*4/3))*0.276)</f>
        <v>14.322207265895072</v>
      </c>
      <c r="X3" s="27">
        <f t="shared" ref="X3" ca="1" si="8">((K3+I3+(LOG(J3)*4/3))*0.866)+((L3+I3+(LOG(J3)*4/3))*0.425)</f>
        <v>21.135385232008321</v>
      </c>
      <c r="Y3" s="27">
        <f t="shared" ref="Y3" ca="1" si="9">W3</f>
        <v>14.322207265895072</v>
      </c>
      <c r="Z3" s="27">
        <f t="shared" ref="Z3" ca="1" si="10">((L3+I3+(LOG(J3)*4/3))*0.516)</f>
        <v>7.5350765845277978</v>
      </c>
      <c r="AA3" s="27">
        <f t="shared" ref="AA3" ca="1" si="11">((L3+I3+(LOG(J3)*4/3))*1)</f>
        <v>14.602861597922088</v>
      </c>
      <c r="AB3" s="27">
        <f t="shared" ref="AB3" ca="1" si="12">Z3/2</f>
        <v>3.7675382922638989</v>
      </c>
      <c r="AC3" s="27">
        <f t="shared" ref="AC3" ca="1" si="13">((M3+I3+(LOG(J3)*4/3))*0.238)</f>
        <v>0.53293560576000221</v>
      </c>
      <c r="AD3" s="27">
        <f t="shared" ref="AD3" ca="1" si="14">((L3+I3+(LOG(J3)*4/3))*0.378)</f>
        <v>5.5198816840145488</v>
      </c>
      <c r="AE3" s="27">
        <f t="shared" ref="AE3" ca="1" si="15">((L3+I3+(LOG(J3)*4/3))*0.723)</f>
        <v>10.55786893529767</v>
      </c>
      <c r="AF3" s="27">
        <f t="shared" ref="AF3" ca="1" si="16">AD3/2</f>
        <v>2.7599408420072744</v>
      </c>
      <c r="AG3" s="27">
        <f t="shared" ref="AG3" ca="1" si="17">((M3+I3+(LOG(J3)*4/3))*0.385)</f>
        <v>0.86210171520000356</v>
      </c>
      <c r="AH3" s="27">
        <f t="shared" ref="AH3" ca="1" si="18">((L3+I3+(LOG(J3)*4/3))*0.92)</f>
        <v>13.434632670088321</v>
      </c>
      <c r="AI3" s="27">
        <f t="shared" ref="AI3" ca="1" si="19">((L3+I3+(LOG(J3)*4/3))*0.414)</f>
        <v>6.0455847015397444</v>
      </c>
      <c r="AJ3" s="27">
        <f t="shared" ref="AJ3" ca="1" si="20">((M3+I3+(LOG(J3)*4/3))*0.167)</f>
        <v>0.37395061412571584</v>
      </c>
      <c r="AK3" s="27">
        <f t="shared" ref="AK3" ca="1" si="21">((N3+I3+(LOG(J3)*4/3))*0.588)</f>
        <v>1.9046644377600053</v>
      </c>
      <c r="AL3" s="27">
        <f t="shared" ref="AL3" ca="1" si="22">((L3+I3+(LOG(J3)*4/3))*0.754)</f>
        <v>11.010557644833254</v>
      </c>
      <c r="AM3" s="27">
        <f t="shared" ref="AM3" ca="1" si="23">((L3+I3+(LOG(J3)*4/3))*0.708)</f>
        <v>10.338826011328837</v>
      </c>
      <c r="AN3" s="27">
        <f t="shared" ref="AN3" ca="1" si="24">((Q3+I3+(LOG(J3)*4/3))*0.167)</f>
        <v>2.8789506141257157</v>
      </c>
      <c r="AO3" s="27">
        <f t="shared" ref="AO3" ca="1" si="25">((R3+I3+(LOG(J3)*4/3))*0.288)</f>
        <v>1.2699877765651975</v>
      </c>
      <c r="AP3" s="27">
        <f t="shared" ref="AP3" ca="1" si="26">((L3+I3+(LOG(J3)*4/3))*0.27)</f>
        <v>3.9427726314389639</v>
      </c>
      <c r="AQ3" s="27">
        <f t="shared" ref="AQ3" ca="1" si="27">((L3+I3+(LOG(J3)*4/3))*0.594)</f>
        <v>8.6740997891657194</v>
      </c>
      <c r="AR3" s="27">
        <f t="shared" ref="AR3" ca="1" si="28">AP3/2</f>
        <v>1.971386315719482</v>
      </c>
      <c r="AS3" s="27">
        <f t="shared" ref="AS3" ca="1" si="29">((M3+I3+(LOG(J3)*4/3))*0.944)</f>
        <v>2.1138286211657227</v>
      </c>
      <c r="AT3" s="27">
        <f t="shared" ref="AT3" ca="1" si="30">((O3+I3+(LOG(J3)*4/3))*0.13)</f>
        <v>0.42109928045714407</v>
      </c>
      <c r="AU3" s="27">
        <f t="shared" ref="AU3" ca="1" si="31">((P3+I3+(LOG(J3)*4/3))*0.173)+((O3+I3+(LOG(J3)*4/3))*0.12)</f>
        <v>0.94909299364571698</v>
      </c>
      <c r="AV3" s="27">
        <f t="shared" ref="AV3" ca="1" si="32">AT3/2</f>
        <v>0.21054964022857203</v>
      </c>
      <c r="AW3" s="27">
        <f t="shared" ref="AW3" ca="1" si="33">((L3+I3+(LOG(J3)*4/3))*0.189)</f>
        <v>2.7599408420072744</v>
      </c>
      <c r="AX3" s="27">
        <f t="shared" ref="AX3" ca="1" si="34">((L3+I3+(LOG(J3)*4/3))*0.4)</f>
        <v>5.8411446391688351</v>
      </c>
      <c r="AY3" s="27">
        <f t="shared" ref="AY3" ca="1" si="35">AW3/2</f>
        <v>1.3799704210036372</v>
      </c>
      <c r="AZ3" s="27">
        <f t="shared" ref="AZ3" ca="1" si="36">((M3+I3+(LOG(J3)*4/3))*1)</f>
        <v>2.2392252342857235</v>
      </c>
      <c r="BA3" s="27">
        <f t="shared" ref="BA3" ca="1" si="37">((O3+I3+(LOG(J3)*4/3))*0.253)</f>
        <v>0.81952398427428808</v>
      </c>
      <c r="BB3" s="27">
        <f t="shared" ref="BB3" ca="1" si="38">((P3+I3+(LOG(J3)*4/3))*0.21)+((O3+I3+(LOG(J3)*4/3))*0.341)</f>
        <v>1.7848131040914337</v>
      </c>
      <c r="BC3" s="27">
        <f t="shared" ref="BC3" ca="1" si="39">BA3/2</f>
        <v>0.40976199213714404</v>
      </c>
      <c r="BD3" s="27">
        <f t="shared" ref="BD3" ca="1" si="40">((L3+I3+(LOG(J3)*4/3))*0.291)</f>
        <v>4.2494327249953274</v>
      </c>
      <c r="BE3" s="27">
        <f t="shared" ref="BE3" ca="1" si="41">((L3+I3+(LOG(J3)*4/3))*0.348)</f>
        <v>5.0817958360768865</v>
      </c>
      <c r="BF3" s="27">
        <f t="shared" ref="BF3" ca="1" si="42">((M3+I3+(LOG(J3)*4/3))*0.881)</f>
        <v>1.9727574314057224</v>
      </c>
      <c r="BG3" s="27">
        <f t="shared" ref="BG3" ca="1" si="43">((N3+I3+(LOG(J3)*4/3))*0.574)+((O3+I3+(LOG(J3)*4/3))*0.315)</f>
        <v>2.8796712332800078</v>
      </c>
      <c r="BH3" s="27">
        <f t="shared" ref="BH3" ca="1" si="44">((O3+I3+(LOG(J3)*4/3))*0.241)</f>
        <v>0.78065328146285939</v>
      </c>
      <c r="BI3" s="27">
        <f t="shared" ref="BI3" ca="1" si="45">((L3+I3+(LOG(J3)*4/3))*0.485)</f>
        <v>7.0823878749922127</v>
      </c>
      <c r="BJ3" s="27">
        <f t="shared" ref="BJ3" ca="1" si="46">((L3+I3+(LOG(J3)*4/3))*0.264)</f>
        <v>3.8551554618514312</v>
      </c>
      <c r="BK3" s="27">
        <f t="shared" ref="BK3" ca="1" si="47">((M3+I3+(LOG(J3)*4/3))*0.381)</f>
        <v>0.85314481426286071</v>
      </c>
      <c r="BL3" s="27">
        <f t="shared" ref="BL3" ca="1" si="48">((N3+I3+(LOG(J3)*4/3))*0.673)+((O3+I3+(LOG(J3)*4/3))*0.201)</f>
        <v>2.8310828547657225</v>
      </c>
      <c r="BM3" s="27">
        <f t="shared" ref="BM3" ca="1" si="49">((O3+I3+(LOG(J3)*4/3))*0.052)</f>
        <v>0.16843971218285761</v>
      </c>
      <c r="BN3" s="27">
        <f t="shared" ref="BN3" ca="1" si="50">((L3+I3+(LOG(J3)*4/3))*0.18)</f>
        <v>2.6285150876259755</v>
      </c>
      <c r="BO3" s="27">
        <f t="shared" ref="BO3" ca="1" si="51">((L3+I3+(LOG(J3)*4/3))*0.068)</f>
        <v>0.99299458865870205</v>
      </c>
      <c r="BP3" s="27">
        <f t="shared" ref="BP3" ca="1" si="52">((M3+I3+(LOG(J3)*4/3))*0.305)</f>
        <v>0.68296369645714561</v>
      </c>
      <c r="BQ3" s="27">
        <f t="shared" ref="BQ3" ca="1" si="53">((N3+I3+(LOG(J3)*4/3))*1)+((O3+I3+(LOG(J3)*4/3))*0.286)</f>
        <v>4.1656436512914405</v>
      </c>
      <c r="BR3" s="27">
        <f t="shared" ref="BR3" ca="1" si="54">((O3+I3+(LOG(J3)*4/3))*0.135)</f>
        <v>0.43729540662857269</v>
      </c>
      <c r="BS3" s="27">
        <f t="shared" ref="BS3" ca="1" si="55">((L3+I3+(LOG(J3)*4/3))*0.284)</f>
        <v>4.1472126938098723</v>
      </c>
      <c r="BT3" s="27">
        <f t="shared" ref="BT3" ca="1" si="56">((L3+I3+(LOG(J3)*4/3))*0.244)</f>
        <v>3.5630982298929892</v>
      </c>
      <c r="BU3" s="27">
        <f t="shared" ref="BU3" ca="1" si="57">((M3+I3+(LOG(J3)*4/3))*0.631)</f>
        <v>1.4129511228342915</v>
      </c>
      <c r="BV3" s="27">
        <f t="shared" ref="BV3" ca="1" si="58">((N3+I3+(LOG(J3)*4/3))*0.702)+((O3+I3+(LOG(J3)*4/3))*0.193)</f>
        <v>2.8991065846857222</v>
      </c>
      <c r="BW3" s="27">
        <f t="shared" ref="BW3" ca="1" si="59">((O3+I3+(LOG(J3)*4/3))*0.148)</f>
        <v>0.47940533467428703</v>
      </c>
      <c r="BX3" s="27">
        <f t="shared" ref="BX3" ca="1" si="60">((M3+I3+(LOG(J3)*4/3))*0.406)</f>
        <v>0.90912544512000382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1.6876363470628619</v>
      </c>
      <c r="BZ3" s="27">
        <f t="shared" ref="BZ3" ca="1" si="62">IF(D3="TEC",((O3+I3+(LOG(J3)*4/3))*0.543)+((P3+I3+(LOG(J3)*4/3))*0.583),((O3+I3+(LOG(J3)*4/3))*0.543)+((P3+I3+(LOG(J3)*4/3))*0.583))</f>
        <v>3.6473676138057245</v>
      </c>
      <c r="CA3" s="27">
        <f t="shared" ref="CA3" ca="1" si="63">BY3</f>
        <v>1.6876363470628619</v>
      </c>
      <c r="CB3" s="27">
        <f t="shared" ref="CB3" ca="1" si="64">((P3+I3+(LOG(J3)*4/3))*0.26)+((N3+I3+(LOG(J3)*4/3))*0.221)+((O3+I3+(LOG(J3)*4/3))*0.142)</f>
        <v>2.0180373209600058</v>
      </c>
      <c r="CC3" s="27">
        <f t="shared" ref="CC3" ca="1" si="65">((P3+I3+(LOG(J3)*4/3))*1)+((O3+I3+(LOG(J3)*4/3))*0.369)</f>
        <v>4.4344993457371551</v>
      </c>
      <c r="CD3" s="27">
        <f t="shared" ref="CD3" ca="1" si="66">CB3</f>
        <v>2.0180373209600058</v>
      </c>
      <c r="CE3" s="27">
        <f t="shared" ref="CE3" ca="1" si="67">((M3+I3+(LOG(J3)*4/3))*0.25)</f>
        <v>0.55980630857143088</v>
      </c>
    </row>
    <row r="4" spans="1:83" x14ac:dyDescent="0.25">
      <c r="A4" t="str">
        <f>Plantilla!D5</f>
        <v>Nicolae Hornet</v>
      </c>
      <c r="B4">
        <f>Plantilla!E5</f>
        <v>26</v>
      </c>
      <c r="C4" s="25">
        <f ca="1">Plantilla!F5</f>
        <v>57</v>
      </c>
      <c r="D4" s="42">
        <f>Plantilla!G5</f>
        <v>0</v>
      </c>
      <c r="E4" s="23">
        <f>Plantilla!M5</f>
        <v>43190</v>
      </c>
      <c r="F4" s="37">
        <f>Plantilla!Q5</f>
        <v>6</v>
      </c>
      <c r="G4" s="38">
        <f t="shared" ref="G4:G19" si="68">(F4/7)^0.5</f>
        <v>0.92582009977255142</v>
      </c>
      <c r="H4" s="38">
        <f t="shared" ref="H4:H19" si="69">IF(F4=7,1,((F4+0.99)/7)^0.5)</f>
        <v>0.99928545900129484</v>
      </c>
      <c r="I4" s="104">
        <f ca="1">Plantilla!N5</f>
        <v>1</v>
      </c>
      <c r="J4" s="29">
        <f>Plantilla!I5</f>
        <v>2.1</v>
      </c>
      <c r="K4" s="36">
        <f>Plantilla!X5</f>
        <v>6</v>
      </c>
      <c r="L4" s="36">
        <f>Plantilla!Y5</f>
        <v>5.4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4</v>
      </c>
      <c r="R4" s="36">
        <f t="shared" ref="R4:R19" si="70">((2*(O4+1))+(L4+1))/8</f>
        <v>1.3</v>
      </c>
      <c r="S4" s="36">
        <f t="shared" ref="S4:S19" si="71">(0.5*P4+0.3*Q4)/10</f>
        <v>0.16999999999999998</v>
      </c>
      <c r="T4" s="36">
        <f t="shared" ref="T4:T19" si="72">(0.4*L4+0.3*Q4)/10</f>
        <v>0.33600000000000002</v>
      </c>
      <c r="U4" s="36">
        <f t="shared" ref="U4:U19" ca="1" si="73">(Q4+I4+(LOG(J4)*4/3))*(F4/7)^0.5</f>
        <v>5.0268566316616878</v>
      </c>
      <c r="V4" s="36">
        <f t="shared" ref="V4:V19" ca="1" si="74">IF(F4=7,U4,(Q4+I4+(LOG(J4)*4/3))*((F4+0.99)/7)^0.5)</f>
        <v>5.4257460361228178</v>
      </c>
      <c r="W4" s="27">
        <f t="shared" ref="W4:W19" ca="1" si="75">((K4+I4+(LOG(J4)*4/3))*0.597)+((L4+I4+(LOG(J4)*4/3))*0.276)</f>
        <v>6.3204632590702818</v>
      </c>
      <c r="X4" s="27">
        <f t="shared" ref="X4:X19" ca="1" si="76">((K4+I4+(LOG(J4)*4/3))*0.866)+((L4+I4+(LOG(J4)*4/3))*0.425)</f>
        <v>9.3366468126686541</v>
      </c>
      <c r="Y4" s="27">
        <f t="shared" ref="Y4:Y19" ca="1" si="77">W4</f>
        <v>6.3204632590702818</v>
      </c>
      <c r="Z4" s="27">
        <f t="shared" ref="Z4:Z19" ca="1" si="78">((L4+I4+(LOG(J4)*4/3))*0.516)</f>
        <v>3.5240868747769367</v>
      </c>
      <c r="AA4" s="27">
        <f t="shared" ref="AA4:AA19" ca="1" si="79">((L4+I4+(LOG(J4)*4/3))*1)</f>
        <v>6.8296257263118925</v>
      </c>
      <c r="AB4" s="27">
        <f t="shared" ref="AB4:AB19" ca="1" si="80">Z4/2</f>
        <v>1.7620434373884684</v>
      </c>
      <c r="AC4" s="27">
        <f t="shared" ref="AC4:AC19" ca="1" si="81">((M4+I4+(LOG(J4)*4/3))*0.238)</f>
        <v>0.34025092286223035</v>
      </c>
      <c r="AD4" s="27">
        <f t="shared" ref="AD4:AD19" ca="1" si="82">((L4+I4+(LOG(J4)*4/3))*0.378)</f>
        <v>2.5815985245458952</v>
      </c>
      <c r="AE4" s="27">
        <f t="shared" ref="AE4:AE19" ca="1" si="83">((L4+I4+(LOG(J4)*4/3))*0.723)</f>
        <v>4.9378194001234981</v>
      </c>
      <c r="AF4" s="27">
        <f t="shared" ref="AF4:AF19" ca="1" si="84">AD4/2</f>
        <v>1.2907992622729476</v>
      </c>
      <c r="AG4" s="27">
        <f t="shared" ref="AG4:AG19" ca="1" si="85">((M4+I4+(LOG(J4)*4/3))*0.385)</f>
        <v>0.55040590463007855</v>
      </c>
      <c r="AH4" s="27">
        <f t="shared" ref="AH4:AH19" ca="1" si="86">((L4+I4+(LOG(J4)*4/3))*0.92)</f>
        <v>6.2832556682069409</v>
      </c>
      <c r="AI4" s="27">
        <f t="shared" ref="AI4:AI19" ca="1" si="87">((L4+I4+(LOG(J4)*4/3))*0.414)</f>
        <v>2.8274650506931231</v>
      </c>
      <c r="AJ4" s="27">
        <f t="shared" ref="AJ4:AJ19" ca="1" si="88">((M4+I4+(LOG(J4)*4/3))*0.167)</f>
        <v>0.23874749629408604</v>
      </c>
      <c r="AK4" s="27">
        <f t="shared" ref="AK4:AK19" ca="1" si="89">((N4+I4+(LOG(J4)*4/3))*0.588)</f>
        <v>2.6046199270713926</v>
      </c>
      <c r="AL4" s="27">
        <f t="shared" ref="AL4:AL19" ca="1" si="90">((L4+I4+(LOG(J4)*4/3))*0.754)</f>
        <v>5.1495377976391667</v>
      </c>
      <c r="AM4" s="27">
        <f t="shared" ref="AM4:AM19" ca="1" si="91">((L4+I4+(LOG(J4)*4/3))*0.708)</f>
        <v>4.8353750142288199</v>
      </c>
      <c r="AN4" s="27">
        <f t="shared" ref="AN4:AN19" ca="1" si="92">((Q4+I4+(LOG(J4)*4/3))*0.167)</f>
        <v>0.90674749629408602</v>
      </c>
      <c r="AO4" s="27">
        <f t="shared" ref="AO4:AO19" ca="1" si="93">((R4+I4+(LOG(J4)*4/3))*0.288)</f>
        <v>0.78613220917782489</v>
      </c>
      <c r="AP4" s="27">
        <f t="shared" ref="AP4:AP19" ca="1" si="94">((L4+I4+(LOG(J4)*4/3))*0.27)</f>
        <v>1.843998946104211</v>
      </c>
      <c r="AQ4" s="27">
        <f t="shared" ref="AQ4:AQ19" ca="1" si="95">((L4+I4+(LOG(J4)*4/3))*0.594)</f>
        <v>4.0567976814292637</v>
      </c>
      <c r="AR4" s="27">
        <f t="shared" ref="AR4:AR19" ca="1" si="96">AP4/2</f>
        <v>0.9219994730521055</v>
      </c>
      <c r="AS4" s="27">
        <f t="shared" ref="AS4:AS19" ca="1" si="97">((M4+I4+(LOG(J4)*4/3))*0.944)</f>
        <v>1.3495666856384263</v>
      </c>
      <c r="AT4" s="27">
        <f t="shared" ref="AT4:AT19" ca="1" si="98">((O4+I4+(LOG(J4)*4/3))*0.13)</f>
        <v>0.31585134442054602</v>
      </c>
      <c r="AU4" s="27">
        <f t="shared" ref="AU4:AU19" ca="1" si="99">((P4+I4+(LOG(J4)*4/3))*0.173)+((O4+I4+(LOG(J4)*4/3))*0.12)</f>
        <v>0.71188033780938453</v>
      </c>
      <c r="AV4" s="27">
        <f t="shared" ref="AV4:AV19" ca="1" si="100">AT4/2</f>
        <v>0.15792567221027301</v>
      </c>
      <c r="AW4" s="27">
        <f t="shared" ref="AW4:AW19" ca="1" si="101">((L4+I4+(LOG(J4)*4/3))*0.189)</f>
        <v>1.2907992622729476</v>
      </c>
      <c r="AX4" s="27">
        <f t="shared" ref="AX4:AX19" ca="1" si="102">((L4+I4+(LOG(J4)*4/3))*0.4)</f>
        <v>2.7318502905247573</v>
      </c>
      <c r="AY4" s="27">
        <f t="shared" ref="AY4:AY19" ca="1" si="103">AW4/2</f>
        <v>0.64539963113647381</v>
      </c>
      <c r="AZ4" s="27">
        <f t="shared" ref="AZ4:AZ19" ca="1" si="104">((M4+I4+(LOG(J4)*4/3))*1)</f>
        <v>1.4296257263118923</v>
      </c>
      <c r="BA4" s="27">
        <f t="shared" ref="BA4:BA19" ca="1" si="105">((O4+I4+(LOG(J4)*4/3))*0.253)</f>
        <v>0.61469530875690881</v>
      </c>
      <c r="BB4" s="27">
        <f t="shared" ref="BB4:BB19" ca="1" si="106">((P4+I4+(LOG(J4)*4/3))*0.21)+((O4+I4+(LOG(J4)*4/3))*0.341)</f>
        <v>1.3387237751978529</v>
      </c>
      <c r="BC4" s="27">
        <f t="shared" ref="BC4:BC19" ca="1" si="107">BA4/2</f>
        <v>0.3073476543784544</v>
      </c>
      <c r="BD4" s="27">
        <f t="shared" ref="BD4:BD19" ca="1" si="108">((L4+I4+(LOG(J4)*4/3))*0.291)</f>
        <v>1.9874210863567605</v>
      </c>
      <c r="BE4" s="27">
        <f t="shared" ref="BE4:BE19" ca="1" si="109">((L4+I4+(LOG(J4)*4/3))*0.348)</f>
        <v>2.3767097527565384</v>
      </c>
      <c r="BF4" s="27">
        <f t="shared" ref="BF4:BF19" ca="1" si="110">((M4+I4+(LOG(J4)*4/3))*0.881)</f>
        <v>1.2595002648807772</v>
      </c>
      <c r="BG4" s="27">
        <f t="shared" ref="BG4:BG19" ca="1" si="111">((N4+I4+(LOG(J4)*4/3))*0.574)+((O4+I4+(LOG(J4)*4/3))*0.315)</f>
        <v>3.307937270691272</v>
      </c>
      <c r="BH4" s="27">
        <f t="shared" ref="BH4:BH19" ca="1" si="112">((O4+I4+(LOG(J4)*4/3))*0.241)</f>
        <v>0.58553980004116613</v>
      </c>
      <c r="BI4" s="27">
        <f t="shared" ref="BI4:BI19" ca="1" si="113">((L4+I4+(LOG(J4)*4/3))*0.485)</f>
        <v>3.3123684772612676</v>
      </c>
      <c r="BJ4" s="27">
        <f t="shared" ref="BJ4:BJ19" ca="1" si="114">((L4+I4+(LOG(J4)*4/3))*0.264)</f>
        <v>1.8030211917463397</v>
      </c>
      <c r="BK4" s="27">
        <f t="shared" ref="BK4:BK19" ca="1" si="115">((M4+I4+(LOG(J4)*4/3))*0.381)</f>
        <v>0.54468740172483099</v>
      </c>
      <c r="BL4" s="27">
        <f t="shared" ref="BL4:BL19" ca="1" si="116">((N4+I4+(LOG(J4)*4/3))*0.673)+((O4+I4+(LOG(J4)*4/3))*0.201)</f>
        <v>3.469492884796594</v>
      </c>
      <c r="BM4" s="27">
        <f t="shared" ref="BM4:BM19" ca="1" si="117">((O4+I4+(LOG(J4)*4/3))*0.052)</f>
        <v>0.12634053776821841</v>
      </c>
      <c r="BN4" s="27">
        <f t="shared" ref="BN4:BN19" ca="1" si="118">((L4+I4+(LOG(J4)*4/3))*0.18)</f>
        <v>1.2293326307361405</v>
      </c>
      <c r="BO4" s="27">
        <f t="shared" ref="BO4:BO19" ca="1" si="119">((L4+I4+(LOG(J4)*4/3))*0.068)</f>
        <v>0.46441454938920873</v>
      </c>
      <c r="BP4" s="27">
        <f t="shared" ref="BP4:BP19" ca="1" si="120">((M4+I4+(LOG(J4)*4/3))*0.305)</f>
        <v>0.43603584652512717</v>
      </c>
      <c r="BQ4" s="27">
        <f t="shared" ref="BQ4:BQ19" ca="1" si="121">((N4+I4+(LOG(J4)*4/3))*1)+((O4+I4+(LOG(J4)*4/3))*0.286)</f>
        <v>5.1244986840370936</v>
      </c>
      <c r="BR4" s="27">
        <f t="shared" ref="BR4:BR19" ca="1" si="122">((O4+I4+(LOG(J4)*4/3))*0.135)</f>
        <v>0.32799947305210553</v>
      </c>
      <c r="BS4" s="27">
        <f t="shared" ref="BS4:BS19" ca="1" si="123">((L4+I4+(LOG(J4)*4/3))*0.284)</f>
        <v>1.9396137062725773</v>
      </c>
      <c r="BT4" s="27">
        <f t="shared" ref="BT4:BT19" ca="1" si="124">((L4+I4+(LOG(J4)*4/3))*0.244)</f>
        <v>1.6664286772201018</v>
      </c>
      <c r="BU4" s="27">
        <f t="shared" ref="BU4:BU19" ca="1" si="125">((M4+I4+(LOG(J4)*4/3))*0.631)</f>
        <v>0.90209383330280402</v>
      </c>
      <c r="BV4" s="27">
        <f t="shared" ref="BV4:BV19" ca="1" si="126">((N4+I4+(LOG(J4)*4/3))*0.702)+((O4+I4+(LOG(J4)*4/3))*0.193)</f>
        <v>3.5785150250491435</v>
      </c>
      <c r="BW4" s="27">
        <f t="shared" ref="BW4:BW19" ca="1" si="127">((O4+I4+(LOG(J4)*4/3))*0.148)</f>
        <v>0.3595846074941601</v>
      </c>
      <c r="BX4" s="27">
        <f t="shared" ref="BX4:BX19" ca="1" si="128">((M4+I4+(LOG(J4)*4/3))*0.406)</f>
        <v>0.58042804488262834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1.5538350034084958</v>
      </c>
      <c r="BZ4" s="27">
        <f t="shared" ref="BZ4:BZ19" ca="1" si="130">IF(D4="TEC",((O4+I4+(LOG(J4)*4/3))*0.543)+((P4+I4+(LOG(J4)*4/3))*0.583),((O4+I4+(LOG(J4)*4/3))*0.543)+((P4+I4+(LOG(J4)*4/3))*0.583))</f>
        <v>2.7357585678271912</v>
      </c>
      <c r="CA4" s="27">
        <f t="shared" ref="CA4:CA19" ca="1" si="131">BY4</f>
        <v>1.5538350034084958</v>
      </c>
      <c r="CB4" s="27">
        <f t="shared" ref="CB4:CB19" ca="1" si="132">((P4+I4+(LOG(J4)*4/3))*0.26)+((N4+I4+(LOG(J4)*4/3))*0.221)+((O4+I4+(LOG(J4)*4/3))*0.142)</f>
        <v>1.955656827492309</v>
      </c>
      <c r="CC4" s="27">
        <f t="shared" ref="CC4:CC19" ca="1" si="133">((P4+I4+(LOG(J4)*4/3))*1)+((O4+I4+(LOG(J4)*4/3))*0.369)</f>
        <v>3.326157619320981</v>
      </c>
      <c r="CD4" s="27">
        <f t="shared" ref="CD4:CD19" ca="1" si="134">CB4</f>
        <v>1.955656827492309</v>
      </c>
      <c r="CE4" s="27">
        <f t="shared" ref="CE4:CE19" ca="1" si="135">((M4+I4+(LOG(J4)*4/3))*0.25)</f>
        <v>0.35740643157797308</v>
      </c>
    </row>
    <row r="5" spans="1:83" x14ac:dyDescent="0.25">
      <c r="A5" t="str">
        <f>Plantilla!D6</f>
        <v>Miguel Fernández</v>
      </c>
      <c r="B5">
        <f>Plantilla!E6</f>
        <v>26</v>
      </c>
      <c r="C5" s="25">
        <f ca="1">Plantilla!F6</f>
        <v>29</v>
      </c>
      <c r="D5" s="42">
        <f>Plantilla!G6</f>
        <v>0</v>
      </c>
      <c r="E5" s="23">
        <f>Plantilla!M6</f>
        <v>43395</v>
      </c>
      <c r="F5" s="37">
        <f>Plantilla!Q6</f>
        <v>5</v>
      </c>
      <c r="G5" s="38">
        <f t="shared" si="68"/>
        <v>0.84515425472851657</v>
      </c>
      <c r="H5" s="38">
        <f t="shared" si="69"/>
        <v>0.92504826128926143</v>
      </c>
      <c r="I5" s="104">
        <f ca="1">Plantilla!N6</f>
        <v>1</v>
      </c>
      <c r="J5" s="29">
        <f>Plantilla!I6</f>
        <v>4.8</v>
      </c>
      <c r="K5" s="36">
        <f>Plantilla!X6</f>
        <v>0</v>
      </c>
      <c r="L5" s="36">
        <f>Plantilla!Y6</f>
        <v>15.488194444444444</v>
      </c>
      <c r="M5" s="36">
        <f>Plantilla!Z6</f>
        <v>6</v>
      </c>
      <c r="N5" s="36">
        <f>Plantilla!AA6</f>
        <v>6.666666666666667</v>
      </c>
      <c r="O5" s="36">
        <f>Plantilla!AB6</f>
        <v>9</v>
      </c>
      <c r="P5" s="36">
        <f>Plantilla!AC6</f>
        <v>2</v>
      </c>
      <c r="Q5" s="36">
        <f>Plantilla!AD6</f>
        <v>13.5</v>
      </c>
      <c r="R5" s="36">
        <f t="shared" si="70"/>
        <v>4.5610243055555557</v>
      </c>
      <c r="S5" s="36">
        <f t="shared" si="71"/>
        <v>0.505</v>
      </c>
      <c r="T5" s="36">
        <f t="shared" si="72"/>
        <v>1.0245277777777777</v>
      </c>
      <c r="U5" s="36">
        <f t="shared" ca="1" si="73"/>
        <v>13.022408600582819</v>
      </c>
      <c r="V5" s="36">
        <f t="shared" ca="1" si="74"/>
        <v>14.253441151564733</v>
      </c>
      <c r="W5" s="27">
        <f t="shared" ca="1" si="75"/>
        <v>5.9407064669718501</v>
      </c>
      <c r="X5" s="27">
        <f t="shared" ca="1" si="76"/>
        <v>9.0461258888247329</v>
      </c>
      <c r="Y5" s="27">
        <f t="shared" ca="1" si="77"/>
        <v>5.9407064669718501</v>
      </c>
      <c r="Z5" s="27">
        <f t="shared" ca="1" si="78"/>
        <v>8.9766023046477379</v>
      </c>
      <c r="AA5" s="27">
        <f t="shared" ca="1" si="79"/>
        <v>17.39651609427856</v>
      </c>
      <c r="AB5" s="27">
        <f t="shared" ca="1" si="80"/>
        <v>4.4883011523238689</v>
      </c>
      <c r="AC5" s="27">
        <f t="shared" ca="1" si="81"/>
        <v>1.8821805526605195</v>
      </c>
      <c r="AD5" s="27">
        <f t="shared" ca="1" si="82"/>
        <v>6.5758830836372955</v>
      </c>
      <c r="AE5" s="27">
        <f t="shared" ca="1" si="83"/>
        <v>12.577681136163399</v>
      </c>
      <c r="AF5" s="27">
        <f t="shared" ca="1" si="84"/>
        <v>3.2879415418186477</v>
      </c>
      <c r="AG5" s="27">
        <f t="shared" ca="1" si="85"/>
        <v>3.0447038351861346</v>
      </c>
      <c r="AH5" s="27">
        <f t="shared" ca="1" si="86"/>
        <v>16.004794806736275</v>
      </c>
      <c r="AI5" s="27">
        <f t="shared" ca="1" si="87"/>
        <v>7.2021576630313238</v>
      </c>
      <c r="AJ5" s="27">
        <f t="shared" ca="1" si="88"/>
        <v>1.3206897155222974</v>
      </c>
      <c r="AK5" s="27">
        <f t="shared" ca="1" si="89"/>
        <v>5.0420931301024599</v>
      </c>
      <c r="AL5" s="27">
        <f t="shared" ca="1" si="90"/>
        <v>13.116973135086035</v>
      </c>
      <c r="AM5" s="27">
        <f t="shared" ca="1" si="91"/>
        <v>12.316733394749219</v>
      </c>
      <c r="AN5" s="27">
        <f t="shared" ca="1" si="92"/>
        <v>2.5731897155222976</v>
      </c>
      <c r="AO5" s="27">
        <f t="shared" ca="1" si="93"/>
        <v>1.8631716351522254</v>
      </c>
      <c r="AP5" s="27">
        <f t="shared" ca="1" si="94"/>
        <v>4.6970593454552114</v>
      </c>
      <c r="AQ5" s="27">
        <f t="shared" ca="1" si="95"/>
        <v>10.333530560001464</v>
      </c>
      <c r="AR5" s="27">
        <f t="shared" ca="1" si="96"/>
        <v>2.3485296727276057</v>
      </c>
      <c r="AS5" s="27">
        <f t="shared" ca="1" si="97"/>
        <v>7.4654556374434051</v>
      </c>
      <c r="AT5" s="27">
        <f t="shared" ca="1" si="98"/>
        <v>1.4180818144784351</v>
      </c>
      <c r="AU5" s="27">
        <f t="shared" ca="1" si="99"/>
        <v>1.985138243401396</v>
      </c>
      <c r="AV5" s="27">
        <f t="shared" ca="1" si="100"/>
        <v>0.70904090723921753</v>
      </c>
      <c r="AW5" s="27">
        <f t="shared" ca="1" si="101"/>
        <v>3.2879415418186477</v>
      </c>
      <c r="AX5" s="27">
        <f t="shared" ca="1" si="102"/>
        <v>6.9586064377114241</v>
      </c>
      <c r="AY5" s="27">
        <f t="shared" ca="1" si="103"/>
        <v>1.6439707709093239</v>
      </c>
      <c r="AZ5" s="27">
        <f t="shared" ca="1" si="104"/>
        <v>7.9083216498341162</v>
      </c>
      <c r="BA5" s="27">
        <f t="shared" ca="1" si="105"/>
        <v>2.7598053774080316</v>
      </c>
      <c r="BB5" s="27">
        <f t="shared" ca="1" si="106"/>
        <v>4.5404852290585982</v>
      </c>
      <c r="BC5" s="27">
        <f t="shared" ca="1" si="107"/>
        <v>1.3799026887040158</v>
      </c>
      <c r="BD5" s="27">
        <f t="shared" ca="1" si="108"/>
        <v>5.062386183435061</v>
      </c>
      <c r="BE5" s="27">
        <f t="shared" ca="1" si="109"/>
        <v>6.0539876008089388</v>
      </c>
      <c r="BF5" s="27">
        <f t="shared" ca="1" si="110"/>
        <v>6.9672313735038562</v>
      </c>
      <c r="BG5" s="27">
        <f t="shared" ca="1" si="111"/>
        <v>8.358164613369194</v>
      </c>
      <c r="BH5" s="27">
        <f t="shared" ca="1" si="112"/>
        <v>2.628905517610022</v>
      </c>
      <c r="BI5" s="27">
        <f t="shared" ca="1" si="113"/>
        <v>8.4373103057251022</v>
      </c>
      <c r="BJ5" s="27">
        <f t="shared" ca="1" si="114"/>
        <v>4.5926802488895397</v>
      </c>
      <c r="BK5" s="27">
        <f t="shared" ca="1" si="115"/>
        <v>3.0130705485867981</v>
      </c>
      <c r="BL5" s="27">
        <f t="shared" ca="1" si="116"/>
        <v>7.9635397886216843</v>
      </c>
      <c r="BM5" s="27">
        <f t="shared" ca="1" si="117"/>
        <v>0.56723272579137407</v>
      </c>
      <c r="BN5" s="27">
        <f t="shared" ca="1" si="118"/>
        <v>3.1313728969701407</v>
      </c>
      <c r="BO5" s="27">
        <f t="shared" ca="1" si="119"/>
        <v>1.1829630944109422</v>
      </c>
      <c r="BP5" s="27">
        <f t="shared" ca="1" si="120"/>
        <v>2.4120381031994054</v>
      </c>
      <c r="BQ5" s="27">
        <f t="shared" ca="1" si="121"/>
        <v>11.694768308353339</v>
      </c>
      <c r="BR5" s="27">
        <f t="shared" ca="1" si="122"/>
        <v>1.4726234227276058</v>
      </c>
      <c r="BS5" s="27">
        <f t="shared" ca="1" si="123"/>
        <v>4.9406105707751102</v>
      </c>
      <c r="BT5" s="27">
        <f t="shared" ca="1" si="124"/>
        <v>4.2447499270039684</v>
      </c>
      <c r="BU5" s="27">
        <f t="shared" ca="1" si="125"/>
        <v>4.9901509610453276</v>
      </c>
      <c r="BV5" s="27">
        <f t="shared" ca="1" si="126"/>
        <v>8.1249478766015333</v>
      </c>
      <c r="BW5" s="27">
        <f t="shared" ca="1" si="127"/>
        <v>1.6144316041754492</v>
      </c>
      <c r="BX5" s="27">
        <f t="shared" ca="1" si="128"/>
        <v>3.2107785898326515</v>
      </c>
      <c r="BY5" s="27">
        <f t="shared" ca="1" si="129"/>
        <v>4.4582355795635742</v>
      </c>
      <c r="BZ5" s="27">
        <f t="shared" ca="1" si="130"/>
        <v>8.2017701777132146</v>
      </c>
      <c r="CA5" s="27">
        <f t="shared" ca="1" si="131"/>
        <v>4.4582355795635742</v>
      </c>
      <c r="CB5" s="27">
        <f t="shared" ca="1" si="132"/>
        <v>4.4602177211799869</v>
      </c>
      <c r="CC5" s="27">
        <f t="shared" ca="1" si="133"/>
        <v>7.933492338622905</v>
      </c>
      <c r="CD5" s="27">
        <f t="shared" ca="1" si="134"/>
        <v>4.4602177211799869</v>
      </c>
      <c r="CE5" s="27">
        <f t="shared" ca="1" si="135"/>
        <v>1.9770804124585291</v>
      </c>
    </row>
    <row r="6" spans="1:83" x14ac:dyDescent="0.25">
      <c r="A6" t="str">
        <f>Plantilla!D7</f>
        <v>Iván Real Figueroa</v>
      </c>
      <c r="B6">
        <f>Plantilla!E7</f>
        <v>26</v>
      </c>
      <c r="C6" s="25">
        <f ca="1">Plantilla!F7</f>
        <v>10</v>
      </c>
      <c r="D6" s="42">
        <f>Plantilla!G7</f>
        <v>0</v>
      </c>
      <c r="E6" s="23">
        <f>Plantilla!M7</f>
        <v>43410</v>
      </c>
      <c r="F6" s="37">
        <f>Plantilla!Q7</f>
        <v>6</v>
      </c>
      <c r="G6" s="38">
        <f t="shared" si="68"/>
        <v>0.92582009977255142</v>
      </c>
      <c r="H6" s="38">
        <f t="shared" si="69"/>
        <v>0.99928545900129484</v>
      </c>
      <c r="I6" s="104">
        <f ca="1">Plantilla!N7</f>
        <v>1</v>
      </c>
      <c r="J6" s="29">
        <f>Plantilla!I7</f>
        <v>6</v>
      </c>
      <c r="K6" s="36">
        <f>Plantilla!X7</f>
        <v>0</v>
      </c>
      <c r="L6" s="36">
        <f>Plantilla!Y7</f>
        <v>15.518750000000001</v>
      </c>
      <c r="M6" s="36">
        <f>Plantilla!Z7</f>
        <v>5</v>
      </c>
      <c r="N6" s="36">
        <f>Plantilla!AA7</f>
        <v>7.875</v>
      </c>
      <c r="O6" s="36">
        <f>Plantilla!AB7</f>
        <v>8.6666666666666661</v>
      </c>
      <c r="P6" s="36">
        <f>Plantilla!AC7</f>
        <v>1</v>
      </c>
      <c r="Q6" s="36">
        <f>Plantilla!AD7</f>
        <v>13</v>
      </c>
      <c r="R6" s="36">
        <f t="shared" si="70"/>
        <v>4.4815104166666666</v>
      </c>
      <c r="S6" s="36">
        <f t="shared" si="71"/>
        <v>0.44000000000000006</v>
      </c>
      <c r="T6" s="36">
        <f t="shared" si="72"/>
        <v>1.01075</v>
      </c>
      <c r="U6" s="36">
        <f t="shared" ca="1" si="73"/>
        <v>13.922052154506813</v>
      </c>
      <c r="V6" s="36">
        <f t="shared" ca="1" si="74"/>
        <v>15.026790065234195</v>
      </c>
      <c r="W6" s="27">
        <f t="shared" ca="1" si="75"/>
        <v>6.0619430554465623</v>
      </c>
      <c r="X6" s="27">
        <f t="shared" ca="1" si="76"/>
        <v>9.2259264356603783</v>
      </c>
      <c r="Y6" s="27">
        <f t="shared" ca="1" si="77"/>
        <v>6.0619430554465623</v>
      </c>
      <c r="Z6" s="27">
        <f t="shared" ca="1" si="78"/>
        <v>9.0590430602639476</v>
      </c>
      <c r="AA6" s="27">
        <f t="shared" ca="1" si="79"/>
        <v>17.556285000511526</v>
      </c>
      <c r="AB6" s="27">
        <f t="shared" ca="1" si="80"/>
        <v>4.5295215301319738</v>
      </c>
      <c r="AC6" s="27">
        <f t="shared" ca="1" si="81"/>
        <v>1.6749333301217428</v>
      </c>
      <c r="AD6" s="27">
        <f t="shared" ca="1" si="82"/>
        <v>6.6362757301933568</v>
      </c>
      <c r="AE6" s="27">
        <f t="shared" ca="1" si="83"/>
        <v>12.693194055369833</v>
      </c>
      <c r="AF6" s="27">
        <f t="shared" ca="1" si="84"/>
        <v>3.3181378650966784</v>
      </c>
      <c r="AG6" s="27">
        <f t="shared" ca="1" si="85"/>
        <v>2.7094509751969373</v>
      </c>
      <c r="AH6" s="27">
        <f t="shared" ca="1" si="86"/>
        <v>16.151782200470606</v>
      </c>
      <c r="AI6" s="27">
        <f t="shared" ca="1" si="87"/>
        <v>7.2683019902117714</v>
      </c>
      <c r="AJ6" s="27">
        <f t="shared" ca="1" si="88"/>
        <v>1.1752683450854247</v>
      </c>
      <c r="AK6" s="27">
        <f t="shared" ca="1" si="89"/>
        <v>5.8285705803007763</v>
      </c>
      <c r="AL6" s="27">
        <f t="shared" ca="1" si="90"/>
        <v>13.237438890385691</v>
      </c>
      <c r="AM6" s="27">
        <f t="shared" ca="1" si="91"/>
        <v>12.42984978036216</v>
      </c>
      <c r="AN6" s="27">
        <f t="shared" ca="1" si="92"/>
        <v>2.511268345085425</v>
      </c>
      <c r="AO6" s="27">
        <f t="shared" ca="1" si="93"/>
        <v>1.8774850801473191</v>
      </c>
      <c r="AP6" s="27">
        <f t="shared" ca="1" si="94"/>
        <v>4.7401969501381123</v>
      </c>
      <c r="AQ6" s="27">
        <f t="shared" ca="1" si="95"/>
        <v>10.428433290303845</v>
      </c>
      <c r="AR6" s="27">
        <f t="shared" ca="1" si="96"/>
        <v>2.3700984750690561</v>
      </c>
      <c r="AS6" s="27">
        <f t="shared" ca="1" si="97"/>
        <v>6.6434330404828792</v>
      </c>
      <c r="AT6" s="27">
        <f t="shared" ca="1" si="98"/>
        <v>1.3915462167331649</v>
      </c>
      <c r="AU6" s="27">
        <f t="shared" ca="1" si="99"/>
        <v>1.8099977551498767</v>
      </c>
      <c r="AV6" s="27">
        <f t="shared" ca="1" si="100"/>
        <v>0.69577310836658246</v>
      </c>
      <c r="AW6" s="27">
        <f t="shared" ca="1" si="101"/>
        <v>3.3181378650966784</v>
      </c>
      <c r="AX6" s="27">
        <f t="shared" ca="1" si="102"/>
        <v>7.0225140002046107</v>
      </c>
      <c r="AY6" s="27">
        <f t="shared" ca="1" si="103"/>
        <v>1.6590689325483392</v>
      </c>
      <c r="AZ6" s="27">
        <f t="shared" ca="1" si="104"/>
        <v>7.0375350005115251</v>
      </c>
      <c r="BA6" s="27">
        <f t="shared" ca="1" si="105"/>
        <v>2.7081630217960826</v>
      </c>
      <c r="BB6" s="27">
        <f t="shared" ca="1" si="106"/>
        <v>4.2880151186151831</v>
      </c>
      <c r="BC6" s="27">
        <f t="shared" ca="1" si="107"/>
        <v>1.3540815108980413</v>
      </c>
      <c r="BD6" s="27">
        <f t="shared" ca="1" si="108"/>
        <v>5.1088789351488533</v>
      </c>
      <c r="BE6" s="27">
        <f t="shared" ca="1" si="109"/>
        <v>6.1095871801780106</v>
      </c>
      <c r="BF6" s="27">
        <f t="shared" ca="1" si="110"/>
        <v>6.2000683354506538</v>
      </c>
      <c r="BG6" s="27">
        <f t="shared" ca="1" si="111"/>
        <v>9.061618615454746</v>
      </c>
      <c r="BH6" s="27">
        <f t="shared" ca="1" si="112"/>
        <v>2.5797126017899439</v>
      </c>
      <c r="BI6" s="27">
        <f t="shared" ca="1" si="113"/>
        <v>8.5147982252480894</v>
      </c>
      <c r="BJ6" s="27">
        <f t="shared" ca="1" si="114"/>
        <v>4.634859240135043</v>
      </c>
      <c r="BK6" s="27">
        <f t="shared" ca="1" si="115"/>
        <v>2.6813008351948913</v>
      </c>
      <c r="BL6" s="27">
        <f t="shared" ca="1" si="116"/>
        <v>8.8226805904470744</v>
      </c>
      <c r="BM6" s="27">
        <f t="shared" ca="1" si="117"/>
        <v>0.55661848669326597</v>
      </c>
      <c r="BN6" s="27">
        <f t="shared" ca="1" si="118"/>
        <v>3.1601313000920745</v>
      </c>
      <c r="BO6" s="27">
        <f t="shared" ca="1" si="119"/>
        <v>1.1938273800347838</v>
      </c>
      <c r="BP6" s="27">
        <f t="shared" ca="1" si="120"/>
        <v>2.1464481751560149</v>
      </c>
      <c r="BQ6" s="27">
        <f t="shared" ca="1" si="121"/>
        <v>12.973936677324488</v>
      </c>
      <c r="BR6" s="27">
        <f t="shared" ca="1" si="122"/>
        <v>1.4450672250690559</v>
      </c>
      <c r="BS6" s="27">
        <f t="shared" ca="1" si="123"/>
        <v>4.9859849401452729</v>
      </c>
      <c r="BT6" s="27">
        <f t="shared" ca="1" si="124"/>
        <v>4.2837335401248122</v>
      </c>
      <c r="BU6" s="27">
        <f t="shared" ca="1" si="125"/>
        <v>4.4406845853227725</v>
      </c>
      <c r="BV6" s="27">
        <f t="shared" ca="1" si="126"/>
        <v>9.024510492124481</v>
      </c>
      <c r="BW6" s="27">
        <f t="shared" ca="1" si="127"/>
        <v>1.5842218467423723</v>
      </c>
      <c r="BX6" s="27">
        <f t="shared" ca="1" si="128"/>
        <v>2.8572392102076796</v>
      </c>
      <c r="BY6" s="27">
        <f t="shared" ca="1" si="129"/>
        <v>4.489222401933171</v>
      </c>
      <c r="BZ6" s="27">
        <f t="shared" ca="1" si="130"/>
        <v>7.5832644105759774</v>
      </c>
      <c r="CA6" s="27">
        <f t="shared" ca="1" si="131"/>
        <v>4.489222401933171</v>
      </c>
      <c r="CB6" s="27">
        <f t="shared" ca="1" si="132"/>
        <v>4.5004259719853472</v>
      </c>
      <c r="CC6" s="27">
        <f t="shared" ca="1" si="133"/>
        <v>6.9873854157002775</v>
      </c>
      <c r="CD6" s="27">
        <f t="shared" ca="1" si="134"/>
        <v>4.5004259719853472</v>
      </c>
      <c r="CE6" s="27">
        <f t="shared" ca="1" si="135"/>
        <v>1.7593837501278813</v>
      </c>
    </row>
    <row r="7" spans="1:83" x14ac:dyDescent="0.25">
      <c r="A7" t="str">
        <f>Plantilla!D8</f>
        <v>Berto Abandero</v>
      </c>
      <c r="B7">
        <f>Plantilla!E8</f>
        <v>26</v>
      </c>
      <c r="C7" s="25">
        <f ca="1">Plantilla!F8</f>
        <v>60</v>
      </c>
      <c r="D7" s="42">
        <f>Plantilla!G8</f>
        <v>0</v>
      </c>
      <c r="E7" s="23">
        <f>Plantilla!M8</f>
        <v>43383</v>
      </c>
      <c r="F7" s="37">
        <f>Plantilla!Q8</f>
        <v>5</v>
      </c>
      <c r="G7" s="38">
        <f t="shared" si="68"/>
        <v>0.84515425472851657</v>
      </c>
      <c r="H7" s="38">
        <f t="shared" si="69"/>
        <v>0.92504826128926143</v>
      </c>
      <c r="I7" s="104">
        <f ca="1">Plantilla!N8</f>
        <v>1</v>
      </c>
      <c r="J7" s="29">
        <f>Plantilla!I8</f>
        <v>6.5</v>
      </c>
      <c r="K7" s="36">
        <f>Plantilla!X8</f>
        <v>0</v>
      </c>
      <c r="L7" s="36">
        <f>Plantilla!Y8</f>
        <v>14.125</v>
      </c>
      <c r="M7" s="36">
        <f>Plantilla!Z8</f>
        <v>3</v>
      </c>
      <c r="N7" s="36">
        <f>Plantilla!AA8</f>
        <v>8.1111111111111107</v>
      </c>
      <c r="O7" s="36">
        <f>Plantilla!AB8</f>
        <v>11.857142857142858</v>
      </c>
      <c r="P7" s="36">
        <f>Plantilla!AC8</f>
        <v>4</v>
      </c>
      <c r="Q7" s="36">
        <f>Plantilla!AD8</f>
        <v>14</v>
      </c>
      <c r="R7" s="36">
        <f t="shared" si="70"/>
        <v>5.1049107142857144</v>
      </c>
      <c r="S7" s="36">
        <f t="shared" si="71"/>
        <v>0.62</v>
      </c>
      <c r="T7" s="36">
        <f t="shared" si="72"/>
        <v>0.9850000000000001</v>
      </c>
      <c r="U7" s="36">
        <f t="shared" ca="1" si="73"/>
        <v>13.593363397050881</v>
      </c>
      <c r="V7" s="36">
        <f t="shared" ca="1" si="74"/>
        <v>14.878369368860641</v>
      </c>
      <c r="W7" s="27">
        <f t="shared" ca="1" si="75"/>
        <v>5.7177311471322838</v>
      </c>
      <c r="X7" s="27">
        <f t="shared" ca="1" si="76"/>
        <v>8.6934198579012349</v>
      </c>
      <c r="Y7" s="27">
        <f t="shared" ca="1" si="77"/>
        <v>5.7177311471322838</v>
      </c>
      <c r="Z7" s="27">
        <f t="shared" ca="1" si="78"/>
        <v>8.3637843893702843</v>
      </c>
      <c r="AA7" s="27">
        <f t="shared" ca="1" si="79"/>
        <v>16.208884475523806</v>
      </c>
      <c r="AB7" s="27">
        <f t="shared" ca="1" si="80"/>
        <v>4.1818921946851422</v>
      </c>
      <c r="AC7" s="27">
        <f t="shared" ca="1" si="81"/>
        <v>1.2099645051746661</v>
      </c>
      <c r="AD7" s="27">
        <f t="shared" ca="1" si="82"/>
        <v>6.126958331747999</v>
      </c>
      <c r="AE7" s="27">
        <f t="shared" ca="1" si="83"/>
        <v>11.719023475803711</v>
      </c>
      <c r="AF7" s="27">
        <f t="shared" ca="1" si="84"/>
        <v>3.0634791658739995</v>
      </c>
      <c r="AG7" s="27">
        <f t="shared" ca="1" si="85"/>
        <v>1.9572955230766658</v>
      </c>
      <c r="AH7" s="27">
        <f t="shared" ca="1" si="86"/>
        <v>14.912173717481902</v>
      </c>
      <c r="AI7" s="27">
        <f t="shared" ca="1" si="87"/>
        <v>6.7104781728668552</v>
      </c>
      <c r="AJ7" s="27">
        <f t="shared" ca="1" si="88"/>
        <v>0.84900870741247592</v>
      </c>
      <c r="AK7" s="27">
        <f t="shared" ca="1" si="89"/>
        <v>5.9946574049413321</v>
      </c>
      <c r="AL7" s="27">
        <f t="shared" ca="1" si="90"/>
        <v>12.221498894544951</v>
      </c>
      <c r="AM7" s="27">
        <f t="shared" ca="1" si="91"/>
        <v>11.475890208670855</v>
      </c>
      <c r="AN7" s="27">
        <f t="shared" ca="1" si="92"/>
        <v>2.6860087074124759</v>
      </c>
      <c r="AO7" s="27">
        <f t="shared" ca="1" si="93"/>
        <v>2.070373014665142</v>
      </c>
      <c r="AP7" s="27">
        <f t="shared" ca="1" si="94"/>
        <v>4.3763988083914276</v>
      </c>
      <c r="AQ7" s="27">
        <f t="shared" ca="1" si="95"/>
        <v>9.6280773784611409</v>
      </c>
      <c r="AR7" s="27">
        <f t="shared" ca="1" si="96"/>
        <v>2.1881994041957138</v>
      </c>
      <c r="AS7" s="27">
        <f t="shared" ca="1" si="97"/>
        <v>4.7991869448944735</v>
      </c>
      <c r="AT7" s="27">
        <f t="shared" ca="1" si="98"/>
        <v>1.8123335532466667</v>
      </c>
      <c r="AU7" s="27">
        <f t="shared" ca="1" si="99"/>
        <v>2.7254352941856181</v>
      </c>
      <c r="AV7" s="27">
        <f t="shared" ca="1" si="100"/>
        <v>0.90616677662333334</v>
      </c>
      <c r="AW7" s="27">
        <f t="shared" ca="1" si="101"/>
        <v>3.0634791658739995</v>
      </c>
      <c r="AX7" s="27">
        <f t="shared" ca="1" si="102"/>
        <v>6.4835537902095233</v>
      </c>
      <c r="AY7" s="27">
        <f t="shared" ca="1" si="103"/>
        <v>1.5317395829369997</v>
      </c>
      <c r="AZ7" s="27">
        <f t="shared" ca="1" si="104"/>
        <v>5.0838844755238073</v>
      </c>
      <c r="BA7" s="27">
        <f t="shared" ca="1" si="105"/>
        <v>3.5270799151646663</v>
      </c>
      <c r="BB7" s="27">
        <f t="shared" ca="1" si="106"/>
        <v>6.031506060299332</v>
      </c>
      <c r="BC7" s="27">
        <f t="shared" ca="1" si="107"/>
        <v>1.7635399575823332</v>
      </c>
      <c r="BD7" s="27">
        <f t="shared" ca="1" si="108"/>
        <v>4.7167853823774273</v>
      </c>
      <c r="BE7" s="27">
        <f t="shared" ca="1" si="109"/>
        <v>5.6406917974822841</v>
      </c>
      <c r="BF7" s="27">
        <f t="shared" ca="1" si="110"/>
        <v>4.4789022229364743</v>
      </c>
      <c r="BG7" s="27">
        <f t="shared" ca="1" si="111"/>
        <v>10.243351076518444</v>
      </c>
      <c r="BH7" s="27">
        <f t="shared" ca="1" si="112"/>
        <v>3.3597875871726663</v>
      </c>
      <c r="BI7" s="27">
        <f t="shared" ca="1" si="113"/>
        <v>7.8613089706290458</v>
      </c>
      <c r="BJ7" s="27">
        <f t="shared" ca="1" si="114"/>
        <v>4.2791455015382853</v>
      </c>
      <c r="BK7" s="27">
        <f t="shared" ca="1" si="115"/>
        <v>1.9369599851745707</v>
      </c>
      <c r="BL7" s="27">
        <f t="shared" ca="1" si="116"/>
        <v>9.6633785236713017</v>
      </c>
      <c r="BM7" s="27">
        <f t="shared" ca="1" si="117"/>
        <v>0.72493342129866656</v>
      </c>
      <c r="BN7" s="27">
        <f t="shared" ca="1" si="118"/>
        <v>2.9175992055942852</v>
      </c>
      <c r="BO7" s="27">
        <f t="shared" ca="1" si="119"/>
        <v>1.102204144335619</v>
      </c>
      <c r="BP7" s="27">
        <f t="shared" ca="1" si="120"/>
        <v>1.5505847650347613</v>
      </c>
      <c r="BQ7" s="27">
        <f t="shared" ca="1" si="121"/>
        <v>14.182129403777585</v>
      </c>
      <c r="BR7" s="27">
        <f t="shared" ca="1" si="122"/>
        <v>1.8820386899100001</v>
      </c>
      <c r="BS7" s="27">
        <f t="shared" ca="1" si="123"/>
        <v>4.6033231910487604</v>
      </c>
      <c r="BT7" s="27">
        <f t="shared" ca="1" si="124"/>
        <v>3.9549678120278089</v>
      </c>
      <c r="BU7" s="27">
        <f t="shared" ca="1" si="125"/>
        <v>3.2079311040555223</v>
      </c>
      <c r="BV7" s="27">
        <f t="shared" ca="1" si="126"/>
        <v>9.8475051770223807</v>
      </c>
      <c r="BW7" s="27">
        <f t="shared" ca="1" si="127"/>
        <v>2.0632720452346662</v>
      </c>
      <c r="BX7" s="27">
        <f t="shared" ca="1" si="128"/>
        <v>2.0640570970626659</v>
      </c>
      <c r="BY7" s="27">
        <f t="shared" ca="1" si="129"/>
        <v>5.7259895260336187</v>
      </c>
      <c r="BZ7" s="27">
        <f t="shared" ca="1" si="130"/>
        <v>11.116882490868379</v>
      </c>
      <c r="CA7" s="27">
        <f t="shared" ca="1" si="131"/>
        <v>5.7259895260336187</v>
      </c>
      <c r="CB7" s="27">
        <f t="shared" ca="1" si="132"/>
        <v>5.8145298695211736</v>
      </c>
      <c r="CC7" s="27">
        <f t="shared" ca="1" si="133"/>
        <v>11.228123561277807</v>
      </c>
      <c r="CD7" s="27">
        <f t="shared" ca="1" si="134"/>
        <v>5.8145298695211736</v>
      </c>
      <c r="CE7" s="27">
        <f t="shared" ca="1" si="135"/>
        <v>1.2709711188809518</v>
      </c>
    </row>
    <row r="8" spans="1:83" x14ac:dyDescent="0.25">
      <c r="A8" t="str">
        <f>Plantilla!D9</f>
        <v>Guillermo Pedrajas</v>
      </c>
      <c r="B8">
        <f>Plantilla!E9</f>
        <v>26</v>
      </c>
      <c r="C8" s="25">
        <f ca="1">Plantilla!F9</f>
        <v>45</v>
      </c>
      <c r="D8" s="42">
        <f>Plantilla!G9</f>
        <v>0</v>
      </c>
      <c r="E8" s="23">
        <f>Plantilla!M9</f>
        <v>43419</v>
      </c>
      <c r="F8" s="37">
        <f>Plantilla!Q9</f>
        <v>6</v>
      </c>
      <c r="G8" s="38">
        <f t="shared" si="68"/>
        <v>0.92582009977255142</v>
      </c>
      <c r="H8" s="38">
        <f t="shared" si="69"/>
        <v>0.99928545900129484</v>
      </c>
      <c r="I8" s="104">
        <f ca="1">Plantilla!N9</f>
        <v>1</v>
      </c>
      <c r="J8" s="29">
        <f>Plantilla!I9</f>
        <v>7</v>
      </c>
      <c r="K8" s="36">
        <f>Plantilla!X9</f>
        <v>0</v>
      </c>
      <c r="L8" s="36">
        <f>Plantilla!Y9</f>
        <v>12.381818181818183</v>
      </c>
      <c r="M8" s="36">
        <f>Plantilla!Z9</f>
        <v>11.111111111111111</v>
      </c>
      <c r="N8" s="36">
        <f>Plantilla!AA9</f>
        <v>4.4000000000000004</v>
      </c>
      <c r="O8" s="36">
        <f>Plantilla!AB9</f>
        <v>11</v>
      </c>
      <c r="P8" s="36">
        <f>Plantilla!AC9</f>
        <v>4</v>
      </c>
      <c r="Q8" s="36">
        <f>Plantilla!AD9</f>
        <v>13.5</v>
      </c>
      <c r="R8" s="36">
        <f t="shared" si="70"/>
        <v>4.6727272727272728</v>
      </c>
      <c r="S8" s="36">
        <f t="shared" si="71"/>
        <v>0.60499999999999998</v>
      </c>
      <c r="T8" s="36">
        <f t="shared" si="72"/>
        <v>0.90027272727272734</v>
      </c>
      <c r="U8" s="36">
        <f t="shared" ca="1" si="73"/>
        <v>14.467603115666778</v>
      </c>
      <c r="V8" s="36">
        <f t="shared" ca="1" si="74"/>
        <v>15.615631399274429</v>
      </c>
      <c r="W8" s="27">
        <f t="shared" ca="1" si="75"/>
        <v>5.2740759367584129</v>
      </c>
      <c r="X8" s="27">
        <f t="shared" ca="1" si="76"/>
        <v>8.0079681534839349</v>
      </c>
      <c r="Y8" s="27">
        <f t="shared" ca="1" si="77"/>
        <v>5.2740759367584129</v>
      </c>
      <c r="Z8" s="27">
        <f t="shared" ca="1" si="78"/>
        <v>7.4864456333479907</v>
      </c>
      <c r="AA8" s="27">
        <f t="shared" ca="1" si="79"/>
        <v>14.508615568503858</v>
      </c>
      <c r="AB8" s="27">
        <f t="shared" ca="1" si="80"/>
        <v>3.7432228166739954</v>
      </c>
      <c r="AC8" s="27">
        <f t="shared" ca="1" si="81"/>
        <v>3.1506222224756351</v>
      </c>
      <c r="AD8" s="27">
        <f t="shared" ca="1" si="82"/>
        <v>5.4842566848944587</v>
      </c>
      <c r="AE8" s="27">
        <f t="shared" ca="1" si="83"/>
        <v>10.489729056028288</v>
      </c>
      <c r="AF8" s="27">
        <f t="shared" ca="1" si="84"/>
        <v>2.7421283424472294</v>
      </c>
      <c r="AG8" s="27">
        <f t="shared" ca="1" si="85"/>
        <v>5.0965947716517626</v>
      </c>
      <c r="AH8" s="27">
        <f t="shared" ca="1" si="86"/>
        <v>13.34792632302355</v>
      </c>
      <c r="AI8" s="27">
        <f t="shared" ca="1" si="87"/>
        <v>6.0065668453605969</v>
      </c>
      <c r="AJ8" s="27">
        <f t="shared" ca="1" si="88"/>
        <v>2.2107307191320635</v>
      </c>
      <c r="AK8" s="27">
        <f t="shared" ca="1" si="89"/>
        <v>3.8377568633711769</v>
      </c>
      <c r="AL8" s="27">
        <f t="shared" ca="1" si="90"/>
        <v>10.93949613865191</v>
      </c>
      <c r="AM8" s="27">
        <f t="shared" ca="1" si="91"/>
        <v>10.272099822500731</v>
      </c>
      <c r="AN8" s="27">
        <f t="shared" ca="1" si="92"/>
        <v>2.6096751635765081</v>
      </c>
      <c r="AO8" s="27">
        <f t="shared" ca="1" si="93"/>
        <v>1.9582631019109291</v>
      </c>
      <c r="AP8" s="27">
        <f t="shared" ca="1" si="94"/>
        <v>3.9173262034960419</v>
      </c>
      <c r="AQ8" s="27">
        <f t="shared" ca="1" si="95"/>
        <v>8.6181176476912906</v>
      </c>
      <c r="AR8" s="27">
        <f t="shared" ca="1" si="96"/>
        <v>1.9586631017480209</v>
      </c>
      <c r="AS8" s="27">
        <f t="shared" ca="1" si="97"/>
        <v>12.496585621920165</v>
      </c>
      <c r="AT8" s="27">
        <f t="shared" ca="1" si="98"/>
        <v>1.7064836602691378</v>
      </c>
      <c r="AU8" s="27">
        <f t="shared" ca="1" si="99"/>
        <v>2.6351516342989028</v>
      </c>
      <c r="AV8" s="27">
        <f t="shared" ca="1" si="100"/>
        <v>0.85324183013456889</v>
      </c>
      <c r="AW8" s="27">
        <f t="shared" ca="1" si="101"/>
        <v>2.7421283424472294</v>
      </c>
      <c r="AX8" s="27">
        <f t="shared" ca="1" si="102"/>
        <v>5.8034462274015439</v>
      </c>
      <c r="AY8" s="27">
        <f t="shared" ca="1" si="103"/>
        <v>1.3710641712236147</v>
      </c>
      <c r="AZ8" s="27">
        <f t="shared" ca="1" si="104"/>
        <v>13.237908497796786</v>
      </c>
      <c r="BA8" s="27">
        <f t="shared" ca="1" si="105"/>
        <v>3.3210797388314757</v>
      </c>
      <c r="BB8" s="27">
        <f t="shared" ca="1" si="106"/>
        <v>5.7628653600638069</v>
      </c>
      <c r="BC8" s="27">
        <f t="shared" ca="1" si="107"/>
        <v>1.6605398694157378</v>
      </c>
      <c r="BD8" s="27">
        <f t="shared" ca="1" si="108"/>
        <v>4.2220071304346227</v>
      </c>
      <c r="BE8" s="27">
        <f t="shared" ca="1" si="109"/>
        <v>5.0489982178393422</v>
      </c>
      <c r="BF8" s="27">
        <f t="shared" ca="1" si="110"/>
        <v>11.662597386558968</v>
      </c>
      <c r="BG8" s="27">
        <f t="shared" ca="1" si="111"/>
        <v>7.8813228767635657</v>
      </c>
      <c r="BH8" s="27">
        <f t="shared" ca="1" si="112"/>
        <v>3.1635581701912479</v>
      </c>
      <c r="BI8" s="27">
        <f t="shared" ca="1" si="113"/>
        <v>7.0366785507243712</v>
      </c>
      <c r="BJ8" s="27">
        <f t="shared" ca="1" si="114"/>
        <v>3.8302745100850188</v>
      </c>
      <c r="BK8" s="27">
        <f t="shared" ca="1" si="115"/>
        <v>5.0436431376605757</v>
      </c>
      <c r="BL8" s="27">
        <f t="shared" ca="1" si="116"/>
        <v>7.031020915963281</v>
      </c>
      <c r="BM8" s="27">
        <f t="shared" ca="1" si="117"/>
        <v>0.68259346410765509</v>
      </c>
      <c r="BN8" s="27">
        <f t="shared" ca="1" si="118"/>
        <v>2.6115508023306941</v>
      </c>
      <c r="BO8" s="27">
        <f t="shared" ca="1" si="119"/>
        <v>0.98658585865826243</v>
      </c>
      <c r="BP8" s="27">
        <f t="shared" ca="1" si="120"/>
        <v>4.0375620918280193</v>
      </c>
      <c r="BQ8" s="27">
        <f t="shared" ca="1" si="121"/>
        <v>10.281061439277778</v>
      </c>
      <c r="BR8" s="27">
        <f t="shared" ca="1" si="122"/>
        <v>1.7721176472025664</v>
      </c>
      <c r="BS8" s="27">
        <f t="shared" ca="1" si="123"/>
        <v>4.1204468214550953</v>
      </c>
      <c r="BT8" s="27">
        <f t="shared" ca="1" si="124"/>
        <v>3.5401021987149415</v>
      </c>
      <c r="BU8" s="27">
        <f t="shared" ca="1" si="125"/>
        <v>8.3531202621097727</v>
      </c>
      <c r="BV8" s="27">
        <f t="shared" ca="1" si="126"/>
        <v>7.11528366108368</v>
      </c>
      <c r="BW8" s="27">
        <f t="shared" ca="1" si="127"/>
        <v>1.9427660132294799</v>
      </c>
      <c r="BX8" s="27">
        <f t="shared" ca="1" si="128"/>
        <v>5.3745908501054958</v>
      </c>
      <c r="BY8" s="27">
        <f t="shared" ca="1" si="129"/>
        <v>4.9996614384632361</v>
      </c>
      <c r="BZ8" s="27">
        <f t="shared" ca="1" si="130"/>
        <v>10.69977385740807</v>
      </c>
      <c r="CA8" s="27">
        <f t="shared" ca="1" si="131"/>
        <v>4.9996614384632361</v>
      </c>
      <c r="CB8" s="27">
        <f t="shared" ca="1" si="132"/>
        <v>4.8993947719051754</v>
      </c>
      <c r="CC8" s="27">
        <f t="shared" ca="1" si="133"/>
        <v>10.970585622372688</v>
      </c>
      <c r="CD8" s="27">
        <f t="shared" ca="1" si="134"/>
        <v>4.8993947719051754</v>
      </c>
      <c r="CE8" s="27">
        <f t="shared" ca="1" si="135"/>
        <v>3.3094771244491965</v>
      </c>
    </row>
    <row r="9" spans="1:83" x14ac:dyDescent="0.25">
      <c r="A9" t="str">
        <f>Plantilla!D10</f>
        <v>Venanci Oset</v>
      </c>
      <c r="B9">
        <f>Plantilla!E10</f>
        <v>26</v>
      </c>
      <c r="C9" s="25">
        <f ca="1">Plantilla!F10</f>
        <v>88</v>
      </c>
      <c r="D9" s="42">
        <f>Plantilla!G10</f>
        <v>0</v>
      </c>
      <c r="E9" s="23">
        <f>Plantilla!M10</f>
        <v>43706</v>
      </c>
      <c r="F9" s="37">
        <f>Plantilla!Q10</f>
        <v>6</v>
      </c>
      <c r="G9" s="38">
        <f t="shared" si="68"/>
        <v>0.92582009977255142</v>
      </c>
      <c r="H9" s="38">
        <f t="shared" si="69"/>
        <v>0.99928545900129484</v>
      </c>
      <c r="I9" s="104">
        <f ca="1">Plantilla!N10</f>
        <v>1</v>
      </c>
      <c r="J9" s="29">
        <f>Plantilla!I10</f>
        <v>6.5</v>
      </c>
      <c r="K9" s="36">
        <f>Plantilla!X10</f>
        <v>0</v>
      </c>
      <c r="L9" s="36">
        <f>Plantilla!Y10</f>
        <v>14.1875</v>
      </c>
      <c r="M9" s="36">
        <f>Plantilla!Z10</f>
        <v>5.125</v>
      </c>
      <c r="N9" s="36">
        <f>Plantilla!AA10</f>
        <v>2</v>
      </c>
      <c r="O9" s="36">
        <f>Plantilla!AB10</f>
        <v>12.111111111111111</v>
      </c>
      <c r="P9" s="36">
        <f>Plantilla!AC10</f>
        <v>6</v>
      </c>
      <c r="Q9" s="36">
        <f>Plantilla!AD10</f>
        <v>12.5</v>
      </c>
      <c r="R9" s="36">
        <f t="shared" si="70"/>
        <v>5.1762152777777777</v>
      </c>
      <c r="S9" s="36">
        <f t="shared" si="71"/>
        <v>0.67500000000000004</v>
      </c>
      <c r="T9" s="36">
        <f t="shared" si="72"/>
        <v>0.94250000000000012</v>
      </c>
      <c r="U9" s="36">
        <f t="shared" ca="1" si="73"/>
        <v>13.502053380200817</v>
      </c>
      <c r="V9" s="36">
        <f t="shared" ca="1" si="74"/>
        <v>14.573463692145667</v>
      </c>
      <c r="W9" s="27">
        <f t="shared" ca="1" si="75"/>
        <v>5.7349811471322836</v>
      </c>
      <c r="X9" s="27">
        <f t="shared" ca="1" si="76"/>
        <v>8.7199823579012339</v>
      </c>
      <c r="Y9" s="27">
        <f t="shared" ca="1" si="77"/>
        <v>5.7349811471322836</v>
      </c>
      <c r="Z9" s="27">
        <f t="shared" ca="1" si="78"/>
        <v>8.3960343893702838</v>
      </c>
      <c r="AA9" s="27">
        <f t="shared" ca="1" si="79"/>
        <v>16.271384475523806</v>
      </c>
      <c r="AB9" s="27">
        <f t="shared" ca="1" si="80"/>
        <v>4.1980171946851419</v>
      </c>
      <c r="AC9" s="27">
        <f t="shared" ca="1" si="81"/>
        <v>1.7157145051746661</v>
      </c>
      <c r="AD9" s="27">
        <f t="shared" ca="1" si="82"/>
        <v>6.150583331747999</v>
      </c>
      <c r="AE9" s="27">
        <f t="shared" ca="1" si="83"/>
        <v>11.764210975803712</v>
      </c>
      <c r="AF9" s="27">
        <f t="shared" ca="1" si="84"/>
        <v>3.0752916658739995</v>
      </c>
      <c r="AG9" s="27">
        <f t="shared" ca="1" si="85"/>
        <v>2.775420523076666</v>
      </c>
      <c r="AH9" s="27">
        <f t="shared" ca="1" si="86"/>
        <v>14.969673717481902</v>
      </c>
      <c r="AI9" s="27">
        <f t="shared" ca="1" si="87"/>
        <v>6.7363531728668553</v>
      </c>
      <c r="AJ9" s="27">
        <f t="shared" ca="1" si="88"/>
        <v>1.203883707412476</v>
      </c>
      <c r="AK9" s="27">
        <f t="shared" ca="1" si="89"/>
        <v>2.4013240716079984</v>
      </c>
      <c r="AL9" s="27">
        <f t="shared" ca="1" si="90"/>
        <v>12.26862389454495</v>
      </c>
      <c r="AM9" s="27">
        <f t="shared" ca="1" si="91"/>
        <v>11.520140208670854</v>
      </c>
      <c r="AN9" s="27">
        <f t="shared" ca="1" si="92"/>
        <v>2.4355087074124762</v>
      </c>
      <c r="AO9" s="27">
        <f t="shared" ca="1" si="93"/>
        <v>2.0909087289508563</v>
      </c>
      <c r="AP9" s="27">
        <f t="shared" ca="1" si="94"/>
        <v>4.3932738083914282</v>
      </c>
      <c r="AQ9" s="27">
        <f t="shared" ca="1" si="95"/>
        <v>9.6652023784611405</v>
      </c>
      <c r="AR9" s="27">
        <f t="shared" ca="1" si="96"/>
        <v>2.1966369041957141</v>
      </c>
      <c r="AS9" s="27">
        <f t="shared" ca="1" si="97"/>
        <v>6.8051869448944737</v>
      </c>
      <c r="AT9" s="27">
        <f t="shared" ca="1" si="98"/>
        <v>1.8453494262625396</v>
      </c>
      <c r="AU9" s="27">
        <f t="shared" ca="1" si="99"/>
        <v>3.1019114846618088</v>
      </c>
      <c r="AV9" s="27">
        <f t="shared" ca="1" si="100"/>
        <v>0.92267471313126981</v>
      </c>
      <c r="AW9" s="27">
        <f t="shared" ca="1" si="101"/>
        <v>3.0752916658739995</v>
      </c>
      <c r="AX9" s="27">
        <f t="shared" ca="1" si="102"/>
        <v>6.5085537902095227</v>
      </c>
      <c r="AY9" s="27">
        <f t="shared" ca="1" si="103"/>
        <v>1.5376458329369997</v>
      </c>
      <c r="AZ9" s="27">
        <f t="shared" ca="1" si="104"/>
        <v>7.2088844755238073</v>
      </c>
      <c r="BA9" s="27">
        <f t="shared" ca="1" si="105"/>
        <v>3.5913338834186344</v>
      </c>
      <c r="BB9" s="27">
        <f t="shared" ca="1" si="106"/>
        <v>6.5381092349025076</v>
      </c>
      <c r="BC9" s="27">
        <f t="shared" ca="1" si="107"/>
        <v>1.7956669417093172</v>
      </c>
      <c r="BD9" s="27">
        <f t="shared" ca="1" si="108"/>
        <v>4.7349728823774271</v>
      </c>
      <c r="BE9" s="27">
        <f t="shared" ca="1" si="109"/>
        <v>5.662441797482284</v>
      </c>
      <c r="BF9" s="27">
        <f t="shared" ca="1" si="110"/>
        <v>6.3510272229364739</v>
      </c>
      <c r="BG9" s="27">
        <f t="shared" ca="1" si="111"/>
        <v>6.8155732987406648</v>
      </c>
      <c r="BH9" s="27">
        <f t="shared" ca="1" si="112"/>
        <v>3.4209939363790154</v>
      </c>
      <c r="BI9" s="27">
        <f t="shared" ca="1" si="113"/>
        <v>7.8916214706290457</v>
      </c>
      <c r="BJ9" s="27">
        <f t="shared" ca="1" si="114"/>
        <v>4.2956455015382851</v>
      </c>
      <c r="BK9" s="27">
        <f t="shared" ca="1" si="115"/>
        <v>2.7465849851745707</v>
      </c>
      <c r="BL9" s="27">
        <f t="shared" ca="1" si="116"/>
        <v>5.6016483649411413</v>
      </c>
      <c r="BM9" s="27">
        <f t="shared" ca="1" si="117"/>
        <v>0.73813977050501578</v>
      </c>
      <c r="BN9" s="27">
        <f t="shared" ca="1" si="118"/>
        <v>2.9288492055942852</v>
      </c>
      <c r="BO9" s="27">
        <f t="shared" ca="1" si="119"/>
        <v>1.1064541443356188</v>
      </c>
      <c r="BP9" s="27">
        <f t="shared" ca="1" si="120"/>
        <v>2.1987097650347613</v>
      </c>
      <c r="BQ9" s="27">
        <f t="shared" ca="1" si="121"/>
        <v>8.1436532133013948</v>
      </c>
      <c r="BR9" s="27">
        <f t="shared" ca="1" si="122"/>
        <v>1.9163244041957141</v>
      </c>
      <c r="BS9" s="27">
        <f t="shared" ca="1" si="123"/>
        <v>4.6210731910487608</v>
      </c>
      <c r="BT9" s="27">
        <f t="shared" ca="1" si="124"/>
        <v>3.9702178120278089</v>
      </c>
      <c r="BU9" s="27">
        <f t="shared" ca="1" si="125"/>
        <v>4.5488061040555223</v>
      </c>
      <c r="BV9" s="27">
        <f t="shared" ca="1" si="126"/>
        <v>5.6065210500382516</v>
      </c>
      <c r="BW9" s="27">
        <f t="shared" ca="1" si="127"/>
        <v>2.1008593468219678</v>
      </c>
      <c r="BX9" s="27">
        <f t="shared" ca="1" si="128"/>
        <v>2.9268070970626661</v>
      </c>
      <c r="BY9" s="27">
        <f t="shared" ca="1" si="129"/>
        <v>5.1634815895256816</v>
      </c>
      <c r="BZ9" s="27">
        <f t="shared" ca="1" si="130"/>
        <v>12.420787252773142</v>
      </c>
      <c r="CA9" s="27">
        <f t="shared" ca="1" si="131"/>
        <v>5.1634815895256816</v>
      </c>
      <c r="CB9" s="27">
        <f t="shared" ca="1" si="132"/>
        <v>5.0200378060291095</v>
      </c>
      <c r="CC9" s="27">
        <f t="shared" ca="1" si="133"/>
        <v>13.321837846992093</v>
      </c>
      <c r="CD9" s="27">
        <f t="shared" ca="1" si="134"/>
        <v>5.0200378060291095</v>
      </c>
      <c r="CE9" s="27">
        <f t="shared" ca="1" si="135"/>
        <v>1.8022211188809518</v>
      </c>
    </row>
    <row r="10" spans="1:83" x14ac:dyDescent="0.25">
      <c r="A10" t="str">
        <f>Plantilla!D11</f>
        <v>Francesc Añigas</v>
      </c>
      <c r="B10">
        <f>Plantilla!E11</f>
        <v>26</v>
      </c>
      <c r="C10" s="25">
        <f ca="1">Plantilla!F11</f>
        <v>25</v>
      </c>
      <c r="D10" s="42" t="str">
        <f>Plantilla!G11</f>
        <v>IMP</v>
      </c>
      <c r="E10" s="23">
        <f>Plantilla!M11</f>
        <v>43137</v>
      </c>
      <c r="F10" s="37">
        <f>Plantilla!Q11</f>
        <v>5</v>
      </c>
      <c r="G10" s="38">
        <f t="shared" si="68"/>
        <v>0.84515425472851657</v>
      </c>
      <c r="H10" s="38">
        <f t="shared" si="69"/>
        <v>0.92504826128926143</v>
      </c>
      <c r="I10" s="104">
        <f ca="1">Plantilla!N11</f>
        <v>1</v>
      </c>
      <c r="J10" s="29">
        <f>Plantilla!I11</f>
        <v>7.5</v>
      </c>
      <c r="K10" s="36">
        <f>Plantilla!X11</f>
        <v>0</v>
      </c>
      <c r="L10" s="36">
        <f>Plantilla!Y11</f>
        <v>13.583333333333334</v>
      </c>
      <c r="M10" s="36">
        <f>Plantilla!Z11</f>
        <v>4</v>
      </c>
      <c r="N10" s="36">
        <f>Plantilla!AA11</f>
        <v>13.133333333333333</v>
      </c>
      <c r="O10" s="36">
        <f>Plantilla!AB11</f>
        <v>8</v>
      </c>
      <c r="P10" s="36">
        <f>Plantilla!AC11</f>
        <v>7</v>
      </c>
      <c r="Q10" s="36">
        <f>Plantilla!AD11</f>
        <v>14</v>
      </c>
      <c r="R10" s="36">
        <f t="shared" si="70"/>
        <v>4.072916666666667</v>
      </c>
      <c r="S10" s="36">
        <f t="shared" si="71"/>
        <v>0.77</v>
      </c>
      <c r="T10" s="36">
        <f t="shared" si="72"/>
        <v>0.96333333333333326</v>
      </c>
      <c r="U10" s="36">
        <f t="shared" ca="1" si="73"/>
        <v>13.663396154132556</v>
      </c>
      <c r="V10" s="36">
        <f t="shared" ca="1" si="74"/>
        <v>14.955022452968356</v>
      </c>
      <c r="W10" s="27">
        <f t="shared" ca="1" si="75"/>
        <v>5.6405713105879389</v>
      </c>
      <c r="X10" s="27">
        <f t="shared" ca="1" si="76"/>
        <v>8.5701887880515795</v>
      </c>
      <c r="Y10" s="27">
        <f t="shared" ca="1" si="77"/>
        <v>5.6405713105879389</v>
      </c>
      <c r="Z10" s="27">
        <f t="shared" ca="1" si="78"/>
        <v>8.1270421492134908</v>
      </c>
      <c r="AA10" s="27">
        <f t="shared" ca="1" si="79"/>
        <v>15.750081684522268</v>
      </c>
      <c r="AB10" s="27">
        <f t="shared" ca="1" si="80"/>
        <v>4.0635210746067454</v>
      </c>
      <c r="AC10" s="27">
        <f t="shared" ca="1" si="81"/>
        <v>1.4676861075829661</v>
      </c>
      <c r="AD10" s="27">
        <f t="shared" ca="1" si="82"/>
        <v>5.9535308767494177</v>
      </c>
      <c r="AE10" s="27">
        <f t="shared" ca="1" si="83"/>
        <v>11.387309057909599</v>
      </c>
      <c r="AF10" s="27">
        <f t="shared" ca="1" si="84"/>
        <v>2.9767654383747089</v>
      </c>
      <c r="AG10" s="27">
        <f t="shared" ca="1" si="85"/>
        <v>2.3741981152077392</v>
      </c>
      <c r="AH10" s="27">
        <f t="shared" ca="1" si="86"/>
        <v>14.490075149760488</v>
      </c>
      <c r="AI10" s="27">
        <f t="shared" ca="1" si="87"/>
        <v>6.5205338173922183</v>
      </c>
      <c r="AJ10" s="27">
        <f t="shared" ca="1" si="88"/>
        <v>1.0298469746485519</v>
      </c>
      <c r="AK10" s="27">
        <f t="shared" ca="1" si="89"/>
        <v>8.9964480304990921</v>
      </c>
      <c r="AL10" s="27">
        <f t="shared" ca="1" si="90"/>
        <v>11.87556159012979</v>
      </c>
      <c r="AM10" s="27">
        <f t="shared" ca="1" si="91"/>
        <v>11.151057832641765</v>
      </c>
      <c r="AN10" s="27">
        <f t="shared" ca="1" si="92"/>
        <v>2.6998469746485521</v>
      </c>
      <c r="AO10" s="27">
        <f t="shared" ca="1" si="93"/>
        <v>1.7970235251424127</v>
      </c>
      <c r="AP10" s="27">
        <f t="shared" ca="1" si="94"/>
        <v>4.2525220548210125</v>
      </c>
      <c r="AQ10" s="27">
        <f t="shared" ca="1" si="95"/>
        <v>9.3555485206062272</v>
      </c>
      <c r="AR10" s="27">
        <f t="shared" ca="1" si="96"/>
        <v>2.1262610274105063</v>
      </c>
      <c r="AS10" s="27">
        <f t="shared" ca="1" si="97"/>
        <v>5.8214104435223524</v>
      </c>
      <c r="AT10" s="27">
        <f t="shared" ca="1" si="98"/>
        <v>1.3216772856545616</v>
      </c>
      <c r="AU10" s="27">
        <f t="shared" ca="1" si="99"/>
        <v>2.8058572668983572</v>
      </c>
      <c r="AV10" s="27">
        <f t="shared" ca="1" si="100"/>
        <v>0.66083864282728078</v>
      </c>
      <c r="AW10" s="27">
        <f t="shared" ca="1" si="101"/>
        <v>2.9767654383747089</v>
      </c>
      <c r="AX10" s="27">
        <f t="shared" ca="1" si="102"/>
        <v>6.3000326738089072</v>
      </c>
      <c r="AY10" s="27">
        <f t="shared" ca="1" si="103"/>
        <v>1.4883827191873544</v>
      </c>
      <c r="AZ10" s="27">
        <f t="shared" ca="1" si="104"/>
        <v>6.1667483511889332</v>
      </c>
      <c r="BA10" s="27">
        <f t="shared" ca="1" si="105"/>
        <v>2.5721873328508003</v>
      </c>
      <c r="BB10" s="27">
        <f t="shared" ca="1" si="106"/>
        <v>5.3918783415051035</v>
      </c>
      <c r="BC10" s="27">
        <f t="shared" ca="1" si="107"/>
        <v>1.2860936664254001</v>
      </c>
      <c r="BD10" s="27">
        <f t="shared" ca="1" si="108"/>
        <v>4.58327377019598</v>
      </c>
      <c r="BE10" s="27">
        <f t="shared" ca="1" si="109"/>
        <v>5.481028426213749</v>
      </c>
      <c r="BF10" s="27">
        <f t="shared" ca="1" si="110"/>
        <v>5.4329052973974505</v>
      </c>
      <c r="BG10" s="27">
        <f t="shared" ca="1" si="111"/>
        <v>11.984772617540294</v>
      </c>
      <c r="BH10" s="27">
        <f t="shared" ca="1" si="112"/>
        <v>2.4501863526365328</v>
      </c>
      <c r="BI10" s="27">
        <f t="shared" ca="1" si="113"/>
        <v>7.6387896169933001</v>
      </c>
      <c r="BJ10" s="27">
        <f t="shared" ca="1" si="114"/>
        <v>4.158021564713879</v>
      </c>
      <c r="BK10" s="27">
        <f t="shared" ca="1" si="115"/>
        <v>2.3495311218029835</v>
      </c>
      <c r="BL10" s="27">
        <f t="shared" ca="1" si="116"/>
        <v>12.340471392272462</v>
      </c>
      <c r="BM10" s="27">
        <f t="shared" ca="1" si="117"/>
        <v>0.52867091426182455</v>
      </c>
      <c r="BN10" s="27">
        <f t="shared" ca="1" si="118"/>
        <v>2.8350147032140081</v>
      </c>
      <c r="BO10" s="27">
        <f t="shared" ca="1" si="119"/>
        <v>1.0710055545475143</v>
      </c>
      <c r="BP10" s="27">
        <f t="shared" ca="1" si="120"/>
        <v>1.8808582471126245</v>
      </c>
      <c r="BQ10" s="27">
        <f t="shared" ca="1" si="121"/>
        <v>18.207771712962302</v>
      </c>
      <c r="BR10" s="27">
        <f t="shared" ca="1" si="122"/>
        <v>1.3725110274105061</v>
      </c>
      <c r="BS10" s="27">
        <f t="shared" ca="1" si="123"/>
        <v>4.4730231984043236</v>
      </c>
      <c r="BT10" s="27">
        <f t="shared" ca="1" si="124"/>
        <v>3.8430199310234334</v>
      </c>
      <c r="BU10" s="27">
        <f t="shared" ca="1" si="125"/>
        <v>3.891218209600217</v>
      </c>
      <c r="BV10" s="27">
        <f t="shared" ca="1" si="126"/>
        <v>12.702839774314095</v>
      </c>
      <c r="BW10" s="27">
        <f t="shared" ca="1" si="127"/>
        <v>1.5046787559759622</v>
      </c>
      <c r="BX10" s="27">
        <f t="shared" ca="1" si="128"/>
        <v>2.5036998305827072</v>
      </c>
      <c r="BY10" s="27">
        <f t="shared" ca="1" si="129"/>
        <v>5.9090758909694348</v>
      </c>
      <c r="BZ10" s="27">
        <f t="shared" ca="1" si="130"/>
        <v>10.864758643438741</v>
      </c>
      <c r="CA10" s="27">
        <f t="shared" ca="1" si="131"/>
        <v>5.9090758909694348</v>
      </c>
      <c r="CB10" s="27">
        <f t="shared" ca="1" si="132"/>
        <v>7.208350889457372</v>
      </c>
      <c r="CC10" s="27">
        <f t="shared" ca="1" si="133"/>
        <v>12.918278492777651</v>
      </c>
      <c r="CD10" s="27">
        <f t="shared" ca="1" si="134"/>
        <v>7.208350889457372</v>
      </c>
      <c r="CE10" s="27">
        <f t="shared" ca="1" si="135"/>
        <v>1.5416870877972333</v>
      </c>
    </row>
    <row r="11" spans="1:83" x14ac:dyDescent="0.25">
      <c r="A11" t="str">
        <f>Plantilla!D12</f>
        <v>Will Duffill</v>
      </c>
      <c r="B11">
        <f>Plantilla!E12</f>
        <v>25</v>
      </c>
      <c r="C11" s="25">
        <f ca="1">Plantilla!F12</f>
        <v>98</v>
      </c>
      <c r="D11" s="42" t="str">
        <f>Plantilla!G12</f>
        <v>RAP</v>
      </c>
      <c r="E11" s="23">
        <f>Plantilla!M12</f>
        <v>43122</v>
      </c>
      <c r="F11" s="37">
        <f>Plantilla!Q12</f>
        <v>7</v>
      </c>
      <c r="G11" s="38">
        <f t="shared" si="68"/>
        <v>1</v>
      </c>
      <c r="H11" s="38">
        <f t="shared" si="69"/>
        <v>1</v>
      </c>
      <c r="I11" s="104">
        <f ca="1">Plantilla!N12</f>
        <v>1</v>
      </c>
      <c r="J11" s="29">
        <f>Plantilla!I12</f>
        <v>7.6</v>
      </c>
      <c r="K11" s="36">
        <f>Plantilla!X12</f>
        <v>0</v>
      </c>
      <c r="L11" s="36">
        <f>Plantilla!Y12</f>
        <v>13</v>
      </c>
      <c r="M11" s="36">
        <f>Plantilla!Z12</f>
        <v>3.1666666666666665</v>
      </c>
      <c r="N11" s="36">
        <f>Plantilla!AA12</f>
        <v>13.8</v>
      </c>
      <c r="O11" s="36">
        <f>Plantilla!AB12</f>
        <v>9.8333333333333339</v>
      </c>
      <c r="P11" s="36">
        <f>Plantilla!AC12</f>
        <v>7</v>
      </c>
      <c r="Q11" s="36">
        <f>Plantilla!AD12</f>
        <v>14.5</v>
      </c>
      <c r="R11" s="36">
        <f t="shared" si="70"/>
        <v>4.4583333333333339</v>
      </c>
      <c r="S11" s="36">
        <f t="shared" si="71"/>
        <v>0.78499999999999992</v>
      </c>
      <c r="T11" s="36">
        <f t="shared" si="72"/>
        <v>0.95500000000000007</v>
      </c>
      <c r="U11" s="36">
        <f t="shared" ca="1" si="73"/>
        <v>16.674418123041054</v>
      </c>
      <c r="V11" s="36">
        <f t="shared" ca="1" si="74"/>
        <v>16.674418123041054</v>
      </c>
      <c r="W11" s="27">
        <f t="shared" ca="1" si="75"/>
        <v>5.4862670214148421</v>
      </c>
      <c r="X11" s="27">
        <f t="shared" ca="1" si="76"/>
        <v>8.3321737968460017</v>
      </c>
      <c r="Y11" s="27">
        <f t="shared" ca="1" si="77"/>
        <v>5.4862670214148421</v>
      </c>
      <c r="Z11" s="27">
        <f t="shared" ca="1" si="78"/>
        <v>7.8299997514891846</v>
      </c>
      <c r="AA11" s="27">
        <f t="shared" ca="1" si="79"/>
        <v>15.174418123041056</v>
      </c>
      <c r="AB11" s="27">
        <f t="shared" ca="1" si="80"/>
        <v>3.9149998757445923</v>
      </c>
      <c r="AC11" s="27">
        <f t="shared" ca="1" si="81"/>
        <v>1.2711781799504376</v>
      </c>
      <c r="AD11" s="27">
        <f t="shared" ca="1" si="82"/>
        <v>5.735930050509519</v>
      </c>
      <c r="AE11" s="27">
        <f t="shared" ca="1" si="83"/>
        <v>10.971104302958683</v>
      </c>
      <c r="AF11" s="27">
        <f t="shared" ca="1" si="84"/>
        <v>2.8679650252547595</v>
      </c>
      <c r="AG11" s="27">
        <f t="shared" ca="1" si="85"/>
        <v>2.0563176440374726</v>
      </c>
      <c r="AH11" s="27">
        <f t="shared" ca="1" si="86"/>
        <v>13.960464673197771</v>
      </c>
      <c r="AI11" s="27">
        <f t="shared" ca="1" si="87"/>
        <v>6.2822091029389968</v>
      </c>
      <c r="AJ11" s="27">
        <f t="shared" ca="1" si="88"/>
        <v>0.8919611598811894</v>
      </c>
      <c r="AK11" s="27">
        <f t="shared" ca="1" si="89"/>
        <v>9.39295785634814</v>
      </c>
      <c r="AL11" s="27">
        <f t="shared" ca="1" si="90"/>
        <v>11.441511264772956</v>
      </c>
      <c r="AM11" s="27">
        <f t="shared" ca="1" si="91"/>
        <v>10.743488031113067</v>
      </c>
      <c r="AN11" s="27">
        <f t="shared" ca="1" si="92"/>
        <v>2.7846278265478563</v>
      </c>
      <c r="AO11" s="27">
        <f t="shared" ca="1" si="93"/>
        <v>1.9102324194358238</v>
      </c>
      <c r="AP11" s="27">
        <f t="shared" ca="1" si="94"/>
        <v>4.0970928932210855</v>
      </c>
      <c r="AQ11" s="27">
        <f t="shared" ca="1" si="95"/>
        <v>9.0136043650863868</v>
      </c>
      <c r="AR11" s="27">
        <f t="shared" ca="1" si="96"/>
        <v>2.0485464466105427</v>
      </c>
      <c r="AS11" s="27">
        <f t="shared" ca="1" si="97"/>
        <v>5.0419840414840884</v>
      </c>
      <c r="AT11" s="27">
        <f t="shared" ca="1" si="98"/>
        <v>1.5610076893286706</v>
      </c>
      <c r="AU11" s="27">
        <f t="shared" ca="1" si="99"/>
        <v>3.0281045100510293</v>
      </c>
      <c r="AV11" s="27">
        <f t="shared" ca="1" si="100"/>
        <v>0.78050384466433531</v>
      </c>
      <c r="AW11" s="27">
        <f t="shared" ca="1" si="101"/>
        <v>2.8679650252547595</v>
      </c>
      <c r="AX11" s="27">
        <f t="shared" ca="1" si="102"/>
        <v>6.0697672492164223</v>
      </c>
      <c r="AY11" s="27">
        <f t="shared" ca="1" si="103"/>
        <v>1.4339825126273797</v>
      </c>
      <c r="AZ11" s="27">
        <f t="shared" ca="1" si="104"/>
        <v>5.3410847897077209</v>
      </c>
      <c r="BA11" s="27">
        <f t="shared" ca="1" si="105"/>
        <v>3.0379611184627207</v>
      </c>
      <c r="BB11" s="27">
        <f t="shared" ca="1" si="106"/>
        <v>6.0212710524622883</v>
      </c>
      <c r="BC11" s="27">
        <f t="shared" ca="1" si="107"/>
        <v>1.5189805592313603</v>
      </c>
      <c r="BD11" s="27">
        <f t="shared" ca="1" si="108"/>
        <v>4.4157556738049468</v>
      </c>
      <c r="BE11" s="27">
        <f t="shared" ca="1" si="109"/>
        <v>5.2806975068182869</v>
      </c>
      <c r="BF11" s="27">
        <f t="shared" ca="1" si="110"/>
        <v>4.7054956997325021</v>
      </c>
      <c r="BG11" s="27">
        <f t="shared" ca="1" si="111"/>
        <v>12.951757711383499</v>
      </c>
      <c r="BH11" s="27">
        <f t="shared" ca="1" si="112"/>
        <v>2.8938681009862277</v>
      </c>
      <c r="BI11" s="27">
        <f t="shared" ca="1" si="113"/>
        <v>7.3595927896749123</v>
      </c>
      <c r="BJ11" s="27">
        <f t="shared" ca="1" si="114"/>
        <v>4.0060463844828389</v>
      </c>
      <c r="BK11" s="27">
        <f t="shared" ca="1" si="115"/>
        <v>2.0349533048786417</v>
      </c>
      <c r="BL11" s="27">
        <f t="shared" ca="1" si="116"/>
        <v>13.164341439537885</v>
      </c>
      <c r="BM11" s="27">
        <f t="shared" ca="1" si="117"/>
        <v>0.62440307573146825</v>
      </c>
      <c r="BN11" s="27">
        <f t="shared" ca="1" si="118"/>
        <v>2.73139526214739</v>
      </c>
      <c r="BO11" s="27">
        <f t="shared" ca="1" si="119"/>
        <v>1.0318604323667919</v>
      </c>
      <c r="BP11" s="27">
        <f t="shared" ca="1" si="120"/>
        <v>1.6290308608608548</v>
      </c>
      <c r="BQ11" s="27">
        <f t="shared" ca="1" si="121"/>
        <v>19.408635039564132</v>
      </c>
      <c r="BR11" s="27">
        <f t="shared" ca="1" si="122"/>
        <v>1.6210464466105428</v>
      </c>
      <c r="BS11" s="27">
        <f t="shared" ca="1" si="123"/>
        <v>4.3095347469436591</v>
      </c>
      <c r="BT11" s="27">
        <f t="shared" ca="1" si="124"/>
        <v>3.7025580220220173</v>
      </c>
      <c r="BU11" s="27">
        <f t="shared" ca="1" si="125"/>
        <v>3.3702245023055721</v>
      </c>
      <c r="BV11" s="27">
        <f t="shared" ca="1" si="126"/>
        <v>13.531537553455077</v>
      </c>
      <c r="BW11" s="27">
        <f t="shared" ca="1" si="127"/>
        <v>1.7771472155434096</v>
      </c>
      <c r="BX11" s="27">
        <f t="shared" ca="1" si="128"/>
        <v>2.1684804246213347</v>
      </c>
      <c r="BY11" s="27">
        <f t="shared" ca="1" si="129"/>
        <v>6.4674051754377233</v>
      </c>
      <c r="BZ11" s="27">
        <f t="shared" ca="1" si="130"/>
        <v>11.86889480654423</v>
      </c>
      <c r="CA11" s="27">
        <f t="shared" ca="1" si="131"/>
        <v>6.4674051754377233</v>
      </c>
      <c r="CB11" s="27">
        <f t="shared" ca="1" si="132"/>
        <v>7.6207958239879119</v>
      </c>
      <c r="CC11" s="27">
        <f t="shared" ca="1" si="133"/>
        <v>13.605278410443205</v>
      </c>
      <c r="CD11" s="27">
        <f t="shared" ca="1" si="134"/>
        <v>7.6207958239879119</v>
      </c>
      <c r="CE11" s="27">
        <f t="shared" ca="1" si="135"/>
        <v>1.3352711974269302</v>
      </c>
    </row>
    <row r="12" spans="1:83" x14ac:dyDescent="0.25">
      <c r="A12" t="str">
        <f>Plantilla!D13</f>
        <v>Valeri Gomis</v>
      </c>
      <c r="B12">
        <f>Plantilla!E13</f>
        <v>26</v>
      </c>
      <c r="C12" s="25">
        <f ca="1">Plantilla!F13</f>
        <v>25</v>
      </c>
      <c r="D12" s="42" t="str">
        <f>Plantilla!G13</f>
        <v>IMP</v>
      </c>
      <c r="E12" s="23">
        <f>Plantilla!M13</f>
        <v>43051</v>
      </c>
      <c r="F12" s="37">
        <f>Plantilla!Q13</f>
        <v>3</v>
      </c>
      <c r="G12" s="38">
        <f t="shared" si="68"/>
        <v>0.65465367070797709</v>
      </c>
      <c r="H12" s="38">
        <f t="shared" si="69"/>
        <v>0.75498344352707503</v>
      </c>
      <c r="I12" s="104">
        <f ca="1">Plantilla!N13</f>
        <v>1</v>
      </c>
      <c r="J12" s="29">
        <f>Plantilla!I13</f>
        <v>7</v>
      </c>
      <c r="K12" s="36">
        <f>Plantilla!X13</f>
        <v>0</v>
      </c>
      <c r="L12" s="36">
        <f>Plantilla!Y13</f>
        <v>12.454545454545455</v>
      </c>
      <c r="M12" s="36">
        <f>Plantilla!Z13</f>
        <v>3.1666666666666665</v>
      </c>
      <c r="N12" s="36">
        <f>Plantilla!AA13</f>
        <v>12.714285714285714</v>
      </c>
      <c r="O12" s="36">
        <f>Plantilla!AB13</f>
        <v>9.1666666666666661</v>
      </c>
      <c r="P12" s="36">
        <f>Plantilla!AC13</f>
        <v>7.25</v>
      </c>
      <c r="Q12" s="36">
        <f>Plantilla!AD13</f>
        <v>14.5</v>
      </c>
      <c r="R12" s="36">
        <f t="shared" si="70"/>
        <v>4.2234848484848486</v>
      </c>
      <c r="S12" s="36">
        <f t="shared" si="71"/>
        <v>0.79749999999999999</v>
      </c>
      <c r="T12" s="36">
        <f t="shared" si="72"/>
        <v>0.93318181818181822</v>
      </c>
      <c r="U12" s="36">
        <f t="shared" ca="1" si="73"/>
        <v>10.88479394131158</v>
      </c>
      <c r="V12" s="36">
        <f t="shared" ca="1" si="74"/>
        <v>12.552956745826924</v>
      </c>
      <c r="W12" s="27">
        <f t="shared" ca="1" si="75"/>
        <v>5.294148664031141</v>
      </c>
      <c r="X12" s="27">
        <f t="shared" ca="1" si="76"/>
        <v>8.0388772443930261</v>
      </c>
      <c r="Y12" s="27">
        <f t="shared" ca="1" si="77"/>
        <v>5.294148664031141</v>
      </c>
      <c r="Z12" s="27">
        <f t="shared" ca="1" si="78"/>
        <v>7.5239729060752634</v>
      </c>
      <c r="AA12" s="27">
        <f t="shared" ca="1" si="79"/>
        <v>14.58134284123113</v>
      </c>
      <c r="AB12" s="27">
        <f t="shared" ca="1" si="80"/>
        <v>3.7619864530376317</v>
      </c>
      <c r="AC12" s="27">
        <f t="shared" ca="1" si="81"/>
        <v>1.2598444446978572</v>
      </c>
      <c r="AD12" s="27">
        <f t="shared" ca="1" si="82"/>
        <v>5.5117475939853673</v>
      </c>
      <c r="AE12" s="27">
        <f t="shared" ca="1" si="83"/>
        <v>10.542310874210107</v>
      </c>
      <c r="AF12" s="27">
        <f t="shared" ca="1" si="84"/>
        <v>2.7558737969926836</v>
      </c>
      <c r="AG12" s="27">
        <f t="shared" ca="1" si="85"/>
        <v>2.0379836605406516</v>
      </c>
      <c r="AH12" s="27">
        <f t="shared" ca="1" si="86"/>
        <v>13.414835413932641</v>
      </c>
      <c r="AI12" s="27">
        <f t="shared" ca="1" si="87"/>
        <v>6.0366759362696873</v>
      </c>
      <c r="AJ12" s="27">
        <f t="shared" ca="1" si="88"/>
        <v>0.88400849690984107</v>
      </c>
      <c r="AK12" s="27">
        <f t="shared" ca="1" si="89"/>
        <v>8.7265568633711759</v>
      </c>
      <c r="AL12" s="27">
        <f t="shared" ca="1" si="90"/>
        <v>10.994332502288273</v>
      </c>
      <c r="AM12" s="27">
        <f t="shared" ca="1" si="91"/>
        <v>10.32359073159164</v>
      </c>
      <c r="AN12" s="27">
        <f t="shared" ca="1" si="92"/>
        <v>2.7766751635765083</v>
      </c>
      <c r="AO12" s="27">
        <f t="shared" ca="1" si="93"/>
        <v>1.8288812837291111</v>
      </c>
      <c r="AP12" s="27">
        <f t="shared" ca="1" si="94"/>
        <v>3.9369625671324053</v>
      </c>
      <c r="AQ12" s="27">
        <f t="shared" ca="1" si="95"/>
        <v>8.6613176476912912</v>
      </c>
      <c r="AR12" s="27">
        <f t="shared" ca="1" si="96"/>
        <v>1.9684812835662027</v>
      </c>
      <c r="AS12" s="27">
        <f t="shared" ca="1" si="97"/>
        <v>4.9970300663646103</v>
      </c>
      <c r="AT12" s="27">
        <f t="shared" ca="1" si="98"/>
        <v>1.4681503269358045</v>
      </c>
      <c r="AU12" s="27">
        <f t="shared" ca="1" si="99"/>
        <v>2.9774016342989027</v>
      </c>
      <c r="AV12" s="27">
        <f t="shared" ca="1" si="100"/>
        <v>0.73407516346790225</v>
      </c>
      <c r="AW12" s="27">
        <f t="shared" ca="1" si="101"/>
        <v>2.7558737969926836</v>
      </c>
      <c r="AX12" s="27">
        <f t="shared" ca="1" si="102"/>
        <v>5.8325371364924523</v>
      </c>
      <c r="AY12" s="27">
        <f t="shared" ca="1" si="103"/>
        <v>1.3779368984963418</v>
      </c>
      <c r="AZ12" s="27">
        <f t="shared" ca="1" si="104"/>
        <v>5.2934640533523414</v>
      </c>
      <c r="BA12" s="27">
        <f t="shared" ca="1" si="105"/>
        <v>2.8572464054981426</v>
      </c>
      <c r="BB12" s="27">
        <f t="shared" ca="1" si="106"/>
        <v>5.8201986933971401</v>
      </c>
      <c r="BC12" s="27">
        <f t="shared" ca="1" si="107"/>
        <v>1.4286232027490713</v>
      </c>
      <c r="BD12" s="27">
        <f t="shared" ca="1" si="108"/>
        <v>4.2431707667982588</v>
      </c>
      <c r="BE12" s="27">
        <f t="shared" ca="1" si="109"/>
        <v>5.0743073087484332</v>
      </c>
      <c r="BF12" s="27">
        <f t="shared" ca="1" si="110"/>
        <v>4.6635418310034131</v>
      </c>
      <c r="BG12" s="27">
        <f t="shared" ca="1" si="111"/>
        <v>12.076222876763564</v>
      </c>
      <c r="BH12" s="27">
        <f t="shared" ca="1" si="112"/>
        <v>2.7217248368579141</v>
      </c>
      <c r="BI12" s="27">
        <f t="shared" ca="1" si="113"/>
        <v>7.0719512779970977</v>
      </c>
      <c r="BJ12" s="27">
        <f t="shared" ca="1" si="114"/>
        <v>3.8494745100850185</v>
      </c>
      <c r="BK12" s="27">
        <f t="shared" ca="1" si="115"/>
        <v>2.016809804327242</v>
      </c>
      <c r="BL12" s="27">
        <f t="shared" ca="1" si="116"/>
        <v>12.258035201677565</v>
      </c>
      <c r="BM12" s="27">
        <f t="shared" ca="1" si="117"/>
        <v>0.58726013077432171</v>
      </c>
      <c r="BN12" s="27">
        <f t="shared" ca="1" si="118"/>
        <v>2.6246417114216034</v>
      </c>
      <c r="BO12" s="27">
        <f t="shared" ca="1" si="119"/>
        <v>0.9915313132037169</v>
      </c>
      <c r="BP12" s="27">
        <f t="shared" ca="1" si="120"/>
        <v>1.614506536272464</v>
      </c>
      <c r="BQ12" s="27">
        <f t="shared" ca="1" si="121"/>
        <v>18.071013820230156</v>
      </c>
      <c r="BR12" s="27">
        <f t="shared" ca="1" si="122"/>
        <v>1.5246176472025661</v>
      </c>
      <c r="BS12" s="27">
        <f t="shared" ca="1" si="123"/>
        <v>4.1411013669096404</v>
      </c>
      <c r="BT12" s="27">
        <f t="shared" ca="1" si="124"/>
        <v>3.5578476532603958</v>
      </c>
      <c r="BU12" s="27">
        <f t="shared" ca="1" si="125"/>
        <v>3.3401758176653273</v>
      </c>
      <c r="BV12" s="27">
        <f t="shared" ca="1" si="126"/>
        <v>12.598078899178917</v>
      </c>
      <c r="BW12" s="27">
        <f t="shared" ca="1" si="127"/>
        <v>1.6714326798961465</v>
      </c>
      <c r="BX12" s="27">
        <f t="shared" ca="1" si="128"/>
        <v>2.1491464056610505</v>
      </c>
      <c r="BY12" s="27">
        <f t="shared" ca="1" si="129"/>
        <v>6.1513352479870456</v>
      </c>
      <c r="BZ12" s="27">
        <f t="shared" ca="1" si="130"/>
        <v>11.599023857408071</v>
      </c>
      <c r="CA12" s="27">
        <f t="shared" ca="1" si="131"/>
        <v>6.1513352479870456</v>
      </c>
      <c r="CB12" s="27">
        <f t="shared" ca="1" si="132"/>
        <v>7.3215185814289852</v>
      </c>
      <c r="CC12" s="27">
        <f t="shared" ca="1" si="133"/>
        <v>13.544085622372689</v>
      </c>
      <c r="CD12" s="27">
        <f t="shared" ca="1" si="134"/>
        <v>7.3215185814289852</v>
      </c>
      <c r="CE12" s="27">
        <f t="shared" ca="1" si="135"/>
        <v>1.3233660133380853</v>
      </c>
    </row>
    <row r="13" spans="1:83" x14ac:dyDescent="0.25">
      <c r="A13" t="str">
        <f>Plantilla!D14</f>
        <v>Enrique Cubas</v>
      </c>
      <c r="B13">
        <f>Plantilla!E14</f>
        <v>26</v>
      </c>
      <c r="C13" s="25">
        <f ca="1">Plantilla!F14</f>
        <v>21</v>
      </c>
      <c r="D13" s="42" t="str">
        <f>Plantilla!G14</f>
        <v>RAP</v>
      </c>
      <c r="E13" s="23">
        <f>Plantilla!M14</f>
        <v>43046</v>
      </c>
      <c r="F13" s="37">
        <f>Plantilla!Q14</f>
        <v>5</v>
      </c>
      <c r="G13" s="38">
        <f t="shared" si="68"/>
        <v>0.84515425472851657</v>
      </c>
      <c r="H13" s="38">
        <f t="shared" si="69"/>
        <v>0.92504826128926143</v>
      </c>
      <c r="I13" s="104">
        <f>Plantilla!N14</f>
        <v>1.5</v>
      </c>
      <c r="J13" s="29">
        <f>Plantilla!I14</f>
        <v>8.1</v>
      </c>
      <c r="K13" s="36">
        <f>Plantilla!X14</f>
        <v>0</v>
      </c>
      <c r="L13" s="36">
        <f>Plantilla!Y14</f>
        <v>11.5</v>
      </c>
      <c r="M13" s="36">
        <f>Plantilla!Z14</f>
        <v>5.8250000000000002</v>
      </c>
      <c r="N13" s="36">
        <f>Plantilla!AA14</f>
        <v>14.888888888888889</v>
      </c>
      <c r="O13" s="36">
        <f>Plantilla!AB14</f>
        <v>9</v>
      </c>
      <c r="P13" s="36">
        <f>Plantilla!AC14</f>
        <v>7.5</v>
      </c>
      <c r="Q13" s="36">
        <f>Plantilla!AD14</f>
        <v>15</v>
      </c>
      <c r="R13" s="36">
        <f t="shared" si="70"/>
        <v>4.0625</v>
      </c>
      <c r="S13" s="36">
        <f t="shared" si="71"/>
        <v>0.82499999999999996</v>
      </c>
      <c r="T13" s="36">
        <f t="shared" si="72"/>
        <v>0.91000000000000014</v>
      </c>
      <c r="U13" s="36">
        <f t="shared" si="73"/>
        <v>14.9687918417704</v>
      </c>
      <c r="V13" s="36">
        <f t="shared" si="74"/>
        <v>16.383819627434196</v>
      </c>
      <c r="W13" s="27">
        <f t="shared" si="75"/>
        <v>5.5409765619747491</v>
      </c>
      <c r="X13" s="27">
        <f t="shared" si="76"/>
        <v>8.3878055458297816</v>
      </c>
      <c r="Y13" s="27">
        <f t="shared" si="77"/>
        <v>5.5409765619747491</v>
      </c>
      <c r="Z13" s="27">
        <f t="shared" si="78"/>
        <v>7.3330376929885119</v>
      </c>
      <c r="AA13" s="27">
        <f t="shared" si="79"/>
        <v>14.211313358504867</v>
      </c>
      <c r="AB13" s="27">
        <f t="shared" si="80"/>
        <v>3.666518846494256</v>
      </c>
      <c r="AC13" s="27">
        <f t="shared" si="81"/>
        <v>2.0316425793241581</v>
      </c>
      <c r="AD13" s="27">
        <f t="shared" si="82"/>
        <v>5.3718764495148399</v>
      </c>
      <c r="AE13" s="27">
        <f t="shared" si="83"/>
        <v>10.274779558199018</v>
      </c>
      <c r="AF13" s="27">
        <f t="shared" si="84"/>
        <v>2.6859382247574199</v>
      </c>
      <c r="AG13" s="27">
        <f t="shared" si="85"/>
        <v>3.2864806430243738</v>
      </c>
      <c r="AH13" s="27">
        <f t="shared" si="86"/>
        <v>13.074408289824479</v>
      </c>
      <c r="AI13" s="27">
        <f t="shared" si="87"/>
        <v>5.8834837304210144</v>
      </c>
      <c r="AJ13" s="27">
        <f t="shared" si="88"/>
        <v>1.4255643308703128</v>
      </c>
      <c r="AK13" s="27">
        <f t="shared" si="89"/>
        <v>10.348918921467527</v>
      </c>
      <c r="AL13" s="27">
        <f t="shared" si="90"/>
        <v>10.71533027231267</v>
      </c>
      <c r="AM13" s="27">
        <f t="shared" si="91"/>
        <v>10.061609857821445</v>
      </c>
      <c r="AN13" s="27">
        <f t="shared" si="92"/>
        <v>2.9577893308703129</v>
      </c>
      <c r="AO13" s="27">
        <f t="shared" si="93"/>
        <v>1.9508582472494014</v>
      </c>
      <c r="AP13" s="27">
        <f t="shared" si="94"/>
        <v>3.8370546067963143</v>
      </c>
      <c r="AQ13" s="27">
        <f t="shared" si="95"/>
        <v>8.4415201349518902</v>
      </c>
      <c r="AR13" s="27">
        <f t="shared" si="96"/>
        <v>1.9185273033981571</v>
      </c>
      <c r="AS13" s="27">
        <f t="shared" si="97"/>
        <v>8.0582798104285942</v>
      </c>
      <c r="AT13" s="27">
        <f t="shared" si="98"/>
        <v>1.5224707366056327</v>
      </c>
      <c r="AU13" s="27">
        <f t="shared" si="99"/>
        <v>3.171914814041926</v>
      </c>
      <c r="AV13" s="27">
        <f t="shared" si="100"/>
        <v>0.76123536830281635</v>
      </c>
      <c r="AW13" s="27">
        <f t="shared" si="101"/>
        <v>2.6859382247574199</v>
      </c>
      <c r="AX13" s="27">
        <f t="shared" si="102"/>
        <v>5.6845253434019476</v>
      </c>
      <c r="AY13" s="27">
        <f t="shared" si="103"/>
        <v>1.34296911237871</v>
      </c>
      <c r="AZ13" s="27">
        <f t="shared" si="104"/>
        <v>8.5363133585048665</v>
      </c>
      <c r="BA13" s="27">
        <f t="shared" si="105"/>
        <v>2.9629622797017316</v>
      </c>
      <c r="BB13" s="27">
        <f t="shared" si="106"/>
        <v>6.1379336605361825</v>
      </c>
      <c r="BC13" s="27">
        <f t="shared" si="107"/>
        <v>1.4814811398508658</v>
      </c>
      <c r="BD13" s="27">
        <f t="shared" si="108"/>
        <v>4.1354921873249157</v>
      </c>
      <c r="BE13" s="27">
        <f t="shared" si="109"/>
        <v>4.945537048759693</v>
      </c>
      <c r="BF13" s="27">
        <f t="shared" si="110"/>
        <v>7.5204920688427874</v>
      </c>
      <c r="BG13" s="27">
        <f t="shared" si="111"/>
        <v>13.79157979793305</v>
      </c>
      <c r="BH13" s="27">
        <f t="shared" si="112"/>
        <v>2.8224265193996727</v>
      </c>
      <c r="BI13" s="27">
        <f t="shared" si="113"/>
        <v>6.8924869788748602</v>
      </c>
      <c r="BJ13" s="27">
        <f t="shared" si="114"/>
        <v>3.7517867266452853</v>
      </c>
      <c r="BK13" s="27">
        <f t="shared" si="115"/>
        <v>3.2523353895903542</v>
      </c>
      <c r="BL13" s="27">
        <f t="shared" si="116"/>
        <v>14.198910097555476</v>
      </c>
      <c r="BM13" s="27">
        <f t="shared" si="117"/>
        <v>0.60898829464225301</v>
      </c>
      <c r="BN13" s="27">
        <f t="shared" si="118"/>
        <v>2.5580364045308759</v>
      </c>
      <c r="BO13" s="27">
        <f t="shared" si="119"/>
        <v>0.96636930837833102</v>
      </c>
      <c r="BP13" s="27">
        <f t="shared" si="120"/>
        <v>2.6035755743439841</v>
      </c>
      <c r="BQ13" s="27">
        <f t="shared" si="121"/>
        <v>20.94963786792615</v>
      </c>
      <c r="BR13" s="27">
        <f t="shared" si="122"/>
        <v>1.5810273033981572</v>
      </c>
      <c r="BS13" s="27">
        <f t="shared" si="123"/>
        <v>4.0360129938153824</v>
      </c>
      <c r="BT13" s="27">
        <f t="shared" si="124"/>
        <v>3.4675604594751874</v>
      </c>
      <c r="BU13" s="27">
        <f t="shared" si="125"/>
        <v>5.3864137292165708</v>
      </c>
      <c r="BV13" s="27">
        <f t="shared" si="126"/>
        <v>14.615625455861856</v>
      </c>
      <c r="BW13" s="27">
        <f t="shared" si="127"/>
        <v>1.7332743770587202</v>
      </c>
      <c r="BX13" s="27">
        <f t="shared" si="128"/>
        <v>3.4657432235529759</v>
      </c>
      <c r="BY13" s="27">
        <f t="shared" si="129"/>
        <v>6.759094259781036</v>
      </c>
      <c r="BZ13" s="27">
        <f t="shared" si="130"/>
        <v>12.312438841676482</v>
      </c>
      <c r="CA13" s="27">
        <f t="shared" si="131"/>
        <v>6.759094259781036</v>
      </c>
      <c r="CB13" s="27">
        <f t="shared" si="132"/>
        <v>8.2075926667929764</v>
      </c>
      <c r="CC13" s="27">
        <f t="shared" si="133"/>
        <v>14.532787987793164</v>
      </c>
      <c r="CD13" s="27">
        <f t="shared" si="134"/>
        <v>8.2075926667929764</v>
      </c>
      <c r="CE13" s="27">
        <f t="shared" si="135"/>
        <v>2.1340783396262166</v>
      </c>
    </row>
    <row r="14" spans="1:83" x14ac:dyDescent="0.25">
      <c r="A14" t="str">
        <f>Plantilla!D15</f>
        <v>J. G. Peñuela</v>
      </c>
      <c r="B14">
        <f>Plantilla!E15</f>
        <v>26</v>
      </c>
      <c r="C14" s="25">
        <f ca="1">Plantilla!F15</f>
        <v>21</v>
      </c>
      <c r="D14" s="42" t="str">
        <f>Plantilla!G15</f>
        <v>IMP</v>
      </c>
      <c r="E14" s="23">
        <f>Plantilla!M15</f>
        <v>43054</v>
      </c>
      <c r="F14" s="37">
        <f>Plantilla!Q15</f>
        <v>4</v>
      </c>
      <c r="G14" s="38">
        <f t="shared" si="68"/>
        <v>0.7559289460184544</v>
      </c>
      <c r="H14" s="38">
        <f t="shared" si="69"/>
        <v>0.84430867747355465</v>
      </c>
      <c r="I14" s="104">
        <f ca="1">Plantilla!N15</f>
        <v>1</v>
      </c>
      <c r="J14" s="29">
        <f>Plantilla!I15</f>
        <v>6.9</v>
      </c>
      <c r="K14" s="36">
        <f>Plantilla!X15</f>
        <v>0</v>
      </c>
      <c r="L14" s="36">
        <f>Plantilla!Y15</f>
        <v>11.8</v>
      </c>
      <c r="M14" s="36">
        <f>Plantilla!Z15</f>
        <v>5.25</v>
      </c>
      <c r="N14" s="36">
        <f>Plantilla!AA15</f>
        <v>14</v>
      </c>
      <c r="O14" s="36">
        <f>Plantilla!AB15</f>
        <v>8.4</v>
      </c>
      <c r="P14" s="36">
        <f>Plantilla!AC15</f>
        <v>8</v>
      </c>
      <c r="Q14" s="36">
        <f>Plantilla!AD15</f>
        <v>14</v>
      </c>
      <c r="R14" s="36">
        <f t="shared" si="70"/>
        <v>3.95</v>
      </c>
      <c r="S14" s="36">
        <f t="shared" si="71"/>
        <v>0.82</v>
      </c>
      <c r="T14" s="36">
        <f t="shared" si="72"/>
        <v>0.89200000000000013</v>
      </c>
      <c r="U14" s="36">
        <f t="shared" ca="1" si="73"/>
        <v>12.184414602316219</v>
      </c>
      <c r="V14" s="36">
        <f t="shared" ca="1" si="74"/>
        <v>13.608960250637008</v>
      </c>
      <c r="W14" s="27">
        <f t="shared" ca="1" si="75"/>
        <v>5.1062203416181653</v>
      </c>
      <c r="X14" s="27">
        <f t="shared" ca="1" si="76"/>
        <v>7.7499389015223947</v>
      </c>
      <c r="Y14" s="27">
        <f t="shared" ca="1" si="77"/>
        <v>5.1062203416181653</v>
      </c>
      <c r="Z14" s="27">
        <f t="shared" ca="1" si="78"/>
        <v>7.1819281744272319</v>
      </c>
      <c r="AA14" s="27">
        <f t="shared" ca="1" si="79"/>
        <v>13.91846545431634</v>
      </c>
      <c r="AB14" s="27">
        <f t="shared" ca="1" si="80"/>
        <v>3.5909640872136159</v>
      </c>
      <c r="AC14" s="27">
        <f t="shared" ca="1" si="81"/>
        <v>1.7536947781272889</v>
      </c>
      <c r="AD14" s="27">
        <f t="shared" ca="1" si="82"/>
        <v>5.2611799417315765</v>
      </c>
      <c r="AE14" s="27">
        <f t="shared" ca="1" si="83"/>
        <v>10.063050523470714</v>
      </c>
      <c r="AF14" s="27">
        <f t="shared" ca="1" si="84"/>
        <v>2.6305899708657883</v>
      </c>
      <c r="AG14" s="27">
        <f t="shared" ca="1" si="85"/>
        <v>2.8368591999117911</v>
      </c>
      <c r="AH14" s="27">
        <f t="shared" ca="1" si="86"/>
        <v>12.804988217971033</v>
      </c>
      <c r="AI14" s="27">
        <f t="shared" ca="1" si="87"/>
        <v>5.762244698086965</v>
      </c>
      <c r="AJ14" s="27">
        <f t="shared" ca="1" si="88"/>
        <v>1.2305337308708288</v>
      </c>
      <c r="AK14" s="27">
        <f t="shared" ca="1" si="89"/>
        <v>9.4776576871380076</v>
      </c>
      <c r="AL14" s="27">
        <f t="shared" ca="1" si="90"/>
        <v>10.494522952554521</v>
      </c>
      <c r="AM14" s="27">
        <f t="shared" ca="1" si="91"/>
        <v>9.854273541655969</v>
      </c>
      <c r="AN14" s="27">
        <f t="shared" ca="1" si="92"/>
        <v>2.6917837308708288</v>
      </c>
      <c r="AO14" s="27">
        <f t="shared" ca="1" si="93"/>
        <v>1.7477180508431061</v>
      </c>
      <c r="AP14" s="27">
        <f t="shared" ca="1" si="94"/>
        <v>3.7579856726654119</v>
      </c>
      <c r="AQ14" s="27">
        <f t="shared" ca="1" si="95"/>
        <v>8.2675684798639058</v>
      </c>
      <c r="AR14" s="27">
        <f t="shared" ca="1" si="96"/>
        <v>1.878992836332706</v>
      </c>
      <c r="AS14" s="27">
        <f t="shared" ca="1" si="97"/>
        <v>6.9558313888746248</v>
      </c>
      <c r="AT14" s="27">
        <f t="shared" ca="1" si="98"/>
        <v>1.3674005090611243</v>
      </c>
      <c r="AU14" s="27">
        <f t="shared" ca="1" si="99"/>
        <v>3.0127103781146873</v>
      </c>
      <c r="AV14" s="27">
        <f t="shared" ca="1" si="100"/>
        <v>0.68370025453056216</v>
      </c>
      <c r="AW14" s="27">
        <f t="shared" ca="1" si="101"/>
        <v>2.6305899708657883</v>
      </c>
      <c r="AX14" s="27">
        <f t="shared" ca="1" si="102"/>
        <v>5.5673861817265369</v>
      </c>
      <c r="AY14" s="27">
        <f t="shared" ca="1" si="103"/>
        <v>1.3152949854328941</v>
      </c>
      <c r="AZ14" s="27">
        <f t="shared" ca="1" si="104"/>
        <v>7.3684654543163406</v>
      </c>
      <c r="BA14" s="27">
        <f t="shared" ca="1" si="105"/>
        <v>2.6611717599420341</v>
      </c>
      <c r="BB14" s="27">
        <f t="shared" ca="1" si="106"/>
        <v>5.7116744653283043</v>
      </c>
      <c r="BC14" s="27">
        <f t="shared" ca="1" si="107"/>
        <v>1.3305858799710171</v>
      </c>
      <c r="BD14" s="27">
        <f t="shared" ca="1" si="108"/>
        <v>4.0502734472060551</v>
      </c>
      <c r="BE14" s="27">
        <f t="shared" ca="1" si="109"/>
        <v>4.8436259781020858</v>
      </c>
      <c r="BF14" s="27">
        <f t="shared" ca="1" si="110"/>
        <v>6.4916180652526965</v>
      </c>
      <c r="BG14" s="27">
        <f t="shared" ca="1" si="111"/>
        <v>12.565315788887226</v>
      </c>
      <c r="BH14" s="27">
        <f t="shared" ca="1" si="112"/>
        <v>2.5349501744902381</v>
      </c>
      <c r="BI14" s="27">
        <f t="shared" ca="1" si="113"/>
        <v>6.7504557453434249</v>
      </c>
      <c r="BJ14" s="27">
        <f t="shared" ca="1" si="114"/>
        <v>3.6744748799395142</v>
      </c>
      <c r="BK14" s="27">
        <f t="shared" ca="1" si="115"/>
        <v>2.8073853380945257</v>
      </c>
      <c r="BL14" s="27">
        <f t="shared" ca="1" si="116"/>
        <v>12.961938807072482</v>
      </c>
      <c r="BM14" s="27">
        <f t="shared" ca="1" si="117"/>
        <v>0.54696020362444964</v>
      </c>
      <c r="BN14" s="27">
        <f t="shared" ca="1" si="118"/>
        <v>2.5053237817769411</v>
      </c>
      <c r="BO14" s="27">
        <f t="shared" ca="1" si="119"/>
        <v>0.94645565089351125</v>
      </c>
      <c r="BP14" s="27">
        <f t="shared" ca="1" si="120"/>
        <v>2.2473819635664838</v>
      </c>
      <c r="BQ14" s="27">
        <f t="shared" ca="1" si="121"/>
        <v>19.126746574250813</v>
      </c>
      <c r="BR14" s="27">
        <f t="shared" ca="1" si="122"/>
        <v>1.4199928363327059</v>
      </c>
      <c r="BS14" s="27">
        <f t="shared" ca="1" si="123"/>
        <v>3.9528441890258401</v>
      </c>
      <c r="BT14" s="27">
        <f t="shared" ca="1" si="124"/>
        <v>3.3961055708531869</v>
      </c>
      <c r="BU14" s="27">
        <f t="shared" ca="1" si="125"/>
        <v>4.6495017016736107</v>
      </c>
      <c r="BV14" s="27">
        <f t="shared" ca="1" si="126"/>
        <v>13.345226581613122</v>
      </c>
      <c r="BW14" s="27">
        <f t="shared" ca="1" si="127"/>
        <v>1.5567328872388182</v>
      </c>
      <c r="BX14" s="27">
        <f t="shared" ca="1" si="128"/>
        <v>2.9915969744524347</v>
      </c>
      <c r="BY14" s="27">
        <f t="shared" ca="1" si="129"/>
        <v>6.2357205016988138</v>
      </c>
      <c r="BZ14" s="27">
        <f t="shared" ca="1" si="130"/>
        <v>11.610592101560199</v>
      </c>
      <c r="CA14" s="27">
        <f t="shared" ca="1" si="131"/>
        <v>6.2357205016988138</v>
      </c>
      <c r="CB14" s="27">
        <f t="shared" ca="1" si="132"/>
        <v>7.6866039780390807</v>
      </c>
      <c r="CC14" s="27">
        <f t="shared" ca="1" si="133"/>
        <v>13.999779206959069</v>
      </c>
      <c r="CD14" s="27">
        <f t="shared" ca="1" si="134"/>
        <v>7.6866039780390807</v>
      </c>
      <c r="CE14" s="27">
        <f t="shared" ca="1" si="135"/>
        <v>1.8421163635790851</v>
      </c>
    </row>
    <row r="15" spans="1:83" x14ac:dyDescent="0.25">
      <c r="A15" t="str">
        <f>Plantilla!D16</f>
        <v>Julian Gräbitz</v>
      </c>
      <c r="B15">
        <f>Plantilla!E16</f>
        <v>25</v>
      </c>
      <c r="C15" s="25">
        <f ca="1">Plantilla!F16</f>
        <v>107</v>
      </c>
      <c r="D15" s="42" t="str">
        <f>Plantilla!G16</f>
        <v>RAP</v>
      </c>
      <c r="E15" s="23">
        <f>Plantilla!M16</f>
        <v>43744</v>
      </c>
      <c r="F15" s="37">
        <f>Plantilla!Q16</f>
        <v>7</v>
      </c>
      <c r="G15" s="38">
        <f t="shared" si="68"/>
        <v>1</v>
      </c>
      <c r="H15" s="38">
        <f t="shared" si="69"/>
        <v>1</v>
      </c>
      <c r="I15" s="104">
        <f ca="1">Plantilla!N16</f>
        <v>0.97892228102518331</v>
      </c>
      <c r="J15" s="29">
        <f>Plantilla!I16</f>
        <v>4.7</v>
      </c>
      <c r="K15" s="36">
        <f>Plantilla!X16</f>
        <v>0</v>
      </c>
      <c r="L15" s="36">
        <f>Plantilla!Y16</f>
        <v>12.590909090909092</v>
      </c>
      <c r="M15" s="36">
        <f>Plantilla!Z16</f>
        <v>9.1428571428571423</v>
      </c>
      <c r="N15" s="36">
        <f>Plantilla!AA16</f>
        <v>4</v>
      </c>
      <c r="O15" s="36">
        <f>Plantilla!AB16</f>
        <v>8.8333333333333339</v>
      </c>
      <c r="P15" s="36">
        <f>Plantilla!AC16</f>
        <v>4</v>
      </c>
      <c r="Q15" s="36">
        <f>Plantilla!AD16</f>
        <v>20</v>
      </c>
      <c r="R15" s="36">
        <f t="shared" si="70"/>
        <v>4.1571969696969697</v>
      </c>
      <c r="S15" s="36">
        <f t="shared" si="71"/>
        <v>0.8</v>
      </c>
      <c r="T15" s="36">
        <f t="shared" si="72"/>
        <v>1.1036363636363637</v>
      </c>
      <c r="U15" s="36">
        <f t="shared" ca="1" si="73"/>
        <v>21.875052758272808</v>
      </c>
      <c r="V15" s="36">
        <f t="shared" ca="1" si="74"/>
        <v>21.875052758272808</v>
      </c>
      <c r="W15" s="27">
        <f t="shared" ca="1" si="75"/>
        <v>5.1120119670630695</v>
      </c>
      <c r="X15" s="27">
        <f t="shared" ca="1" si="76"/>
        <v>7.771829474566557</v>
      </c>
      <c r="Y15" s="27">
        <f t="shared" ca="1" si="77"/>
        <v>5.1120119670630695</v>
      </c>
      <c r="Z15" s="27">
        <f t="shared" ca="1" si="78"/>
        <v>7.4644363141778598</v>
      </c>
      <c r="AA15" s="27">
        <f t="shared" ca="1" si="79"/>
        <v>14.465961849181898</v>
      </c>
      <c r="AB15" s="27">
        <f t="shared" ca="1" si="80"/>
        <v>3.7322181570889299</v>
      </c>
      <c r="AC15" s="27">
        <f t="shared" ca="1" si="81"/>
        <v>2.6222625564689279</v>
      </c>
      <c r="AD15" s="27">
        <f t="shared" ca="1" si="82"/>
        <v>5.4681335789907575</v>
      </c>
      <c r="AE15" s="27">
        <f t="shared" ca="1" si="83"/>
        <v>10.458890416958512</v>
      </c>
      <c r="AF15" s="27">
        <f t="shared" ca="1" si="84"/>
        <v>2.7340667894953787</v>
      </c>
      <c r="AG15" s="27">
        <f t="shared" ca="1" si="85"/>
        <v>4.2418953119350302</v>
      </c>
      <c r="AH15" s="27">
        <f t="shared" ca="1" si="86"/>
        <v>13.308684901247346</v>
      </c>
      <c r="AI15" s="27">
        <f t="shared" ca="1" si="87"/>
        <v>5.9889082055613052</v>
      </c>
      <c r="AJ15" s="27">
        <f t="shared" ca="1" si="88"/>
        <v>1.8399909534887016</v>
      </c>
      <c r="AK15" s="27">
        <f t="shared" ca="1" si="89"/>
        <v>3.4545310218644101</v>
      </c>
      <c r="AL15" s="27">
        <f t="shared" ca="1" si="90"/>
        <v>10.907335234283151</v>
      </c>
      <c r="AM15" s="27">
        <f t="shared" ca="1" si="91"/>
        <v>10.241900989220783</v>
      </c>
      <c r="AN15" s="27">
        <f t="shared" ca="1" si="92"/>
        <v>3.6531338106315592</v>
      </c>
      <c r="AO15" s="27">
        <f t="shared" ca="1" si="93"/>
        <v>1.7372879216552954</v>
      </c>
      <c r="AP15" s="27">
        <f t="shared" ca="1" si="94"/>
        <v>3.9058096992791129</v>
      </c>
      <c r="AQ15" s="27">
        <f t="shared" ca="1" si="95"/>
        <v>8.5927813384140475</v>
      </c>
      <c r="AR15" s="27">
        <f t="shared" ca="1" si="96"/>
        <v>1.9529048496395565</v>
      </c>
      <c r="AS15" s="27">
        <f t="shared" ca="1" si="97"/>
        <v>10.400906946666671</v>
      </c>
      <c r="AT15" s="27">
        <f t="shared" ca="1" si="98"/>
        <v>1.3920901919087982</v>
      </c>
      <c r="AU15" s="27">
        <f t="shared" ca="1" si="99"/>
        <v>2.3013904581739322</v>
      </c>
      <c r="AV15" s="27">
        <f t="shared" ca="1" si="100"/>
        <v>0.69604509595439912</v>
      </c>
      <c r="AW15" s="27">
        <f t="shared" ca="1" si="101"/>
        <v>2.7340667894953787</v>
      </c>
      <c r="AX15" s="27">
        <f t="shared" ca="1" si="102"/>
        <v>5.7863847396727595</v>
      </c>
      <c r="AY15" s="27">
        <f t="shared" ca="1" si="103"/>
        <v>1.3670333947476894</v>
      </c>
      <c r="AZ15" s="27">
        <f t="shared" ca="1" si="104"/>
        <v>11.017909901129949</v>
      </c>
      <c r="BA15" s="27">
        <f t="shared" ca="1" si="105"/>
        <v>2.7092216811763534</v>
      </c>
      <c r="BB15" s="27">
        <f t="shared" ca="1" si="106"/>
        <v>4.8853207364749833</v>
      </c>
      <c r="BC15" s="27">
        <f t="shared" ca="1" si="107"/>
        <v>1.3546108405881767</v>
      </c>
      <c r="BD15" s="27">
        <f t="shared" ca="1" si="108"/>
        <v>4.2095948981119324</v>
      </c>
      <c r="BE15" s="27">
        <f t="shared" ca="1" si="109"/>
        <v>5.0341547235153001</v>
      </c>
      <c r="BF15" s="27">
        <f t="shared" ca="1" si="110"/>
        <v>9.7067786228954844</v>
      </c>
      <c r="BG15" s="27">
        <f t="shared" ca="1" si="111"/>
        <v>6.7454219021045247</v>
      </c>
      <c r="BH15" s="27">
        <f t="shared" ca="1" si="112"/>
        <v>2.5807210480770797</v>
      </c>
      <c r="BI15" s="27">
        <f t="shared" ca="1" si="113"/>
        <v>7.0159914968532204</v>
      </c>
      <c r="BJ15" s="27">
        <f t="shared" ca="1" si="114"/>
        <v>3.8190139281840212</v>
      </c>
      <c r="BK15" s="27">
        <f t="shared" ca="1" si="115"/>
        <v>4.1978236723305109</v>
      </c>
      <c r="BL15" s="27">
        <f t="shared" ca="1" si="116"/>
        <v>6.1062961107304332</v>
      </c>
      <c r="BM15" s="27">
        <f t="shared" ca="1" si="117"/>
        <v>0.55683607676351932</v>
      </c>
      <c r="BN15" s="27">
        <f t="shared" ca="1" si="118"/>
        <v>2.6038731328527418</v>
      </c>
      <c r="BO15" s="27">
        <f t="shared" ca="1" si="119"/>
        <v>0.98368540574436913</v>
      </c>
      <c r="BP15" s="27">
        <f t="shared" ca="1" si="120"/>
        <v>3.3604625198446345</v>
      </c>
      <c r="BQ15" s="27">
        <f t="shared" ca="1" si="121"/>
        <v>8.9376511804721623</v>
      </c>
      <c r="BR15" s="27">
        <f t="shared" ca="1" si="122"/>
        <v>1.4456321223668291</v>
      </c>
      <c r="BS15" s="27">
        <f t="shared" ca="1" si="123"/>
        <v>4.1083331651676591</v>
      </c>
      <c r="BT15" s="27">
        <f t="shared" ca="1" si="124"/>
        <v>3.5296946912003833</v>
      </c>
      <c r="BU15" s="27">
        <f t="shared" ca="1" si="125"/>
        <v>6.9523011476129977</v>
      </c>
      <c r="BV15" s="27">
        <f t="shared" ca="1" si="126"/>
        <v>6.1910055519874945</v>
      </c>
      <c r="BW15" s="27">
        <f t="shared" ca="1" si="127"/>
        <v>1.5848411415577086</v>
      </c>
      <c r="BX15" s="27">
        <f t="shared" ca="1" si="128"/>
        <v>4.4732714198587598</v>
      </c>
      <c r="BY15" s="27">
        <f t="shared" ca="1" si="129"/>
        <v>4.2692358203934653</v>
      </c>
      <c r="BZ15" s="27">
        <f t="shared" ca="1" si="130"/>
        <v>9.2398094058151798</v>
      </c>
      <c r="CA15" s="27">
        <f t="shared" ca="1" si="131"/>
        <v>4.2692358203934653</v>
      </c>
      <c r="CB15" s="27">
        <f t="shared" ca="1" si="132"/>
        <v>4.3464912017372921</v>
      </c>
      <c r="CC15" s="27">
        <f t="shared" ca="1" si="133"/>
        <v>9.8264472260754729</v>
      </c>
      <c r="CD15" s="27">
        <f t="shared" ca="1" si="134"/>
        <v>4.3464912017372921</v>
      </c>
      <c r="CE15" s="27">
        <f t="shared" ca="1" si="135"/>
        <v>2.7544774752824872</v>
      </c>
    </row>
    <row r="16" spans="1:83" x14ac:dyDescent="0.25">
      <c r="A16" t="str">
        <f>Plantilla!D17</f>
        <v>Ryan Clarke</v>
      </c>
      <c r="B16">
        <f>Plantilla!E17</f>
        <v>30</v>
      </c>
      <c r="C16" s="25">
        <f ca="1">Plantilla!F17</f>
        <v>73</v>
      </c>
      <c r="D16" s="42" t="str">
        <f>Plantilla!G17</f>
        <v>CAB</v>
      </c>
      <c r="E16" s="23">
        <f>Plantilla!M17</f>
        <v>43415</v>
      </c>
      <c r="F16" s="37">
        <f>Plantilla!Q17</f>
        <v>6</v>
      </c>
      <c r="G16" s="38">
        <f t="shared" si="68"/>
        <v>0.92582009977255142</v>
      </c>
      <c r="H16" s="38">
        <f t="shared" si="69"/>
        <v>0.99928545900129484</v>
      </c>
      <c r="I16" s="104">
        <f ca="1">Plantilla!N17</f>
        <v>1</v>
      </c>
      <c r="J16" s="29">
        <f>Plantilla!I17</f>
        <v>8.1</v>
      </c>
      <c r="K16" s="36">
        <f>Plantilla!X17</f>
        <v>0</v>
      </c>
      <c r="L16" s="36">
        <f>Plantilla!Y17</f>
        <v>11</v>
      </c>
      <c r="M16" s="36">
        <f>Plantilla!Z17</f>
        <v>10</v>
      </c>
      <c r="N16" s="36">
        <f>Plantilla!AA17</f>
        <v>5</v>
      </c>
      <c r="O16" s="36">
        <f>Plantilla!AB17</f>
        <v>13</v>
      </c>
      <c r="P16" s="36">
        <f>Plantilla!AC17</f>
        <v>5</v>
      </c>
      <c r="Q16" s="36">
        <f>Plantilla!AD17</f>
        <v>15</v>
      </c>
      <c r="R16" s="36">
        <f t="shared" si="70"/>
        <v>5</v>
      </c>
      <c r="S16" s="36">
        <f t="shared" si="71"/>
        <v>0.7</v>
      </c>
      <c r="T16" s="36">
        <f t="shared" si="72"/>
        <v>0.89</v>
      </c>
      <c r="U16" s="36">
        <f t="shared" ca="1" si="73"/>
        <v>15.934579850787623</v>
      </c>
      <c r="V16" s="36">
        <f t="shared" ca="1" si="74"/>
        <v>17.199015169468655</v>
      </c>
      <c r="W16" s="27">
        <f t="shared" ca="1" si="75"/>
        <v>4.9664765619747495</v>
      </c>
      <c r="X16" s="27">
        <f t="shared" ca="1" si="76"/>
        <v>7.5298055458297828</v>
      </c>
      <c r="Y16" s="27">
        <f t="shared" ca="1" si="77"/>
        <v>4.9664765619747495</v>
      </c>
      <c r="Z16" s="27">
        <f t="shared" ca="1" si="78"/>
        <v>6.8170376929885119</v>
      </c>
      <c r="AA16" s="27">
        <f t="shared" ca="1" si="79"/>
        <v>13.211313358504867</v>
      </c>
      <c r="AB16" s="27">
        <f t="shared" ca="1" si="80"/>
        <v>3.408518846494256</v>
      </c>
      <c r="AC16" s="27">
        <f t="shared" ca="1" si="81"/>
        <v>2.9062925793241581</v>
      </c>
      <c r="AD16" s="27">
        <f t="shared" ca="1" si="82"/>
        <v>4.9938764495148398</v>
      </c>
      <c r="AE16" s="27">
        <f t="shared" ca="1" si="83"/>
        <v>9.5517795581990192</v>
      </c>
      <c r="AF16" s="27">
        <f t="shared" ca="1" si="84"/>
        <v>2.4969382247574199</v>
      </c>
      <c r="AG16" s="27">
        <f t="shared" ca="1" si="85"/>
        <v>4.7013556430243737</v>
      </c>
      <c r="AH16" s="27">
        <f t="shared" ca="1" si="86"/>
        <v>12.154408289824479</v>
      </c>
      <c r="AI16" s="27">
        <f t="shared" ca="1" si="87"/>
        <v>5.4694837304210147</v>
      </c>
      <c r="AJ16" s="27">
        <f t="shared" ca="1" si="88"/>
        <v>2.0392893308703131</v>
      </c>
      <c r="AK16" s="27">
        <f t="shared" ca="1" si="89"/>
        <v>4.2402522548008612</v>
      </c>
      <c r="AL16" s="27">
        <f t="shared" ca="1" si="90"/>
        <v>9.9613302723126704</v>
      </c>
      <c r="AM16" s="27">
        <f t="shared" ca="1" si="91"/>
        <v>9.3536098578214446</v>
      </c>
      <c r="AN16" s="27">
        <f t="shared" ca="1" si="92"/>
        <v>2.874289330870313</v>
      </c>
      <c r="AO16" s="27">
        <f t="shared" ca="1" si="93"/>
        <v>2.0768582472494015</v>
      </c>
      <c r="AP16" s="27">
        <f t="shared" ca="1" si="94"/>
        <v>3.5670546067963143</v>
      </c>
      <c r="AQ16" s="27">
        <f t="shared" ca="1" si="95"/>
        <v>7.8475201349518908</v>
      </c>
      <c r="AR16" s="27">
        <f t="shared" ca="1" si="96"/>
        <v>1.7835273033981571</v>
      </c>
      <c r="AS16" s="27">
        <f t="shared" ca="1" si="97"/>
        <v>11.527479810428593</v>
      </c>
      <c r="AT16" s="27">
        <f t="shared" ca="1" si="98"/>
        <v>1.9774707366056328</v>
      </c>
      <c r="AU16" s="27">
        <f t="shared" ca="1" si="99"/>
        <v>3.0729148140419258</v>
      </c>
      <c r="AV16" s="27">
        <f t="shared" ca="1" si="100"/>
        <v>0.98873536830281639</v>
      </c>
      <c r="AW16" s="27">
        <f t="shared" ca="1" si="101"/>
        <v>2.4969382247574199</v>
      </c>
      <c r="AX16" s="27">
        <f t="shared" ca="1" si="102"/>
        <v>5.2845253434019472</v>
      </c>
      <c r="AY16" s="27">
        <f t="shared" ca="1" si="103"/>
        <v>1.2484691123787099</v>
      </c>
      <c r="AZ16" s="27">
        <f t="shared" ca="1" si="104"/>
        <v>12.211313358504867</v>
      </c>
      <c r="BA16" s="27">
        <f t="shared" ca="1" si="105"/>
        <v>3.8484622797017316</v>
      </c>
      <c r="BB16" s="27">
        <f t="shared" ca="1" si="106"/>
        <v>6.7014336605361819</v>
      </c>
      <c r="BC16" s="27">
        <f t="shared" ca="1" si="107"/>
        <v>1.9242311398508658</v>
      </c>
      <c r="BD16" s="27">
        <f t="shared" ca="1" si="108"/>
        <v>3.8444921873249163</v>
      </c>
      <c r="BE16" s="27">
        <f t="shared" ca="1" si="109"/>
        <v>4.5975370487596932</v>
      </c>
      <c r="BF16" s="27">
        <f t="shared" ca="1" si="110"/>
        <v>10.758167068842788</v>
      </c>
      <c r="BG16" s="27">
        <f t="shared" ca="1" si="111"/>
        <v>8.9308575757108262</v>
      </c>
      <c r="BH16" s="27">
        <f t="shared" ca="1" si="112"/>
        <v>3.6659265193996728</v>
      </c>
      <c r="BI16" s="27">
        <f t="shared" ca="1" si="113"/>
        <v>6.4074869788748607</v>
      </c>
      <c r="BJ16" s="27">
        <f t="shared" ca="1" si="114"/>
        <v>3.4877867266452851</v>
      </c>
      <c r="BK16" s="27">
        <f t="shared" ca="1" si="115"/>
        <v>4.6525103895903541</v>
      </c>
      <c r="BL16" s="27">
        <f t="shared" ca="1" si="116"/>
        <v>7.9106878753332532</v>
      </c>
      <c r="BM16" s="27">
        <f t="shared" ca="1" si="117"/>
        <v>0.79098829464225306</v>
      </c>
      <c r="BN16" s="27">
        <f t="shared" ca="1" si="118"/>
        <v>2.3780364045308762</v>
      </c>
      <c r="BO16" s="27">
        <f t="shared" ca="1" si="119"/>
        <v>0.89836930837833107</v>
      </c>
      <c r="BP16" s="27">
        <f t="shared" ca="1" si="120"/>
        <v>3.7244505743439844</v>
      </c>
      <c r="BQ16" s="27">
        <f t="shared" ca="1" si="121"/>
        <v>11.561748979037258</v>
      </c>
      <c r="BR16" s="27">
        <f t="shared" ca="1" si="122"/>
        <v>2.0535273033981571</v>
      </c>
      <c r="BS16" s="27">
        <f t="shared" ca="1" si="123"/>
        <v>3.7520129938153821</v>
      </c>
      <c r="BT16" s="27">
        <f t="shared" ca="1" si="124"/>
        <v>3.2235604594751877</v>
      </c>
      <c r="BU16" s="27">
        <f t="shared" ca="1" si="125"/>
        <v>7.7053387292165709</v>
      </c>
      <c r="BV16" s="27">
        <f t="shared" ca="1" si="126"/>
        <v>7.9981254558618549</v>
      </c>
      <c r="BW16" s="27">
        <f t="shared" ca="1" si="127"/>
        <v>2.2512743770587202</v>
      </c>
      <c r="BX16" s="27">
        <f t="shared" ca="1" si="128"/>
        <v>4.9577932235529767</v>
      </c>
      <c r="BY16" s="27">
        <f t="shared" ca="1" si="129"/>
        <v>5.7570942597810353</v>
      </c>
      <c r="BZ16" s="27">
        <f t="shared" ca="1" si="130"/>
        <v>12.46393884167648</v>
      </c>
      <c r="CA16" s="27">
        <f t="shared" ca="1" si="131"/>
        <v>5.7570942597810353</v>
      </c>
      <c r="CB16" s="27">
        <f t="shared" ca="1" si="132"/>
        <v>5.6286482223485317</v>
      </c>
      <c r="CC16" s="27">
        <f t="shared" ca="1" si="133"/>
        <v>12.824287987793163</v>
      </c>
      <c r="CD16" s="27">
        <f t="shared" ca="1" si="134"/>
        <v>5.6286482223485317</v>
      </c>
      <c r="CE16" s="27">
        <f t="shared" ca="1" si="135"/>
        <v>3.0528283396262168</v>
      </c>
    </row>
    <row r="17" spans="1:83" x14ac:dyDescent="0.25">
      <c r="A17" t="str">
        <f>Plantilla!D18</f>
        <v>Renato Galeano</v>
      </c>
      <c r="B17">
        <f>Plantilla!E18</f>
        <v>29</v>
      </c>
      <c r="C17" s="25">
        <f ca="1">Plantilla!F18</f>
        <v>0</v>
      </c>
      <c r="D17" s="42" t="str">
        <f>Plantilla!G18</f>
        <v>RAP</v>
      </c>
      <c r="E17" s="23">
        <f>Plantilla!M18</f>
        <v>43687</v>
      </c>
      <c r="F17" s="37">
        <f>Plantilla!Q18</f>
        <v>6</v>
      </c>
      <c r="G17" s="38">
        <f t="shared" si="68"/>
        <v>0.92582009977255142</v>
      </c>
      <c r="H17" s="38">
        <f t="shared" si="69"/>
        <v>0.99928545900129484</v>
      </c>
      <c r="I17" s="104">
        <f ca="1">Plantilla!N18</f>
        <v>1</v>
      </c>
      <c r="J17" s="29">
        <f>Plantilla!I18</f>
        <v>7.5</v>
      </c>
      <c r="K17" s="36">
        <f>Plantilla!X18</f>
        <v>0</v>
      </c>
      <c r="L17" s="36">
        <f>Plantilla!Y18</f>
        <v>2</v>
      </c>
      <c r="M17" s="36">
        <f>Plantilla!Z18</f>
        <v>5</v>
      </c>
      <c r="N17" s="36">
        <f>Plantilla!AA18</f>
        <v>8</v>
      </c>
      <c r="O17" s="36">
        <f>Plantilla!AB18</f>
        <v>7</v>
      </c>
      <c r="P17" s="36">
        <f>Plantilla!AC18</f>
        <v>13</v>
      </c>
      <c r="Q17" s="36">
        <f>Plantilla!AD18</f>
        <v>12</v>
      </c>
      <c r="R17" s="36">
        <f t="shared" si="70"/>
        <v>2.375</v>
      </c>
      <c r="S17" s="36">
        <f t="shared" si="71"/>
        <v>1.01</v>
      </c>
      <c r="T17" s="36">
        <f t="shared" si="72"/>
        <v>0.43999999999999995</v>
      </c>
      <c r="U17" s="36">
        <f t="shared" ca="1" si="73"/>
        <v>13.115860371950367</v>
      </c>
      <c r="V17" s="36">
        <f t="shared" ca="1" si="74"/>
        <v>14.156625628673671</v>
      </c>
      <c r="W17" s="27">
        <f t="shared" ca="1" si="75"/>
        <v>2.4435713105879389</v>
      </c>
      <c r="X17" s="27">
        <f t="shared" ca="1" si="76"/>
        <v>3.6472721213849129</v>
      </c>
      <c r="Y17" s="27">
        <f t="shared" ca="1" si="77"/>
        <v>2.4435713105879389</v>
      </c>
      <c r="Z17" s="27">
        <f t="shared" ca="1" si="78"/>
        <v>2.1500421492134896</v>
      </c>
      <c r="AA17" s="27">
        <f t="shared" ca="1" si="79"/>
        <v>4.1667483511889332</v>
      </c>
      <c r="AB17" s="27">
        <f t="shared" ca="1" si="80"/>
        <v>1.0750210746067448</v>
      </c>
      <c r="AC17" s="27">
        <f t="shared" ca="1" si="81"/>
        <v>1.7056861075829661</v>
      </c>
      <c r="AD17" s="27">
        <f t="shared" ca="1" si="82"/>
        <v>1.5750308767494168</v>
      </c>
      <c r="AE17" s="27">
        <f t="shared" ca="1" si="83"/>
        <v>3.0125590579095984</v>
      </c>
      <c r="AF17" s="27">
        <f t="shared" ca="1" si="84"/>
        <v>0.78751543837470839</v>
      </c>
      <c r="AG17" s="27">
        <f t="shared" ca="1" si="85"/>
        <v>2.7591981152077394</v>
      </c>
      <c r="AH17" s="27">
        <f t="shared" ca="1" si="86"/>
        <v>3.8334084830938187</v>
      </c>
      <c r="AI17" s="27">
        <f t="shared" ca="1" si="87"/>
        <v>1.7250338173922182</v>
      </c>
      <c r="AJ17" s="27">
        <f t="shared" ca="1" si="88"/>
        <v>1.1968469746485519</v>
      </c>
      <c r="AK17" s="27">
        <f t="shared" ca="1" si="89"/>
        <v>5.9780480304990933</v>
      </c>
      <c r="AL17" s="27">
        <f t="shared" ca="1" si="90"/>
        <v>3.1417282567964557</v>
      </c>
      <c r="AM17" s="27">
        <f t="shared" ca="1" si="91"/>
        <v>2.9500578326417646</v>
      </c>
      <c r="AN17" s="27">
        <f t="shared" ca="1" si="92"/>
        <v>2.365846974648552</v>
      </c>
      <c r="AO17" s="27">
        <f t="shared" ca="1" si="93"/>
        <v>1.3080235251424126</v>
      </c>
      <c r="AP17" s="27">
        <f t="shared" ca="1" si="94"/>
        <v>1.1250220548210119</v>
      </c>
      <c r="AQ17" s="27">
        <f t="shared" ca="1" si="95"/>
        <v>2.4750485206062263</v>
      </c>
      <c r="AR17" s="27">
        <f t="shared" ca="1" si="96"/>
        <v>0.56251102741050596</v>
      </c>
      <c r="AS17" s="27">
        <f t="shared" ca="1" si="97"/>
        <v>6.7654104435223523</v>
      </c>
      <c r="AT17" s="27">
        <f t="shared" ca="1" si="98"/>
        <v>1.1916772856545614</v>
      </c>
      <c r="AU17" s="27">
        <f t="shared" ca="1" si="99"/>
        <v>3.7238572668983574</v>
      </c>
      <c r="AV17" s="27">
        <f t="shared" ca="1" si="100"/>
        <v>0.59583864282728072</v>
      </c>
      <c r="AW17" s="27">
        <f t="shared" ca="1" si="101"/>
        <v>0.78751543837470839</v>
      </c>
      <c r="AX17" s="27">
        <f t="shared" ca="1" si="102"/>
        <v>1.6666993404755734</v>
      </c>
      <c r="AY17" s="27">
        <f t="shared" ca="1" si="103"/>
        <v>0.39375771918735419</v>
      </c>
      <c r="AZ17" s="27">
        <f t="shared" ca="1" si="104"/>
        <v>7.1667483511889332</v>
      </c>
      <c r="BA17" s="27">
        <f t="shared" ca="1" si="105"/>
        <v>2.3191873328508001</v>
      </c>
      <c r="BB17" s="27">
        <f t="shared" ca="1" si="106"/>
        <v>6.3108783415051022</v>
      </c>
      <c r="BC17" s="27">
        <f t="shared" ca="1" si="107"/>
        <v>1.1595936664254001</v>
      </c>
      <c r="BD17" s="27">
        <f t="shared" ca="1" si="108"/>
        <v>1.2125237701959795</v>
      </c>
      <c r="BE17" s="27">
        <f t="shared" ca="1" si="109"/>
        <v>1.4500284262137486</v>
      </c>
      <c r="BF17" s="27">
        <f t="shared" ca="1" si="110"/>
        <v>6.3139052973974499</v>
      </c>
      <c r="BG17" s="27">
        <f t="shared" ca="1" si="111"/>
        <v>8.7232392842069615</v>
      </c>
      <c r="BH17" s="27">
        <f t="shared" ca="1" si="112"/>
        <v>2.2091863526365332</v>
      </c>
      <c r="BI17" s="27">
        <f t="shared" ca="1" si="113"/>
        <v>2.0208729503266327</v>
      </c>
      <c r="BJ17" s="27">
        <f t="shared" ca="1" si="114"/>
        <v>1.1000215647138785</v>
      </c>
      <c r="BK17" s="27">
        <f t="shared" ca="1" si="115"/>
        <v>2.7305311218029837</v>
      </c>
      <c r="BL17" s="27">
        <f t="shared" ca="1" si="116"/>
        <v>8.6847380589391285</v>
      </c>
      <c r="BM17" s="27">
        <f t="shared" ca="1" si="117"/>
        <v>0.47667091426182456</v>
      </c>
      <c r="BN17" s="27">
        <f t="shared" ca="1" si="118"/>
        <v>0.75001470321400798</v>
      </c>
      <c r="BO17" s="27">
        <f t="shared" ca="1" si="119"/>
        <v>0.28333888788084749</v>
      </c>
      <c r="BP17" s="27">
        <f t="shared" ca="1" si="120"/>
        <v>2.1858582471126247</v>
      </c>
      <c r="BQ17" s="27">
        <f t="shared" ca="1" si="121"/>
        <v>12.788438379628969</v>
      </c>
      <c r="BR17" s="27">
        <f t="shared" ca="1" si="122"/>
        <v>1.2375110274105061</v>
      </c>
      <c r="BS17" s="27">
        <f t="shared" ca="1" si="123"/>
        <v>1.1833565317376569</v>
      </c>
      <c r="BT17" s="27">
        <f t="shared" ca="1" si="124"/>
        <v>1.0166865976900996</v>
      </c>
      <c r="BU17" s="27">
        <f t="shared" ca="1" si="125"/>
        <v>4.5222182096002168</v>
      </c>
      <c r="BV17" s="27">
        <f t="shared" ca="1" si="126"/>
        <v>8.9062397743140949</v>
      </c>
      <c r="BW17" s="27">
        <f t="shared" ca="1" si="127"/>
        <v>1.3566787559759621</v>
      </c>
      <c r="BX17" s="27">
        <f t="shared" ca="1" si="128"/>
        <v>2.9096998305827069</v>
      </c>
      <c r="BY17" s="27">
        <f t="shared" ca="1" si="129"/>
        <v>5.6818758909694349</v>
      </c>
      <c r="BZ17" s="27">
        <f t="shared" ca="1" si="130"/>
        <v>13.819758643438741</v>
      </c>
      <c r="CA17" s="27">
        <f t="shared" ca="1" si="131"/>
        <v>5.6818758909694349</v>
      </c>
      <c r="CB17" s="27">
        <f t="shared" ca="1" si="132"/>
        <v>7.4918842227907056</v>
      </c>
      <c r="CC17" s="27">
        <f t="shared" ca="1" si="133"/>
        <v>18.549278492777653</v>
      </c>
      <c r="CD17" s="27">
        <f t="shared" ca="1" si="134"/>
        <v>7.4918842227907056</v>
      </c>
      <c r="CE17" s="27">
        <f t="shared" ca="1" si="135"/>
        <v>1.7916870877972333</v>
      </c>
    </row>
    <row r="18" spans="1:83" x14ac:dyDescent="0.25">
      <c r="A18" t="str">
        <f>Plantilla!D19</f>
        <v>Meraj Siddiqui</v>
      </c>
      <c r="B18">
        <f>Plantilla!E19</f>
        <v>28</v>
      </c>
      <c r="C18" s="25">
        <f ca="1">Plantilla!F19</f>
        <v>60</v>
      </c>
      <c r="D18" s="42" t="str">
        <f>Plantilla!G19</f>
        <v>RAP</v>
      </c>
      <c r="E18" s="23">
        <f>Plantilla!M19</f>
        <v>44069</v>
      </c>
      <c r="F18" s="37">
        <f>Plantilla!Q19</f>
        <v>4</v>
      </c>
      <c r="G18" s="38">
        <f t="shared" si="68"/>
        <v>0.7559289460184544</v>
      </c>
      <c r="H18" s="38">
        <f t="shared" si="69"/>
        <v>0.84430867747355465</v>
      </c>
      <c r="I18" s="104">
        <f ca="1">Plantilla!N19</f>
        <v>0</v>
      </c>
      <c r="J18" s="29">
        <f>Plantilla!I19</f>
        <v>13.2</v>
      </c>
      <c r="K18" s="36">
        <f>Plantilla!X19</f>
        <v>0</v>
      </c>
      <c r="L18" s="36">
        <f>Plantilla!Y19</f>
        <v>1</v>
      </c>
      <c r="M18" s="36">
        <f>Plantilla!Z19</f>
        <v>9</v>
      </c>
      <c r="N18" s="36">
        <f>Plantilla!AA19</f>
        <v>14</v>
      </c>
      <c r="O18" s="36">
        <f>Plantilla!AB19</f>
        <v>11</v>
      </c>
      <c r="P18" s="36">
        <f>Plantilla!AC19</f>
        <v>11</v>
      </c>
      <c r="Q18" s="36">
        <f>Plantilla!AD19</f>
        <v>8</v>
      </c>
      <c r="R18" s="36">
        <f t="shared" si="70"/>
        <v>3.25</v>
      </c>
      <c r="S18" s="36">
        <f t="shared" si="71"/>
        <v>0.79</v>
      </c>
      <c r="T18" s="36">
        <f t="shared" si="72"/>
        <v>0.27999999999999997</v>
      </c>
      <c r="U18" s="36">
        <f t="shared" ca="1" si="73"/>
        <v>7.1768639291505609</v>
      </c>
      <c r="V18" s="36">
        <f t="shared" ca="1" si="74"/>
        <v>8.0159498116121082</v>
      </c>
      <c r="W18" s="27">
        <f t="shared" ca="1" si="75"/>
        <v>1.5803480559236092</v>
      </c>
      <c r="X18" s="27">
        <f t="shared" ca="1" si="76"/>
        <v>2.3538812602490027</v>
      </c>
      <c r="Y18" s="27">
        <f t="shared" ca="1" si="77"/>
        <v>1.5803480559236092</v>
      </c>
      <c r="Z18" s="27">
        <f t="shared" ca="1" si="78"/>
        <v>1.2869548646696247</v>
      </c>
      <c r="AA18" s="27">
        <f t="shared" ca="1" si="79"/>
        <v>2.4940985749411331</v>
      </c>
      <c r="AB18" s="27">
        <f t="shared" ca="1" si="80"/>
        <v>0.64347743233481236</v>
      </c>
      <c r="AC18" s="27">
        <f t="shared" ca="1" si="81"/>
        <v>2.4975954608359898</v>
      </c>
      <c r="AD18" s="27">
        <f t="shared" ca="1" si="82"/>
        <v>0.9427692613277483</v>
      </c>
      <c r="AE18" s="27">
        <f t="shared" ca="1" si="83"/>
        <v>1.8032332696824391</v>
      </c>
      <c r="AF18" s="27">
        <f t="shared" ca="1" si="84"/>
        <v>0.47138463066387415</v>
      </c>
      <c r="AG18" s="27">
        <f t="shared" ca="1" si="85"/>
        <v>4.0402279513523363</v>
      </c>
      <c r="AH18" s="27">
        <f t="shared" ca="1" si="86"/>
        <v>2.2945706889458424</v>
      </c>
      <c r="AI18" s="27">
        <f t="shared" ca="1" si="87"/>
        <v>1.032556810025629</v>
      </c>
      <c r="AJ18" s="27">
        <f t="shared" ca="1" si="88"/>
        <v>1.7525144620151694</v>
      </c>
      <c r="AK18" s="27">
        <f t="shared" ca="1" si="89"/>
        <v>9.110529962065387</v>
      </c>
      <c r="AL18" s="27">
        <f t="shared" ca="1" si="90"/>
        <v>1.8805503255056144</v>
      </c>
      <c r="AM18" s="27">
        <f t="shared" ca="1" si="91"/>
        <v>1.765821791058322</v>
      </c>
      <c r="AN18" s="27">
        <f t="shared" ca="1" si="92"/>
        <v>1.5855144620151695</v>
      </c>
      <c r="AO18" s="27">
        <f t="shared" ca="1" si="93"/>
        <v>1.3663003895830461</v>
      </c>
      <c r="AP18" s="27">
        <f t="shared" ca="1" si="94"/>
        <v>0.67340661523410594</v>
      </c>
      <c r="AQ18" s="27">
        <f t="shared" ca="1" si="95"/>
        <v>1.481494553515033</v>
      </c>
      <c r="AR18" s="27">
        <f t="shared" ca="1" si="96"/>
        <v>0.33670330761705297</v>
      </c>
      <c r="AS18" s="27">
        <f t="shared" ca="1" si="97"/>
        <v>9.9064290547444305</v>
      </c>
      <c r="AT18" s="27">
        <f t="shared" ca="1" si="98"/>
        <v>1.6242328147423475</v>
      </c>
      <c r="AU18" s="27">
        <f t="shared" ca="1" si="99"/>
        <v>3.6607708824577521</v>
      </c>
      <c r="AV18" s="27">
        <f t="shared" ca="1" si="100"/>
        <v>0.81211640737117374</v>
      </c>
      <c r="AW18" s="27">
        <f t="shared" ca="1" si="101"/>
        <v>0.47138463066387415</v>
      </c>
      <c r="AX18" s="27">
        <f t="shared" ca="1" si="102"/>
        <v>0.99763942997645327</v>
      </c>
      <c r="AY18" s="27">
        <f t="shared" ca="1" si="103"/>
        <v>0.23569231533193707</v>
      </c>
      <c r="AZ18" s="27">
        <f t="shared" ca="1" si="104"/>
        <v>10.494098574941134</v>
      </c>
      <c r="BA18" s="27">
        <f t="shared" ca="1" si="105"/>
        <v>3.161006939460107</v>
      </c>
      <c r="BB18" s="27">
        <f t="shared" ca="1" si="106"/>
        <v>6.8842483147925648</v>
      </c>
      <c r="BC18" s="27">
        <f t="shared" ca="1" si="107"/>
        <v>1.5805034697300535</v>
      </c>
      <c r="BD18" s="27">
        <f t="shared" ca="1" si="108"/>
        <v>0.72578268530786971</v>
      </c>
      <c r="BE18" s="27">
        <f t="shared" ca="1" si="109"/>
        <v>0.86794630407951423</v>
      </c>
      <c r="BF18" s="27">
        <f t="shared" ca="1" si="110"/>
        <v>9.2453008445231397</v>
      </c>
      <c r="BG18" s="27">
        <f t="shared" ca="1" si="111"/>
        <v>12.829253633122669</v>
      </c>
      <c r="BH18" s="27">
        <f t="shared" ca="1" si="112"/>
        <v>3.0110777565608133</v>
      </c>
      <c r="BI18" s="27">
        <f t="shared" ca="1" si="113"/>
        <v>1.2096378088464494</v>
      </c>
      <c r="BJ18" s="27">
        <f t="shared" ca="1" si="114"/>
        <v>0.65844202378445915</v>
      </c>
      <c r="BK18" s="27">
        <f t="shared" ca="1" si="115"/>
        <v>3.9982515570525723</v>
      </c>
      <c r="BL18" s="27">
        <f t="shared" ca="1" si="116"/>
        <v>12.938842154498552</v>
      </c>
      <c r="BM18" s="27">
        <f t="shared" ca="1" si="117"/>
        <v>0.64969312589693895</v>
      </c>
      <c r="BN18" s="27">
        <f t="shared" ca="1" si="118"/>
        <v>0.44893774348940396</v>
      </c>
      <c r="BO18" s="27">
        <f t="shared" ca="1" si="119"/>
        <v>0.16959870309599706</v>
      </c>
      <c r="BP18" s="27">
        <f t="shared" ca="1" si="120"/>
        <v>3.2007000653570459</v>
      </c>
      <c r="BQ18" s="27">
        <f t="shared" ca="1" si="121"/>
        <v>19.067410767374298</v>
      </c>
      <c r="BR18" s="27">
        <f t="shared" ca="1" si="122"/>
        <v>1.6867033076170532</v>
      </c>
      <c r="BS18" s="27">
        <f t="shared" ca="1" si="123"/>
        <v>0.70832399528328172</v>
      </c>
      <c r="BT18" s="27">
        <f t="shared" ca="1" si="124"/>
        <v>0.60856005228563648</v>
      </c>
      <c r="BU18" s="27">
        <f t="shared" ca="1" si="125"/>
        <v>6.6217762007878553</v>
      </c>
      <c r="BV18" s="27">
        <f t="shared" ca="1" si="126"/>
        <v>13.288218224572315</v>
      </c>
      <c r="BW18" s="27">
        <f t="shared" ca="1" si="127"/>
        <v>1.8491265890912878</v>
      </c>
      <c r="BX18" s="27">
        <f t="shared" ca="1" si="128"/>
        <v>4.2606040214261007</v>
      </c>
      <c r="BY18" s="27">
        <f t="shared" ca="1" si="129"/>
        <v>6.9414253575443308</v>
      </c>
      <c r="BZ18" s="27">
        <f t="shared" ca="1" si="130"/>
        <v>14.068354995383718</v>
      </c>
      <c r="CA18" s="27">
        <f t="shared" ca="1" si="131"/>
        <v>6.9414253575443308</v>
      </c>
      <c r="CB18" s="27">
        <f t="shared" ca="1" si="132"/>
        <v>8.4468234121883263</v>
      </c>
      <c r="CC18" s="27">
        <f t="shared" ca="1" si="133"/>
        <v>17.104420949094411</v>
      </c>
      <c r="CD18" s="27">
        <f t="shared" ca="1" si="134"/>
        <v>8.4468234121883263</v>
      </c>
      <c r="CE18" s="27">
        <f t="shared" ca="1" si="135"/>
        <v>2.6235246437352835</v>
      </c>
    </row>
    <row r="19" spans="1:83" x14ac:dyDescent="0.25">
      <c r="A19" t="str">
        <f>Plantilla!D20</f>
        <v>Rodolfo Rinaldo Paso</v>
      </c>
      <c r="B19">
        <f>Plantilla!E20</f>
        <v>26</v>
      </c>
      <c r="C19" s="25">
        <f ca="1">Plantilla!F20</f>
        <v>44</v>
      </c>
      <c r="D19" s="42" t="str">
        <f>Plantilla!G20</f>
        <v>RAP</v>
      </c>
      <c r="E19" s="23">
        <f>Plantilla!M20</f>
        <v>43590</v>
      </c>
      <c r="F19" s="37">
        <f>Plantilla!Q20</f>
        <v>5</v>
      </c>
      <c r="G19" s="38">
        <f t="shared" si="68"/>
        <v>0.84515425472851657</v>
      </c>
      <c r="H19" s="38">
        <f t="shared" si="69"/>
        <v>0.92504826128926143</v>
      </c>
      <c r="I19" s="104">
        <f ca="1">Plantilla!N20</f>
        <v>1</v>
      </c>
      <c r="J19" s="29">
        <f>Plantilla!I20</f>
        <v>5.0999999999999996</v>
      </c>
      <c r="K19" s="36">
        <f>Plantilla!X20</f>
        <v>0</v>
      </c>
      <c r="L19" s="36">
        <f>Plantilla!Y20</f>
        <v>3</v>
      </c>
      <c r="M19" s="36">
        <f>Plantilla!Z20</f>
        <v>7.2</v>
      </c>
      <c r="N19" s="36">
        <f>Plantilla!AA20</f>
        <v>10</v>
      </c>
      <c r="O19" s="36">
        <f>Plantilla!AB20</f>
        <v>12.333333333333334</v>
      </c>
      <c r="P19" s="36">
        <f>Plantilla!AC20</f>
        <v>14</v>
      </c>
      <c r="Q19" s="36">
        <f>Plantilla!AD20</f>
        <v>11</v>
      </c>
      <c r="R19" s="36">
        <f t="shared" si="70"/>
        <v>3.8333333333333335</v>
      </c>
      <c r="S19" s="36">
        <f t="shared" si="71"/>
        <v>1.03</v>
      </c>
      <c r="T19" s="36">
        <f t="shared" si="72"/>
        <v>0.45</v>
      </c>
      <c r="U19" s="36">
        <f t="shared" ca="1" si="73"/>
        <v>10.939192316539769</v>
      </c>
      <c r="V19" s="36">
        <f t="shared" ca="1" si="74"/>
        <v>11.973294550323848</v>
      </c>
      <c r="W19" s="27">
        <f t="shared" ca="1" si="75"/>
        <v>2.524611684977998</v>
      </c>
      <c r="X19" s="27">
        <f t="shared" ca="1" si="76"/>
        <v>3.7839641297899145</v>
      </c>
      <c r="Y19" s="27">
        <f t="shared" ca="1" si="77"/>
        <v>2.524611684977998</v>
      </c>
      <c r="Z19" s="27">
        <f t="shared" ca="1" si="78"/>
        <v>2.5508082811553807</v>
      </c>
      <c r="AA19" s="27">
        <f t="shared" ca="1" si="79"/>
        <v>4.9434269014639156</v>
      </c>
      <c r="AB19" s="27">
        <f t="shared" ca="1" si="80"/>
        <v>1.2754041405776904</v>
      </c>
      <c r="AC19" s="27">
        <f t="shared" ca="1" si="81"/>
        <v>2.1761356025484115</v>
      </c>
      <c r="AD19" s="27">
        <f t="shared" ca="1" si="82"/>
        <v>1.8686153687533602</v>
      </c>
      <c r="AE19" s="27">
        <f t="shared" ca="1" si="83"/>
        <v>3.5740976497584107</v>
      </c>
      <c r="AF19" s="27">
        <f t="shared" ca="1" si="84"/>
        <v>0.9343076843766801</v>
      </c>
      <c r="AG19" s="27">
        <f t="shared" ca="1" si="85"/>
        <v>3.5202193570636071</v>
      </c>
      <c r="AH19" s="27">
        <f t="shared" ca="1" si="86"/>
        <v>4.5479527493468028</v>
      </c>
      <c r="AI19" s="27">
        <f t="shared" ca="1" si="87"/>
        <v>2.0465787372060609</v>
      </c>
      <c r="AJ19" s="27">
        <f t="shared" ca="1" si="88"/>
        <v>1.5269522925444738</v>
      </c>
      <c r="AK19" s="27">
        <f t="shared" ca="1" si="89"/>
        <v>7.0227350180607822</v>
      </c>
      <c r="AL19" s="27">
        <f t="shared" ca="1" si="90"/>
        <v>3.7273438837037922</v>
      </c>
      <c r="AM19" s="27">
        <f t="shared" ca="1" si="91"/>
        <v>3.4999462462364521</v>
      </c>
      <c r="AN19" s="27">
        <f t="shared" ca="1" si="92"/>
        <v>2.1615522925444739</v>
      </c>
      <c r="AO19" s="27">
        <f t="shared" ca="1" si="93"/>
        <v>1.6637069476216078</v>
      </c>
      <c r="AP19" s="27">
        <f t="shared" ca="1" si="94"/>
        <v>1.3347252633952573</v>
      </c>
      <c r="AQ19" s="27">
        <f t="shared" ca="1" si="95"/>
        <v>2.9363955794695658</v>
      </c>
      <c r="AR19" s="27">
        <f t="shared" ca="1" si="96"/>
        <v>0.66736263169762866</v>
      </c>
      <c r="AS19" s="27">
        <f t="shared" ca="1" si="97"/>
        <v>8.6313949949819353</v>
      </c>
      <c r="AT19" s="27">
        <f t="shared" ca="1" si="98"/>
        <v>1.8559788305236424</v>
      </c>
      <c r="AU19" s="27">
        <f t="shared" ca="1" si="99"/>
        <v>4.4714240821289275</v>
      </c>
      <c r="AV19" s="27">
        <f t="shared" ca="1" si="100"/>
        <v>0.92798941526182122</v>
      </c>
      <c r="AW19" s="27">
        <f t="shared" ca="1" si="101"/>
        <v>0.9343076843766801</v>
      </c>
      <c r="AX19" s="27">
        <f t="shared" ca="1" si="102"/>
        <v>1.9773707605855664</v>
      </c>
      <c r="AY19" s="27">
        <f t="shared" ca="1" si="103"/>
        <v>0.46715384218834005</v>
      </c>
      <c r="AZ19" s="27">
        <f t="shared" ca="1" si="104"/>
        <v>9.1434269014639149</v>
      </c>
      <c r="BA19" s="27">
        <f t="shared" ca="1" si="105"/>
        <v>3.612020339403704</v>
      </c>
      <c r="BB19" s="27">
        <f t="shared" ca="1" si="106"/>
        <v>8.2164948893732852</v>
      </c>
      <c r="BC19" s="27">
        <f t="shared" ca="1" si="107"/>
        <v>1.806010169701852</v>
      </c>
      <c r="BD19" s="27">
        <f t="shared" ca="1" si="108"/>
        <v>1.4385372283259994</v>
      </c>
      <c r="BE19" s="27">
        <f t="shared" ca="1" si="109"/>
        <v>1.7203125617094426</v>
      </c>
      <c r="BF19" s="27">
        <f t="shared" ca="1" si="110"/>
        <v>8.0553591001897082</v>
      </c>
      <c r="BG19" s="27">
        <f t="shared" ca="1" si="111"/>
        <v>11.352706515401421</v>
      </c>
      <c r="BH19" s="27">
        <f t="shared" ca="1" si="112"/>
        <v>3.440699216586137</v>
      </c>
      <c r="BI19" s="27">
        <f t="shared" ca="1" si="113"/>
        <v>2.3975620472099992</v>
      </c>
      <c r="BJ19" s="27">
        <f t="shared" ca="1" si="114"/>
        <v>1.3050647019864738</v>
      </c>
      <c r="BK19" s="27">
        <f t="shared" ca="1" si="115"/>
        <v>3.4836456494577517</v>
      </c>
      <c r="BL19" s="27">
        <f t="shared" ca="1" si="116"/>
        <v>10.907555111879464</v>
      </c>
      <c r="BM19" s="27">
        <f t="shared" ca="1" si="117"/>
        <v>0.74239153220945697</v>
      </c>
      <c r="BN19" s="27">
        <f t="shared" ca="1" si="118"/>
        <v>0.88981684226350477</v>
      </c>
      <c r="BO19" s="27">
        <f t="shared" ca="1" si="119"/>
        <v>0.33615302929954627</v>
      </c>
      <c r="BP19" s="27">
        <f t="shared" ca="1" si="120"/>
        <v>2.788745204946494</v>
      </c>
      <c r="BQ19" s="27">
        <f t="shared" ca="1" si="121"/>
        <v>16.026580328615928</v>
      </c>
      <c r="BR19" s="27">
        <f t="shared" ca="1" si="122"/>
        <v>1.9273626316976289</v>
      </c>
      <c r="BS19" s="27">
        <f t="shared" ca="1" si="123"/>
        <v>1.4039332400157518</v>
      </c>
      <c r="BT19" s="27">
        <f t="shared" ca="1" si="124"/>
        <v>1.2061961639571954</v>
      </c>
      <c r="BU19" s="27">
        <f t="shared" ca="1" si="125"/>
        <v>5.7695023748237304</v>
      </c>
      <c r="BV19" s="27">
        <f t="shared" ca="1" si="126"/>
        <v>11.139700410143538</v>
      </c>
      <c r="BW19" s="27">
        <f t="shared" ca="1" si="127"/>
        <v>2.112960514749993</v>
      </c>
      <c r="BX19" s="27">
        <f t="shared" ca="1" si="128"/>
        <v>3.7122313219943499</v>
      </c>
      <c r="BY19" s="27">
        <f t="shared" ca="1" si="129"/>
        <v>7.3138587489960338</v>
      </c>
      <c r="BZ19" s="27">
        <f t="shared" ca="1" si="130"/>
        <v>17.047298691048368</v>
      </c>
      <c r="CA19" s="27">
        <f t="shared" ca="1" si="131"/>
        <v>7.3138587489960338</v>
      </c>
      <c r="CB19" s="27">
        <f t="shared" ca="1" si="132"/>
        <v>8.8120882929453526</v>
      </c>
      <c r="CC19" s="27">
        <f t="shared" ca="1" si="133"/>
        <v>21.211551428104102</v>
      </c>
      <c r="CD19" s="27">
        <f t="shared" ca="1" si="134"/>
        <v>8.8120882929453526</v>
      </c>
      <c r="CE19" s="27">
        <f t="shared" ca="1" si="135"/>
        <v>2.2858567253659787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860</v>
      </c>
      <c r="B21" s="47" t="s">
        <v>620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861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862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863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864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865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9" priority="1" operator="greaterThan">
      <formula>7</formula>
    </cfRule>
  </conditionalFormatting>
  <conditionalFormatting sqref="W3:AI19 AK3:AM19 AO3:BD19 BF3:CE19">
    <cfRule type="cellIs" dxfId="8" priority="2" operator="greaterThan">
      <formula>12.5</formula>
    </cfRule>
  </conditionalFormatting>
  <conditionalFormatting sqref="S3:T19">
    <cfRule type="cellIs" dxfId="7" priority="3" operator="greaterThan">
      <formula>0.6</formula>
    </cfRule>
  </conditionalFormatting>
  <conditionalFormatting sqref="R3:R19">
    <cfRule type="cellIs" dxfId="6" priority="4" operator="greaterThan">
      <formula>3.2</formula>
    </cfRule>
  </conditionalFormatting>
  <conditionalFormatting sqref="U3:V19">
    <cfRule type="cellIs" dxfId="5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5"/>
  <sheetViews>
    <sheetView zoomScale="120" workbookViewId="0">
      <selection activeCell="N19" sqref="N19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866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108</v>
      </c>
      <c r="B3" s="13" t="s">
        <v>186</v>
      </c>
      <c r="C3" s="13" t="s">
        <v>849</v>
      </c>
      <c r="D3" s="13" t="s">
        <v>113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867</v>
      </c>
      <c r="O3" s="108" t="s">
        <v>868</v>
      </c>
      <c r="P3" s="108" t="s">
        <v>869</v>
      </c>
      <c r="Q3" s="108" t="s">
        <v>844</v>
      </c>
      <c r="R3" s="108" t="s">
        <v>870</v>
      </c>
      <c r="S3" s="107" t="s">
        <v>848</v>
      </c>
      <c r="T3" s="112" t="s">
        <v>871</v>
      </c>
      <c r="U3" s="64" t="s">
        <v>584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26</v>
      </c>
      <c r="D4" s="111">
        <f ca="1">Plantilla!F4</f>
        <v>32</v>
      </c>
      <c r="E4" s="36">
        <f>Plantilla!X4</f>
        <v>15</v>
      </c>
      <c r="F4" s="36">
        <f>Plantilla!Y4</f>
        <v>12.363636363636363</v>
      </c>
      <c r="G4" s="36">
        <f>Plantilla!Z4</f>
        <v>0</v>
      </c>
      <c r="H4" s="36">
        <f>Plantilla!AA4</f>
        <v>1</v>
      </c>
      <c r="I4" s="36">
        <f>Plantilla!AB4</f>
        <v>1</v>
      </c>
      <c r="J4" s="36">
        <f>Plantilla!AC4</f>
        <v>1</v>
      </c>
      <c r="K4" s="36">
        <f>Plantilla!AD4</f>
        <v>15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26</v>
      </c>
      <c r="D5" s="111">
        <f ca="1">Plantilla!F5</f>
        <v>57</v>
      </c>
      <c r="E5" s="36">
        <f>Plantilla!X5</f>
        <v>6</v>
      </c>
      <c r="F5" s="36">
        <f>Plantilla!Y5</f>
        <v>5.4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4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Plantilla!A6</f>
        <v>#2</v>
      </c>
      <c r="B6" s="109" t="str">
        <f>Plantilla!D6</f>
        <v>Miguel Fernández</v>
      </c>
      <c r="C6" s="18">
        <f>Plantilla!E6</f>
        <v>26</v>
      </c>
      <c r="D6" s="111">
        <f ca="1">Plantilla!F6</f>
        <v>29</v>
      </c>
      <c r="E6" s="36">
        <f>Plantilla!X6</f>
        <v>0</v>
      </c>
      <c r="F6" s="36">
        <f>Plantilla!Y6</f>
        <v>15.488194444444444</v>
      </c>
      <c r="G6" s="36">
        <f>Plantilla!Z6</f>
        <v>6</v>
      </c>
      <c r="H6" s="36">
        <f>Plantilla!AA6</f>
        <v>6.666666666666667</v>
      </c>
      <c r="I6" s="36">
        <f>Plantilla!AB6</f>
        <v>9</v>
      </c>
      <c r="J6" s="36">
        <f>Plantilla!AC6</f>
        <v>2</v>
      </c>
      <c r="K6" s="36">
        <f>Plantilla!AD6</f>
        <v>13.5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Plantilla!A7</f>
        <v>#13</v>
      </c>
      <c r="B7" s="109" t="str">
        <f>Plantilla!D7</f>
        <v>Iván Real Figueroa</v>
      </c>
      <c r="C7" s="18">
        <f>Plantilla!E7</f>
        <v>26</v>
      </c>
      <c r="D7" s="111">
        <f ca="1">Plantilla!F7</f>
        <v>10</v>
      </c>
      <c r="E7" s="36">
        <f>Plantilla!X7</f>
        <v>0</v>
      </c>
      <c r="F7" s="36">
        <f>Plantilla!Y7</f>
        <v>15.518750000000001</v>
      </c>
      <c r="G7" s="36">
        <f>Plantilla!Z7</f>
        <v>5</v>
      </c>
      <c r="H7" s="36">
        <f>Plantilla!AA7</f>
        <v>7.875</v>
      </c>
      <c r="I7" s="36">
        <f>Plantilla!AB7</f>
        <v>8.6666666666666661</v>
      </c>
      <c r="J7" s="36">
        <f>Plantilla!AC7</f>
        <v>1</v>
      </c>
      <c r="K7" s="36">
        <f>Plantilla!AD7</f>
        <v>13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Plantilla!A8</f>
        <v>#4</v>
      </c>
      <c r="B8" s="109" t="str">
        <f>Plantilla!D8</f>
        <v>Berto Abandero</v>
      </c>
      <c r="C8" s="18">
        <f>Plantilla!E8</f>
        <v>26</v>
      </c>
      <c r="D8" s="111">
        <f ca="1">Plantilla!F8</f>
        <v>60</v>
      </c>
      <c r="E8" s="36">
        <f>Plantilla!X8</f>
        <v>0</v>
      </c>
      <c r="F8" s="36">
        <f>Plantilla!Y8</f>
        <v>14.125</v>
      </c>
      <c r="G8" s="36">
        <f>Plantilla!Z8</f>
        <v>3</v>
      </c>
      <c r="H8" s="36">
        <f>Plantilla!AA8</f>
        <v>8.1111111111111107</v>
      </c>
      <c r="I8" s="36">
        <f>Plantilla!AB8</f>
        <v>11.857142857142858</v>
      </c>
      <c r="J8" s="36">
        <f>Plantilla!AC8</f>
        <v>4</v>
      </c>
      <c r="K8" s="36">
        <f>Plantilla!AD8</f>
        <v>14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Plantilla!A9</f>
        <v>#14</v>
      </c>
      <c r="B9" s="109" t="str">
        <f>Plantilla!D9</f>
        <v>Guillermo Pedrajas</v>
      </c>
      <c r="C9" s="18">
        <f>Plantilla!E9</f>
        <v>26</v>
      </c>
      <c r="D9" s="111">
        <f ca="1">Plantilla!F9</f>
        <v>45</v>
      </c>
      <c r="E9" s="36">
        <f>Plantilla!X9</f>
        <v>0</v>
      </c>
      <c r="F9" s="36">
        <f>Plantilla!Y9</f>
        <v>12.381818181818183</v>
      </c>
      <c r="G9" s="36">
        <f>Plantilla!Z9</f>
        <v>11.111111111111111</v>
      </c>
      <c r="H9" s="36">
        <f>Plantilla!AA9</f>
        <v>4.4000000000000004</v>
      </c>
      <c r="I9" s="36">
        <f>Plantilla!AB9</f>
        <v>11</v>
      </c>
      <c r="J9" s="36">
        <f>Plantilla!AC9</f>
        <v>4</v>
      </c>
      <c r="K9" s="36">
        <f>Plantilla!AD9</f>
        <v>13.5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Plantilla!A10</f>
        <v>#7</v>
      </c>
      <c r="B10" s="109" t="str">
        <f>Plantilla!D10</f>
        <v>Venanci Oset</v>
      </c>
      <c r="C10" s="18">
        <f>Plantilla!E10</f>
        <v>26</v>
      </c>
      <c r="D10" s="111">
        <f ca="1">Plantilla!F10</f>
        <v>88</v>
      </c>
      <c r="E10" s="36">
        <f>Plantilla!X10</f>
        <v>0</v>
      </c>
      <c r="F10" s="36">
        <f>Plantilla!Y10</f>
        <v>14.1875</v>
      </c>
      <c r="G10" s="36">
        <f>Plantilla!Z10</f>
        <v>5.125</v>
      </c>
      <c r="H10" s="36">
        <f>Plantilla!AA10</f>
        <v>2</v>
      </c>
      <c r="I10" s="36">
        <f>Plantilla!AB10</f>
        <v>12.111111111111111</v>
      </c>
      <c r="J10" s="36">
        <f>Plantilla!AC10</f>
        <v>6</v>
      </c>
      <c r="K10" s="36">
        <f>Plantilla!AD10</f>
        <v>12.5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Plantilla!A11</f>
        <v>#9</v>
      </c>
      <c r="B11" s="109" t="str">
        <f>Plantilla!D11</f>
        <v>Francesc Añigas</v>
      </c>
      <c r="C11" s="18">
        <f>Plantilla!E11</f>
        <v>26</v>
      </c>
      <c r="D11" s="111">
        <f ca="1">Plantilla!F11</f>
        <v>25</v>
      </c>
      <c r="E11" s="36">
        <f>Plantilla!X11</f>
        <v>0</v>
      </c>
      <c r="F11" s="36">
        <f>Plantilla!Y11</f>
        <v>13.583333333333334</v>
      </c>
      <c r="G11" s="36">
        <f>Plantilla!Z11</f>
        <v>4</v>
      </c>
      <c r="H11" s="36">
        <f>Plantilla!AA11</f>
        <v>13.133333333333333</v>
      </c>
      <c r="I11" s="36">
        <f>Plantilla!AB11</f>
        <v>8</v>
      </c>
      <c r="J11" s="36">
        <f>Plantilla!AC11</f>
        <v>7</v>
      </c>
      <c r="K11" s="36">
        <f>Plantilla!AD11</f>
        <v>14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Plantilla!A12</f>
        <v>#3</v>
      </c>
      <c r="B12" s="109" t="str">
        <f>Plantilla!D12</f>
        <v>Will Duffill</v>
      </c>
      <c r="C12" s="18">
        <f>Plantilla!E12</f>
        <v>25</v>
      </c>
      <c r="D12" s="111">
        <f ca="1">Plantilla!F12</f>
        <v>98</v>
      </c>
      <c r="E12" s="36">
        <f>Plantilla!X12</f>
        <v>0</v>
      </c>
      <c r="F12" s="36">
        <f>Plantilla!Y12</f>
        <v>13</v>
      </c>
      <c r="G12" s="36">
        <f>Plantilla!Z12</f>
        <v>3.1666666666666665</v>
      </c>
      <c r="H12" s="36">
        <f>Plantilla!AA12</f>
        <v>13.8</v>
      </c>
      <c r="I12" s="36">
        <f>Plantilla!AB12</f>
        <v>9.8333333333333339</v>
      </c>
      <c r="J12" s="36">
        <f>Plantilla!AC12</f>
        <v>7</v>
      </c>
      <c r="K12" s="36">
        <f>Plantilla!AD12</f>
        <v>14.5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Plantilla!A13</f>
        <v>#5</v>
      </c>
      <c r="B13" s="109" t="str">
        <f>Plantilla!D13</f>
        <v>Valeri Gomis</v>
      </c>
      <c r="C13" s="18">
        <f>Plantilla!E13</f>
        <v>26</v>
      </c>
      <c r="D13" s="111">
        <f ca="1">Plantilla!F13</f>
        <v>25</v>
      </c>
      <c r="E13" s="36">
        <f>Plantilla!X13</f>
        <v>0</v>
      </c>
      <c r="F13" s="36">
        <f>Plantilla!Y13</f>
        <v>12.454545454545455</v>
      </c>
      <c r="G13" s="36">
        <f>Plantilla!Z13</f>
        <v>3.1666666666666665</v>
      </c>
      <c r="H13" s="36">
        <f>Plantilla!AA13</f>
        <v>12.714285714285714</v>
      </c>
      <c r="I13" s="36">
        <f>Plantilla!AB13</f>
        <v>9.1666666666666661</v>
      </c>
      <c r="J13" s="36">
        <f>Plantilla!AC13</f>
        <v>7.25</v>
      </c>
      <c r="K13" s="36">
        <f>Plantilla!AD13</f>
        <v>14.5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Plantilla!A14</f>
        <v>#8</v>
      </c>
      <c r="B14" s="109" t="str">
        <f>Plantilla!D14</f>
        <v>Enrique Cubas</v>
      </c>
      <c r="C14" s="18">
        <f>Plantilla!E14</f>
        <v>26</v>
      </c>
      <c r="D14" s="111">
        <f ca="1">Plantilla!F14</f>
        <v>21</v>
      </c>
      <c r="E14" s="36">
        <f>Plantilla!X14</f>
        <v>0</v>
      </c>
      <c r="F14" s="36">
        <f>Plantilla!Y14</f>
        <v>11.5</v>
      </c>
      <c r="G14" s="36">
        <f>Plantilla!Z14</f>
        <v>5.8250000000000002</v>
      </c>
      <c r="H14" s="36">
        <f>Plantilla!AA14</f>
        <v>14.888888888888889</v>
      </c>
      <c r="I14" s="36">
        <f>Plantilla!AB14</f>
        <v>9</v>
      </c>
      <c r="J14" s="36">
        <f>Plantilla!AC14</f>
        <v>7.5</v>
      </c>
      <c r="K14" s="36">
        <f>Plantilla!AD14</f>
        <v>15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Plantilla!A15</f>
        <v>#11</v>
      </c>
      <c r="B15" s="109" t="str">
        <f>Plantilla!D15</f>
        <v>J. G. Peñuela</v>
      </c>
      <c r="C15" s="18">
        <f>Plantilla!E15</f>
        <v>26</v>
      </c>
      <c r="D15" s="111">
        <f ca="1">Plantilla!F15</f>
        <v>21</v>
      </c>
      <c r="E15" s="36">
        <f>Plantilla!X15</f>
        <v>0</v>
      </c>
      <c r="F15" s="36">
        <f>Plantilla!Y15</f>
        <v>11.8</v>
      </c>
      <c r="G15" s="36">
        <f>Plantilla!Z15</f>
        <v>5.25</v>
      </c>
      <c r="H15" s="36">
        <f>Plantilla!AA15</f>
        <v>14</v>
      </c>
      <c r="I15" s="36">
        <f>Plantilla!AB15</f>
        <v>8.4</v>
      </c>
      <c r="J15" s="36">
        <f>Plantilla!AC15</f>
        <v>8</v>
      </c>
      <c r="K15" s="36">
        <f>Plantilla!AD15</f>
        <v>14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e">
        <f>#REF!</f>
        <v>#REF!</v>
      </c>
      <c r="B16" s="109" t="e">
        <f>#REF!</f>
        <v>#REF!</v>
      </c>
      <c r="C16" s="18" t="e">
        <f>#REF!</f>
        <v>#REF!</v>
      </c>
      <c r="D16" s="111" t="e">
        <f>#REF!</f>
        <v>#REF!</v>
      </c>
      <c r="E16" s="36" t="e">
        <f>#REF!</f>
        <v>#REF!</v>
      </c>
      <c r="F16" s="36" t="e">
        <f>#REF!</f>
        <v>#REF!</v>
      </c>
      <c r="G16" s="36" t="e">
        <f>#REF!</f>
        <v>#REF!</v>
      </c>
      <c r="H16" s="36" t="e">
        <f>#REF!</f>
        <v>#REF!</v>
      </c>
      <c r="I16" s="36" t="e">
        <f>#REF!</f>
        <v>#REF!</v>
      </c>
      <c r="J16" s="36" t="e">
        <f>#REF!</f>
        <v>#REF!</v>
      </c>
      <c r="K16" s="36" t="e">
        <f>#REF!</f>
        <v>#REF!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Plantilla!A17</f>
        <v>#16</v>
      </c>
      <c r="B17" s="109" t="str">
        <f>Plantilla!D17</f>
        <v>Ryan Clarke</v>
      </c>
      <c r="C17" s="18">
        <f>Plantilla!E17</f>
        <v>30</v>
      </c>
      <c r="D17" s="111">
        <f ca="1">Plantilla!F17</f>
        <v>73</v>
      </c>
      <c r="E17" s="36">
        <f>Plantilla!X17</f>
        <v>0</v>
      </c>
      <c r="F17" s="36">
        <f>Plantilla!Y17</f>
        <v>11</v>
      </c>
      <c r="G17" s="36">
        <f>Plantilla!Z17</f>
        <v>10</v>
      </c>
      <c r="H17" s="36">
        <f>Plantilla!AA17</f>
        <v>5</v>
      </c>
      <c r="I17" s="36">
        <f>Plantilla!AB17</f>
        <v>13</v>
      </c>
      <c r="J17" s="36">
        <f>Plantilla!AC17</f>
        <v>5</v>
      </c>
      <c r="K17" s="36">
        <f>Plantilla!AD17</f>
        <v>15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e">
        <f>#REF!</f>
        <v>#REF!</v>
      </c>
      <c r="B18" s="109" t="e">
        <f>#REF!</f>
        <v>#REF!</v>
      </c>
      <c r="C18" s="18" t="e">
        <f>#REF!</f>
        <v>#REF!</v>
      </c>
      <c r="D18" s="111" t="e">
        <f>#REF!</f>
        <v>#REF!</v>
      </c>
      <c r="E18" s="36" t="e">
        <f>#REF!</f>
        <v>#REF!</v>
      </c>
      <c r="F18" s="36" t="e">
        <f>#REF!</f>
        <v>#REF!</v>
      </c>
      <c r="G18" s="36" t="e">
        <f>#REF!</f>
        <v>#REF!</v>
      </c>
      <c r="H18" s="36" t="e">
        <f>#REF!</f>
        <v>#REF!</v>
      </c>
      <c r="I18" s="36" t="e">
        <f>#REF!</f>
        <v>#REF!</v>
      </c>
      <c r="J18" s="36" t="e">
        <f>#REF!</f>
        <v>#REF!</v>
      </c>
      <c r="K18" s="36" t="e">
        <f>#REF!</f>
        <v>#REF!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Plantilla!A18</f>
        <v>#12</v>
      </c>
      <c r="B19" s="109" t="str">
        <f>Plantilla!D18</f>
        <v>Renato Galeano</v>
      </c>
      <c r="C19" s="18">
        <f>Plantilla!E18</f>
        <v>29</v>
      </c>
      <c r="D19" s="111">
        <f ca="1">Plantilla!F18</f>
        <v>0</v>
      </c>
      <c r="E19" s="36">
        <f>Plantilla!X18</f>
        <v>0</v>
      </c>
      <c r="F19" s="36">
        <f>Plantilla!Y18</f>
        <v>2</v>
      </c>
      <c r="G19" s="36">
        <f>Plantilla!Z18</f>
        <v>5</v>
      </c>
      <c r="H19" s="36">
        <f>Plantilla!AA18</f>
        <v>8</v>
      </c>
      <c r="I19" s="36">
        <f>Plantilla!AB18</f>
        <v>7</v>
      </c>
      <c r="J19" s="36">
        <f>Plantilla!AC18</f>
        <v>13</v>
      </c>
      <c r="K19" s="36">
        <f>Plantilla!AD18</f>
        <v>12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A20" s="18" t="str">
        <f>Plantilla!A19</f>
        <v>#15</v>
      </c>
      <c r="B20" s="109" t="str">
        <f>Plantilla!D19</f>
        <v>Meraj Siddiqui</v>
      </c>
      <c r="C20" s="18">
        <f>Plantilla!E19</f>
        <v>28</v>
      </c>
      <c r="D20" s="111">
        <f ca="1">Plantilla!F19</f>
        <v>60</v>
      </c>
      <c r="E20" s="36">
        <f>Plantilla!X19</f>
        <v>0</v>
      </c>
      <c r="F20" s="36">
        <f>Plantilla!Y19</f>
        <v>1</v>
      </c>
      <c r="G20" s="36">
        <f>Plantilla!Z19</f>
        <v>9</v>
      </c>
      <c r="H20" s="36">
        <f>Plantilla!AA19</f>
        <v>14</v>
      </c>
      <c r="I20" s="36">
        <f>Plantilla!AB19</f>
        <v>11</v>
      </c>
      <c r="J20" s="36">
        <f>Plantilla!AC19</f>
        <v>11</v>
      </c>
      <c r="K20" s="36">
        <f>Plantilla!AD19</f>
        <v>8</v>
      </c>
      <c r="L20" s="110"/>
      <c r="M20" s="110"/>
      <c r="N20" s="110"/>
      <c r="O20" s="60"/>
      <c r="P20" s="60"/>
      <c r="Q20" s="60"/>
      <c r="R20" s="60"/>
      <c r="S20" s="60"/>
      <c r="T20" s="60"/>
      <c r="U20" s="60"/>
      <c r="W20" s="42"/>
    </row>
    <row r="21" spans="1:23" x14ac:dyDescent="0.25">
      <c r="A21" s="18" t="str">
        <f>Plantilla!A20</f>
        <v>#19</v>
      </c>
      <c r="B21" s="109" t="str">
        <f>Plantilla!D20</f>
        <v>Rodolfo Rinaldo Paso</v>
      </c>
      <c r="C21" s="18">
        <f>Plantilla!E20</f>
        <v>26</v>
      </c>
      <c r="D21" s="111">
        <f ca="1">Plantilla!F20</f>
        <v>44</v>
      </c>
      <c r="E21" s="36">
        <f>Plantilla!X20</f>
        <v>0</v>
      </c>
      <c r="F21" s="36">
        <f>Plantilla!Y20</f>
        <v>3</v>
      </c>
      <c r="G21" s="36">
        <f>Plantilla!Z20</f>
        <v>7.2</v>
      </c>
      <c r="H21" s="36">
        <f>Plantilla!AA20</f>
        <v>10</v>
      </c>
      <c r="I21" s="36">
        <f>Plantilla!AB20</f>
        <v>12.333333333333334</v>
      </c>
      <c r="J21" s="36">
        <f>Plantilla!AC20</f>
        <v>14</v>
      </c>
      <c r="K21" s="36">
        <f>Plantilla!AD20</f>
        <v>11</v>
      </c>
      <c r="L21" s="110"/>
      <c r="M21" s="110"/>
      <c r="N21" s="110"/>
      <c r="O21" s="60"/>
      <c r="P21" s="60"/>
      <c r="Q21" s="60"/>
      <c r="R21" s="60"/>
      <c r="S21" s="60"/>
      <c r="T21" s="60"/>
      <c r="U21" s="60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  <row r="34" spans="3:23" x14ac:dyDescent="0.25">
      <c r="C34" s="69"/>
      <c r="D34" s="54"/>
      <c r="G34" s="42"/>
      <c r="H34" s="41"/>
      <c r="J34" s="42"/>
      <c r="K34" s="42"/>
      <c r="M34" s="70"/>
      <c r="Q34" s="42"/>
      <c r="R34" s="42"/>
      <c r="S34" s="42"/>
      <c r="T34" s="42"/>
      <c r="U34" s="42"/>
      <c r="V34" s="42"/>
      <c r="W34" s="42"/>
    </row>
    <row r="35" spans="3:23" x14ac:dyDescent="0.25">
      <c r="C35" s="69"/>
      <c r="D35" s="54"/>
      <c r="G35" s="42"/>
      <c r="H35" s="41"/>
      <c r="J35" s="42"/>
      <c r="K35" s="42"/>
      <c r="M35" s="70"/>
      <c r="Q35" s="42"/>
      <c r="R35" s="42"/>
      <c r="S35" s="42"/>
      <c r="T35" s="42"/>
      <c r="U35" s="42"/>
      <c r="V35" s="42"/>
      <c r="W35" s="42"/>
    </row>
  </sheetData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21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31"/>
  <sheetViews>
    <sheetView workbookViewId="0">
      <pane ySplit="2" topLeftCell="A3" activePane="bottomLeft" state="frozen"/>
      <selection pane="bottomLeft" activeCell="A7" sqref="A7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7" s="41" customFormat="1" x14ac:dyDescent="0.25">
      <c r="D1" s="43"/>
      <c r="O1" s="41" t="s">
        <v>872</v>
      </c>
      <c r="S1" s="41" t="s">
        <v>848</v>
      </c>
      <c r="W1" s="41" t="s">
        <v>180</v>
      </c>
    </row>
    <row r="2" spans="1:37" x14ac:dyDescent="0.25">
      <c r="A2" s="430" t="s">
        <v>186</v>
      </c>
      <c r="B2" s="430" t="s">
        <v>849</v>
      </c>
      <c r="C2" s="431" t="s">
        <v>113</v>
      </c>
      <c r="D2" s="432" t="s">
        <v>468</v>
      </c>
      <c r="E2" s="433" t="s">
        <v>873</v>
      </c>
      <c r="F2" s="434" t="s">
        <v>121</v>
      </c>
      <c r="G2" s="435" t="s">
        <v>738</v>
      </c>
      <c r="H2" s="436" t="s">
        <v>154</v>
      </c>
      <c r="I2" s="436" t="s">
        <v>194</v>
      </c>
      <c r="J2" s="436" t="s">
        <v>195</v>
      </c>
      <c r="K2" s="436" t="s">
        <v>492</v>
      </c>
      <c r="L2" s="436" t="s">
        <v>197</v>
      </c>
      <c r="M2" s="436" t="s">
        <v>198</v>
      </c>
      <c r="N2" s="437" t="s">
        <v>199</v>
      </c>
      <c r="O2" s="438" t="s">
        <v>174</v>
      </c>
      <c r="P2" s="438" t="s">
        <v>858</v>
      </c>
      <c r="Q2" s="438" t="s">
        <v>859</v>
      </c>
      <c r="R2" s="439" t="s">
        <v>858</v>
      </c>
      <c r="S2" s="438" t="s">
        <v>174</v>
      </c>
      <c r="T2" s="438" t="s">
        <v>858</v>
      </c>
      <c r="U2" s="438" t="s">
        <v>859</v>
      </c>
      <c r="V2" s="439" t="s">
        <v>858</v>
      </c>
      <c r="W2" s="440" t="s">
        <v>174</v>
      </c>
      <c r="X2" s="440" t="s">
        <v>858</v>
      </c>
      <c r="Y2" s="440" t="s">
        <v>859</v>
      </c>
      <c r="Z2" s="441" t="s">
        <v>858</v>
      </c>
      <c r="AA2" s="440" t="s">
        <v>874</v>
      </c>
      <c r="AB2" s="441" t="s">
        <v>471</v>
      </c>
      <c r="AC2" s="440" t="s">
        <v>875</v>
      </c>
      <c r="AD2" s="440" t="s">
        <v>876</v>
      </c>
      <c r="AE2" s="441" t="s">
        <v>877</v>
      </c>
      <c r="AF2" s="440" t="s">
        <v>878</v>
      </c>
      <c r="AG2" s="440" t="s">
        <v>879</v>
      </c>
      <c r="AH2" s="441" t="s">
        <v>880</v>
      </c>
      <c r="AI2" s="440" t="s">
        <v>881</v>
      </c>
      <c r="AJ2" s="440" t="s">
        <v>882</v>
      </c>
      <c r="AK2" s="441" t="s">
        <v>883</v>
      </c>
    </row>
    <row r="3" spans="1:37" x14ac:dyDescent="0.25">
      <c r="A3" s="458" t="s">
        <v>182</v>
      </c>
      <c r="B3" s="278">
        <v>29</v>
      </c>
      <c r="C3" s="25">
        <v>23</v>
      </c>
      <c r="D3" s="42" t="s">
        <v>165</v>
      </c>
      <c r="E3" s="422">
        <v>4</v>
      </c>
      <c r="F3" s="424">
        <v>1</v>
      </c>
      <c r="G3" s="425">
        <v>7</v>
      </c>
      <c r="H3" s="36">
        <v>0</v>
      </c>
      <c r="I3" s="36">
        <v>3</v>
      </c>
      <c r="J3" s="36">
        <v>9</v>
      </c>
      <c r="K3" s="36">
        <v>2</v>
      </c>
      <c r="L3" s="36">
        <v>13</v>
      </c>
      <c r="M3" s="36">
        <v>12</v>
      </c>
      <c r="N3" s="426">
        <v>17</v>
      </c>
      <c r="O3" s="27">
        <f>((J3+F3+(LOG(G3)*4/3))*0.15)</f>
        <v>1.6690196080028512</v>
      </c>
      <c r="P3" s="27">
        <f>((M3+F3+(LOG(G3)*4/3))*0.552)+((K3+F3+(LOG(G3)*4/3))*0.576)+((L3+F3+(LOG(G3)*4/3))*0.195)</f>
        <v>13.12475294258515</v>
      </c>
      <c r="Q3" s="27">
        <f>((M3+F3+(LOG(G3)*4/3))*0.607)+((L3+F3+(LOG(G3)*4/3))*0.248)</f>
        <v>12.326411765616253</v>
      </c>
      <c r="R3" s="427">
        <f>((M3+F3+(LOG(G3)*4/3))*0.223)+((K3+F3+(LOG(G3)*4/3))*0)+((L3+F3+(LOG(G3)*4/3))*0)</f>
        <v>3.1502758172309058</v>
      </c>
      <c r="S3" s="27">
        <f>((J3+F3+(LOG(G3)*4/3))*0.406)</f>
        <v>4.5174797389943846</v>
      </c>
      <c r="T3" s="27">
        <f>IF(D3="TEC",((K3+F3+(LOG(G3)*4/3))*0.15)+((L3+F3+(LOG(G3)*4/3))*0.324)+((M3+F3+(LOG(G3)*4/3))*0.127),((K3+F3+(LOG(G3)*4/3))*0.144)+((L3+F3+(LOG(G3)*4/3))*0.25)+((M3+F3+(LOG(G3)*4/3))*0.127))</f>
        <v>6.1700614384632368</v>
      </c>
      <c r="U3" s="27">
        <f>IF(D3="TEC",((L3+F3+(LOG(G3)*4/3))*0.543)+((M3+F3+(LOG(G3)*4/3))*0.583),((L3+F3+(LOG(G3)*4/3))*0.543)+((M3+F3+(LOG(G3)*4/3))*0.583))</f>
        <v>16.449773857408069</v>
      </c>
      <c r="V3" s="427">
        <f>T3</f>
        <v>6.1700614384632368</v>
      </c>
      <c r="W3" s="27">
        <f>((J3+F3+(LOG(G3)*4/3))*0.25)</f>
        <v>2.7816993466714188</v>
      </c>
      <c r="X3" s="27">
        <f>((M3+F3+(LOG(G3)*4/3))*0.26)+((K3+F3+(LOG(G3)*4/3))*0.221)+((L3+F3+(LOG(G3)*4/3))*0.142)</f>
        <v>6.7329947719051759</v>
      </c>
      <c r="Y3" s="27">
        <f>((M3+F3+(LOG(G3)*4/3))*1)+((L3+F3+(LOG(G3)*4/3))*0.369)</f>
        <v>19.708585622372688</v>
      </c>
      <c r="Z3" s="427">
        <f>X3</f>
        <v>6.7329947719051759</v>
      </c>
      <c r="AA3">
        <v>4000</v>
      </c>
      <c r="AB3" s="286">
        <f>12.1*1.2</f>
        <v>14.52</v>
      </c>
      <c r="AC3" s="41">
        <v>650</v>
      </c>
      <c r="AD3" s="41">
        <v>1500</v>
      </c>
      <c r="AE3" s="460">
        <v>3142</v>
      </c>
      <c r="AF3" s="25">
        <f>AA3+(AB3*16*(36-B3-((112-C3)/112)))-AC3</f>
        <v>4791.6285714285714</v>
      </c>
      <c r="AG3" s="25">
        <f>AA3+(AB3*16*(34-B3-((112-C3)/112)))-AD3</f>
        <v>3476.988571428572</v>
      </c>
      <c r="AH3" s="429">
        <f>AA3+(AB3*16*(32-B3-((112-C3)/112)))-AE3</f>
        <v>1370.3485714285716</v>
      </c>
      <c r="AI3" s="25">
        <f>(AF3)/(36-B3+((112-C3)/112))</f>
        <v>614.73356242840782</v>
      </c>
      <c r="AJ3" s="25">
        <f>(AG3)/(34-B3+((112-C3)/112))</f>
        <v>600.03500770416042</v>
      </c>
      <c r="AK3" s="429">
        <f>(AH3)/(32-B3+((112-C3)/112))</f>
        <v>361.12715294117652</v>
      </c>
    </row>
    <row r="4" spans="1:37" x14ac:dyDescent="0.25">
      <c r="A4" s="462" t="s">
        <v>884</v>
      </c>
      <c r="B4" s="278">
        <v>29</v>
      </c>
      <c r="C4" s="25">
        <v>22</v>
      </c>
      <c r="D4" s="42" t="s">
        <v>168</v>
      </c>
      <c r="E4" s="422">
        <v>3</v>
      </c>
      <c r="F4" s="424">
        <v>1</v>
      </c>
      <c r="G4" s="425">
        <v>6</v>
      </c>
      <c r="H4" s="36">
        <v>0</v>
      </c>
      <c r="I4" s="36">
        <v>5</v>
      </c>
      <c r="J4" s="36">
        <v>6</v>
      </c>
      <c r="K4" s="36">
        <v>11</v>
      </c>
      <c r="L4" s="36">
        <v>11</v>
      </c>
      <c r="M4" s="36">
        <v>11</v>
      </c>
      <c r="N4" s="426">
        <v>3</v>
      </c>
      <c r="O4" s="27">
        <f>((J4+F4+(LOG(G4)*4/3))*0.15)</f>
        <v>1.2056302500767286</v>
      </c>
      <c r="P4" s="27">
        <f>((M4+F4+(LOG(G4)*4/3))*0.552)+((K4+F4+(LOG(G4)*4/3))*0.576)+((L4+F4+(LOG(G4)*4/3))*0.195)</f>
        <v>17.248658805676747</v>
      </c>
      <c r="Q4" s="27">
        <f>((M4+F4+(LOG(G4)*4/3))*0.607)+((L4+F4+(LOG(G4)*4/3))*0.248)</f>
        <v>11.147092425437354</v>
      </c>
      <c r="R4" s="427">
        <f>((M4+F4+(LOG(G4)*4/3))*0.223)+((K4+F4+(LOG(G4)*4/3))*0)+((L4+F4+(LOG(G4)*4/3))*0)</f>
        <v>2.9073703051140702</v>
      </c>
      <c r="S4" s="27">
        <f>((J4+F4+(LOG(G4)*4/3))*0.406)</f>
        <v>3.2632392102076793</v>
      </c>
      <c r="T4" s="27">
        <f>IF(D4="TEC",((K4+F4+(LOG(G4)*4/3))*0.15)+((L4+F4+(LOG(G4)*4/3))*0.324)+((M4+F4+(LOG(G4)*4/3))*0.127),((K4+F4+(LOG(G4)*4/3))*0.144)+((L4+F4+(LOG(G4)*4/3))*0.25)+((M4+F4+(LOG(G4)*4/3))*0.127))</f>
        <v>6.7925557352665047</v>
      </c>
      <c r="U4" s="27">
        <f>IF(D4="TEC",((L4+F4+(LOG(G4)*4/3))*0.543)+((M4+F4+(LOG(G4)*4/3))*0.583),((L4+F4+(LOG(G4)*4/3))*0.543)+((M4+F4+(LOG(G4)*4/3))*0.583))</f>
        <v>14.680264410575978</v>
      </c>
      <c r="V4" s="427">
        <f>T4</f>
        <v>6.7925557352665047</v>
      </c>
      <c r="W4" s="27">
        <f>((J4+F4+(LOG(G4)*4/3))*0.25)</f>
        <v>2.0093837501278813</v>
      </c>
      <c r="X4" s="27">
        <f>((M4+F4+(LOG(G4)*4/3))*0.26)+((K4+F4+(LOG(G4)*4/3))*0.221)+((L4+F4+(LOG(G4)*4/3))*0.142)</f>
        <v>8.1223843053186808</v>
      </c>
      <c r="Y4" s="27">
        <f>((M4+F4+(LOG(G4)*4/3))*1)+((L4+F4+(LOG(G4)*4/3))*0.369)</f>
        <v>17.848385415700278</v>
      </c>
      <c r="Z4" s="427">
        <f>X4</f>
        <v>8.1223843053186808</v>
      </c>
      <c r="AA4">
        <v>4400</v>
      </c>
      <c r="AB4" s="286">
        <f>7.3*1.2</f>
        <v>8.76</v>
      </c>
      <c r="AC4" s="41">
        <v>1600</v>
      </c>
      <c r="AD4" s="41">
        <v>2000</v>
      </c>
      <c r="AE4" s="428">
        <v>3250</v>
      </c>
      <c r="AF4" s="25">
        <f>AA4+(AB4*16*(36-B4-((112-C4)/112)))-AC4</f>
        <v>3668.4914285714285</v>
      </c>
      <c r="AG4" s="25">
        <f>AA4+(AB4*16*(34-B4-((112-C4)/112)))-AD4</f>
        <v>2988.1714285714288</v>
      </c>
      <c r="AH4" s="429">
        <f>AA4+(AB4*16*(32-B4-((112-C4)/112)))-AE4</f>
        <v>1457.8514285714282</v>
      </c>
      <c r="AI4" s="25">
        <f>(AF4)/(36-B4+((112-C4)/112))</f>
        <v>470.10416475972539</v>
      </c>
      <c r="AJ4" s="25">
        <f>(AG4)/(34-B4+((112-C4)/112))</f>
        <v>514.88492307692309</v>
      </c>
      <c r="AK4" s="429">
        <f>(AH4)/(32-B4+((112-C4)/112))</f>
        <v>383.28488262910787</v>
      </c>
    </row>
    <row r="5" spans="1:37" x14ac:dyDescent="0.25">
      <c r="A5" s="457" t="s">
        <v>977</v>
      </c>
      <c r="B5" s="278">
        <v>29</v>
      </c>
      <c r="C5" s="25">
        <v>20</v>
      </c>
      <c r="D5" s="42" t="s">
        <v>168</v>
      </c>
      <c r="E5" s="422">
        <v>3</v>
      </c>
      <c r="F5" s="424">
        <v>1</v>
      </c>
      <c r="G5" s="425">
        <v>6</v>
      </c>
      <c r="H5" s="36">
        <v>0</v>
      </c>
      <c r="I5" s="36">
        <v>3</v>
      </c>
      <c r="J5" s="36">
        <v>12</v>
      </c>
      <c r="K5" s="36">
        <v>12</v>
      </c>
      <c r="L5" s="36">
        <v>9</v>
      </c>
      <c r="M5" s="36">
        <v>11</v>
      </c>
      <c r="N5" s="426">
        <v>3</v>
      </c>
      <c r="O5" s="27">
        <f>((J5+F5+(LOG(G5)*4/3))*0.15)</f>
        <v>2.1056302500767288</v>
      </c>
      <c r="P5" s="27">
        <f>((M5+F5+(LOG(G5)*4/3))*0.552)+((K5+F5+(LOG(G5)*4/3))*0.576)+((L5+F5+(LOG(G5)*4/3))*0.195)</f>
        <v>17.434658805676747</v>
      </c>
      <c r="Q5" s="27">
        <f>((M5+F5+(LOG(G5)*4/3))*0.607)+((L5+F5+(LOG(G5)*4/3))*0.248)</f>
        <v>10.651092425437353</v>
      </c>
      <c r="R5" s="427">
        <f>((M5+F5+(LOG(G5)*4/3))*0.223)+((K5+F5+(LOG(G5)*4/3))*0)+((L5+F5+(LOG(G5)*4/3))*0)</f>
        <v>2.9073703051140702</v>
      </c>
      <c r="S5" s="27">
        <f>((J5+F5+(LOG(G5)*4/3))*0.406)</f>
        <v>5.6992392102076792</v>
      </c>
      <c r="T5" s="27">
        <f>IF(D5="TEC",((K5+F5+(LOG(G5)*4/3))*0.15)+((L5+F5+(LOG(G5)*4/3))*0.324)+((M5+F5+(LOG(G5)*4/3))*0.127),((K5+F5+(LOG(G5)*4/3))*0.144)+((L5+F5+(LOG(G5)*4/3))*0.25)+((M5+F5+(LOG(G5)*4/3))*0.127))</f>
        <v>6.4365557352665048</v>
      </c>
      <c r="U5" s="27">
        <f>IF(D5="TEC",((L5+F5+(LOG(G5)*4/3))*0.543)+((M5+F5+(LOG(G5)*4/3))*0.583),((L5+F5+(LOG(G5)*4/3))*0.543)+((M5+F5+(LOG(G5)*4/3))*0.583))</f>
        <v>13.594264410575978</v>
      </c>
      <c r="V5" s="427">
        <f>T5</f>
        <v>6.4365557352665048</v>
      </c>
      <c r="W5" s="27">
        <f>((J5+F5+(LOG(G5)*4/3))*0.25)</f>
        <v>3.5093837501278813</v>
      </c>
      <c r="X5" s="27">
        <f>((M5+F5+(LOG(G5)*4/3))*0.26)+((K5+F5+(LOG(G5)*4/3))*0.221)+((L5+F5+(LOG(G5)*4/3))*0.142)</f>
        <v>8.0593843053186802</v>
      </c>
      <c r="Y5" s="27">
        <f>((M5+F5+(LOG(G5)*4/3))*1)+((L5+F5+(LOG(G5)*4/3))*0.369)</f>
        <v>17.110385415700279</v>
      </c>
      <c r="Z5" s="427">
        <f>X5</f>
        <v>8.0593843053186802</v>
      </c>
      <c r="AA5">
        <v>5300</v>
      </c>
      <c r="AB5" s="286">
        <v>16.5</v>
      </c>
      <c r="AC5" s="41">
        <v>1500</v>
      </c>
      <c r="AD5" s="41">
        <v>2600</v>
      </c>
      <c r="AE5" s="428">
        <v>3800</v>
      </c>
      <c r="AF5" s="25">
        <f>AA5+(AB5*16*(36-B5-((112-C5)/112)))-AC5</f>
        <v>5431.1428571428569</v>
      </c>
      <c r="AG5" s="25">
        <f>AA5+(AB5*16*(34-B5-((112-C5)/112)))-AD5</f>
        <v>3803.1428571428569</v>
      </c>
      <c r="AH5" s="429">
        <f>AA5+(AB5*16*(32-B5-((112-C5)/112)))-AE5</f>
        <v>2075.1428571428569</v>
      </c>
      <c r="AI5" s="25">
        <f>(AF5)/(36-B5+((112-C5)/112))</f>
        <v>694.39269406392691</v>
      </c>
      <c r="AJ5" s="25">
        <f>(AG5)/(34-B5+((112-C5)/112))</f>
        <v>653.30061349693256</v>
      </c>
      <c r="AK5" s="429">
        <f>(AH5)/(32-B5+((112-C5)/112))</f>
        <v>543.02803738317755</v>
      </c>
    </row>
    <row r="6" spans="1:37" x14ac:dyDescent="0.25">
      <c r="A6" s="423" t="s">
        <v>888</v>
      </c>
      <c r="B6" s="448">
        <v>27</v>
      </c>
      <c r="C6" s="25">
        <v>18</v>
      </c>
      <c r="D6" s="42" t="s">
        <v>178</v>
      </c>
      <c r="E6" s="449">
        <v>4</v>
      </c>
      <c r="F6" s="450">
        <v>1</v>
      </c>
      <c r="G6" s="451">
        <v>5</v>
      </c>
      <c r="H6" s="36">
        <v>0</v>
      </c>
      <c r="I6" s="36">
        <v>4</v>
      </c>
      <c r="J6" s="36">
        <v>5</v>
      </c>
      <c r="K6" s="36">
        <v>10</v>
      </c>
      <c r="L6" s="36">
        <v>9</v>
      </c>
      <c r="M6" s="36">
        <v>11</v>
      </c>
      <c r="N6" s="452">
        <v>11</v>
      </c>
      <c r="O6" s="27">
        <f>((J6+F6+(LOG(G6)*4/3))*0.15)</f>
        <v>1.0397940008672037</v>
      </c>
      <c r="P6" s="27">
        <f>((M6+F6+(LOG(G6)*4/3))*0.552)+((K6+F6+(LOG(G6)*4/3))*0.576)+((L6+F6+(LOG(G6)*4/3))*0.195)</f>
        <v>16.142983087648737</v>
      </c>
      <c r="Q6" s="27">
        <f>((M6+F6+(LOG(G6)*4/3))*0.607)+((L6+F6+(LOG(G6)*4/3))*0.248)</f>
        <v>10.560825804943061</v>
      </c>
      <c r="R6" s="427">
        <f>((M6+F6+(LOG(G6)*4/3))*0.223)+((K6+F6+(LOG(G6)*4/3))*0)+((L6+F6+(LOG(G6)*4/3))*0)</f>
        <v>2.883827081289243</v>
      </c>
      <c r="S6" s="27">
        <f>((J6+F6+(LOG(G6)*4/3))*0.406)</f>
        <v>2.8143757623472316</v>
      </c>
      <c r="T6" s="27">
        <f>IF(D6="TEC",((K6+F6+(LOG(G6)*4/3))*0.15)+((L6+F6+(LOG(G6)*4/3))*0.324)+((M6+F6+(LOG(G6)*4/3))*0.127),((K6+F6+(LOG(G6)*4/3))*0.144)+((L6+F6+(LOG(G6)*4/3))*0.25)+((M6+F6+(LOG(G6)*4/3))*0.127))</f>
        <v>6.093551163012088</v>
      </c>
      <c r="U6" s="27">
        <f>IF(D6="TEC",((L6+F6+(LOG(G6)*4/3))*0.543)+((M6+F6+(LOG(G6)*4/3))*0.583),((L6+F6+(LOG(G6)*4/3))*0.543)+((M6+F6+(LOG(G6)*4/3))*0.583))</f>
        <v>13.475386966509809</v>
      </c>
      <c r="V6" s="427">
        <f>T6</f>
        <v>6.093551163012088</v>
      </c>
      <c r="W6" s="27">
        <f>((J6+F6+(LOG(G6)*4/3))*0.25)</f>
        <v>1.7329900014453397</v>
      </c>
      <c r="X6" s="27">
        <f>((M6+F6+(LOG(G6)*4/3))*0.26)+((K6+F6+(LOG(G6)*4/3))*0.221)+((L6+F6+(LOG(G6)*4/3))*0.142)</f>
        <v>7.5516110836017862</v>
      </c>
      <c r="Y6" s="27">
        <f>((M6+F6+(LOG(G6)*4/3))*1)+((L6+F6+(LOG(G6)*4/3))*0.369)</f>
        <v>16.96585324791468</v>
      </c>
      <c r="Z6" s="427">
        <f>X6</f>
        <v>7.5516110836017862</v>
      </c>
      <c r="AA6">
        <v>3800</v>
      </c>
      <c r="AB6" s="454">
        <v>9</v>
      </c>
      <c r="AC6" s="41">
        <v>400</v>
      </c>
      <c r="AD6" s="41">
        <v>680</v>
      </c>
      <c r="AE6" s="428">
        <v>1100</v>
      </c>
      <c r="AF6" s="25">
        <f>AA6+(AB6*16*(36-B6-((112-C6)/112)))-AC6</f>
        <v>4575.1428571428569</v>
      </c>
      <c r="AG6" s="25">
        <f>AA6+(AB6*16*(34-B6-((112-C6)/112)))-AD6</f>
        <v>4007.1428571428569</v>
      </c>
      <c r="AH6" s="429">
        <f>AA6+(AB6*16*(32-B6-((112-C6)/112)))-AE6</f>
        <v>3299.1428571428569</v>
      </c>
      <c r="AI6" s="25">
        <f>(AF6)/(36-B6+((112-C6)/112))</f>
        <v>464.98729582577135</v>
      </c>
      <c r="AJ6" s="25">
        <f>(AG6)/(34-B6+((112-C6)/112))</f>
        <v>511.16173120728928</v>
      </c>
      <c r="AK6" s="429">
        <f>(AH6)/(32-B6+((112-C6)/112))</f>
        <v>564.9908256880733</v>
      </c>
    </row>
    <row r="7" spans="1:37" x14ac:dyDescent="0.25">
      <c r="A7" s="423" t="s">
        <v>972</v>
      </c>
      <c r="B7" s="448">
        <v>29</v>
      </c>
      <c r="C7" s="25">
        <v>68</v>
      </c>
      <c r="D7" s="42" t="s">
        <v>178</v>
      </c>
      <c r="E7" s="449">
        <v>4</v>
      </c>
      <c r="F7" s="450">
        <v>1</v>
      </c>
      <c r="G7" s="451">
        <v>5</v>
      </c>
      <c r="H7" s="36">
        <v>0</v>
      </c>
      <c r="I7" s="36">
        <v>3</v>
      </c>
      <c r="J7" s="36">
        <v>11</v>
      </c>
      <c r="K7" s="36">
        <v>15</v>
      </c>
      <c r="L7" s="36">
        <v>7</v>
      </c>
      <c r="M7" s="36">
        <v>7</v>
      </c>
      <c r="N7" s="452">
        <v>8</v>
      </c>
      <c r="O7" s="27">
        <f>((J7+F7+(LOG(G7)*4/3))*0.15)</f>
        <v>1.9397940008672037</v>
      </c>
      <c r="P7" s="27">
        <f>((M7+F7+(LOG(G7)*4/3))*0.552)+((K7+F7+(LOG(G7)*4/3))*0.576)+((L7+F7+(LOG(G7)*4/3))*0.195)</f>
        <v>16.424983087648737</v>
      </c>
      <c r="Q7" s="27">
        <f>((M7+F7+(LOG(G7)*4/3))*0.607)+((L7+F7+(LOG(G7)*4/3))*0.248)</f>
        <v>7.6368258049430606</v>
      </c>
      <c r="R7" s="453">
        <f>((M7+F7+(LOG(G7)*4/3))*0.223)+((K7+F7+(LOG(G7)*4/3))*0)+((L7+F7+(LOG(G7)*4/3))*0)</f>
        <v>1.9918270812892429</v>
      </c>
      <c r="S7" s="27">
        <f>((J7+F7+(LOG(G7)*4/3))*0.406)</f>
        <v>5.2503757623472316</v>
      </c>
      <c r="T7" s="27">
        <f>IF(D7="TEC",((K7+F7+(LOG(G7)*4/3))*0.15)+((L7+F7+(LOG(G7)*4/3))*0.324)+((M7+F7+(LOG(G7)*4/3))*0.127),((K7+F7+(LOG(G7)*4/3))*0.144)+((L7+F7+(LOG(G7)*4/3))*0.25)+((M7+F7+(LOG(G7)*4/3))*0.127))</f>
        <v>5.8055511630120877</v>
      </c>
      <c r="U7" s="27">
        <f>IF(D7="TEC",((L7+F7+(LOG(G7)*4/3))*0.543)+((M7+F7+(LOG(G7)*4/3))*0.583),((L7+F7+(LOG(G7)*4/3))*0.543)+((M7+F7+(LOG(G7)*4/3))*0.583))</f>
        <v>10.057386966509808</v>
      </c>
      <c r="V7" s="453">
        <f>T7</f>
        <v>5.8055511630120877</v>
      </c>
      <c r="W7" s="27">
        <f>((J7+F7+(LOG(G7)*4/3))*0.25)</f>
        <v>3.2329900014453394</v>
      </c>
      <c r="X7" s="27">
        <f>((M7+F7+(LOG(G7)*4/3))*0.26)+((K7+F7+(LOG(G7)*4/3))*0.221)+((L7+F7+(LOG(G7)*4/3))*0.142)</f>
        <v>7.3326110836017868</v>
      </c>
      <c r="Y7" s="27">
        <f>((M7+F7+(LOG(G7)*4/3))*1)+((L7+F7+(LOG(G7)*4/3))*0.369)</f>
        <v>12.227853247914679</v>
      </c>
      <c r="Z7" s="453">
        <f>X7</f>
        <v>7.3326110836017868</v>
      </c>
      <c r="AA7" s="459">
        <v>3800</v>
      </c>
      <c r="AB7" s="454">
        <v>22.6</v>
      </c>
      <c r="AC7" s="41">
        <v>1300</v>
      </c>
      <c r="AD7" s="41">
        <v>1850</v>
      </c>
      <c r="AE7" s="428">
        <v>2700</v>
      </c>
      <c r="AF7" s="25">
        <f>AA7+(AB7*16*(36-B7-((112-C7)/112)))-AC7</f>
        <v>4889.1428571428569</v>
      </c>
      <c r="AG7" s="25">
        <f>AA7+(AB7*16*(34-B7-((112-C7)/112)))-AD7</f>
        <v>3615.9428571428571</v>
      </c>
      <c r="AH7" s="429">
        <f>AA7+(AB7*16*(32-B7-((112-C7)/112)))-AE7</f>
        <v>2042.7428571428572</v>
      </c>
      <c r="AI7" s="25">
        <f>(AF7)/(36-B7+((112-C7)/112))</f>
        <v>661.33333333333326</v>
      </c>
      <c r="AJ7" s="25">
        <f>(AG7)/(34-B7+((112-C7)/112))</f>
        <v>670.50596026490064</v>
      </c>
      <c r="AK7" s="429">
        <f>(AH7)/(32-B7+((112-C7)/112))</f>
        <v>602.07157894736849</v>
      </c>
    </row>
    <row r="8" spans="1:37" x14ac:dyDescent="0.25">
      <c r="A8" s="457" t="s">
        <v>976</v>
      </c>
      <c r="B8" s="448">
        <v>28</v>
      </c>
      <c r="C8" s="25">
        <v>83</v>
      </c>
      <c r="D8" s="42" t="s">
        <v>168</v>
      </c>
      <c r="E8" s="449">
        <v>1</v>
      </c>
      <c r="F8" s="450">
        <v>1</v>
      </c>
      <c r="G8" s="451">
        <v>8</v>
      </c>
      <c r="H8" s="36">
        <v>0</v>
      </c>
      <c r="I8" s="36">
        <v>3</v>
      </c>
      <c r="J8" s="36">
        <v>13</v>
      </c>
      <c r="K8" s="36">
        <v>12</v>
      </c>
      <c r="L8" s="36">
        <v>11</v>
      </c>
      <c r="M8" s="36">
        <v>10</v>
      </c>
      <c r="N8" s="452">
        <v>1</v>
      </c>
      <c r="O8" s="27">
        <f>((J8+F8+(LOG(G8)*4/3))*0.15)</f>
        <v>2.2806179973983887</v>
      </c>
      <c r="P8" s="27">
        <f>((M8+F8+(LOG(G8)*4/3))*0.552)+((K8+F8+(LOG(G8)*4/3))*0.576)+((L8+F8+(LOG(G8)*4/3))*0.195)</f>
        <v>17.493050737053789</v>
      </c>
      <c r="Q8" s="27">
        <f>((M8+F8+(LOG(G8)*4/3))*0.607)+((L8+F8+(LOG(G8)*4/3))*0.248)</f>
        <v>10.682522585170815</v>
      </c>
      <c r="R8" s="453">
        <f>((M8+F8+(LOG(G8)*4/3))*0.223)+((K8+F8+(LOG(G8)*4/3))*0)+((L8+F8+(LOG(G8)*4/3))*0)</f>
        <v>2.7215187561322711</v>
      </c>
      <c r="S8" s="27">
        <f>((J8+F8+(LOG(G8)*4/3))*0.406)</f>
        <v>6.1728727129583056</v>
      </c>
      <c r="T8" s="27">
        <f>IF(D8="TEC",((K8+F8+(LOG(G8)*4/3))*0.15)+((L8+F8+(LOG(G8)*4/3))*0.324)+((M8+F8+(LOG(G8)*4/3))*0.127),((K8+F8+(LOG(G8)*4/3))*0.144)+((L8+F8+(LOG(G8)*4/3))*0.25)+((M8+F8+(LOG(G8)*4/3))*0.127))</f>
        <v>6.8963465109637374</v>
      </c>
      <c r="U8" s="27">
        <f>IF(D8="TEC",((L8+F8+(LOG(G8)*4/3))*0.543)+((M8+F8+(LOG(G8)*4/3))*0.583),((L8+F8+(LOG(G8)*4/3))*0.543)+((M8+F8+(LOG(G8)*4/3))*0.583))</f>
        <v>14.28483910047057</v>
      </c>
      <c r="V8" s="453">
        <f>T8</f>
        <v>6.8963465109637374</v>
      </c>
      <c r="W8" s="27">
        <f>((J8+F8+(LOG(G8)*4/3))*0.25)</f>
        <v>3.8010299956639813</v>
      </c>
      <c r="X8" s="27">
        <f>((M8+F8+(LOG(G8)*4/3))*0.26)+((K8+F8+(LOG(G8)*4/3))*0.221)+((L8+F8+(LOG(G8)*4/3))*0.142)</f>
        <v>8.1871667491946418</v>
      </c>
      <c r="Y8" s="27">
        <f>((M8+F8+(LOG(G8)*4/3))*1)+((L8+F8+(LOG(G8)*4/3))*0.369)</f>
        <v>17.07644025625596</v>
      </c>
      <c r="Z8" s="453">
        <f>X8</f>
        <v>8.1871667491946418</v>
      </c>
      <c r="AA8" s="459">
        <v>4500</v>
      </c>
      <c r="AB8" s="454">
        <v>28</v>
      </c>
      <c r="AC8" s="41">
        <v>1800</v>
      </c>
      <c r="AD8" s="41">
        <v>2750</v>
      </c>
      <c r="AE8" s="428">
        <v>3600</v>
      </c>
      <c r="AF8" s="25">
        <f>AA8+(AB8*16*(36-B8-((112-C8)/112)))-AC8</f>
        <v>6168</v>
      </c>
      <c r="AG8" s="25">
        <f>AA8+(AB8*16*(34-B8-((112-C8)/112)))-AD8</f>
        <v>4322</v>
      </c>
      <c r="AH8" s="429">
        <f>AA8+(AB8*16*(32-B8-((112-C8)/112)))-AE8</f>
        <v>2576</v>
      </c>
      <c r="AI8" s="25">
        <f>(AF8)/(36-B8+((112-C8)/112))</f>
        <v>746.82810810810815</v>
      </c>
      <c r="AJ8" s="25">
        <f>(AG8)/(34-B8+((112-C8)/112))</f>
        <v>690.53352353780315</v>
      </c>
      <c r="AK8" s="429">
        <f>(AH8)/(32-B8+((112-C8)/112))</f>
        <v>604.84696016771488</v>
      </c>
    </row>
    <row r="9" spans="1:37" x14ac:dyDescent="0.25">
      <c r="A9" s="457" t="s">
        <v>978</v>
      </c>
      <c r="B9" s="448">
        <v>29</v>
      </c>
      <c r="C9" s="25">
        <v>33</v>
      </c>
      <c r="D9" s="42" t="s">
        <v>165</v>
      </c>
      <c r="E9" s="449">
        <v>2</v>
      </c>
      <c r="F9" s="450">
        <v>1</v>
      </c>
      <c r="G9" s="451">
        <v>8</v>
      </c>
      <c r="H9" s="36">
        <v>0</v>
      </c>
      <c r="I9" s="36">
        <v>4</v>
      </c>
      <c r="J9" s="36">
        <v>3</v>
      </c>
      <c r="K9" s="36">
        <v>12</v>
      </c>
      <c r="L9" s="36">
        <v>13</v>
      </c>
      <c r="M9" s="36">
        <v>11</v>
      </c>
      <c r="N9" s="452">
        <v>16</v>
      </c>
      <c r="O9" s="27">
        <f>((J9+F9+(LOG(G9)*4/3))*0.15)</f>
        <v>0.78061799739838877</v>
      </c>
      <c r="P9" s="27">
        <f>((M9+F9+(LOG(G9)*4/3))*0.552)+((K9+F9+(LOG(G9)*4/3))*0.576)+((L9+F9+(LOG(G9)*4/3))*0.195)</f>
        <v>18.435050737053789</v>
      </c>
      <c r="Q9" s="27">
        <f>((M9+F9+(LOG(G9)*4/3))*0.607)+((L9+F9+(LOG(G9)*4/3))*0.248)</f>
        <v>11.785522585170817</v>
      </c>
      <c r="R9" s="453">
        <f>((M9+F9+(LOG(G9)*4/3))*0.223)+((K9+F9+(LOG(G9)*4/3))*0)+((L9+F9+(LOG(G9)*4/3))*0)</f>
        <v>2.9445187561322714</v>
      </c>
      <c r="S9" s="27">
        <f>((J9+F9+(LOG(G9)*4/3))*0.406)</f>
        <v>2.1128727129583056</v>
      </c>
      <c r="T9" s="27">
        <f>IF(D9="TEC",((K9+F9+(LOG(G9)*4/3))*0.15)+((L9+F9+(LOG(G9)*4/3))*0.324)+((M9+F9+(LOG(G9)*4/3))*0.127),((K9+F9+(LOG(G9)*4/3))*0.144)+((L9+F9+(LOG(G9)*4/3))*0.25)+((M9+F9+(LOG(G9)*4/3))*0.127))</f>
        <v>7.5233465109637372</v>
      </c>
      <c r="U9" s="27">
        <f>IF(D9="TEC",((L9+F9+(LOG(G9)*4/3))*0.543)+((M9+F9+(LOG(G9)*4/3))*0.583),((L9+F9+(LOG(G9)*4/3))*0.543)+((M9+F9+(LOG(G9)*4/3))*0.583))</f>
        <v>15.953839100470573</v>
      </c>
      <c r="V9" s="453">
        <f>T9</f>
        <v>7.5233465109637372</v>
      </c>
      <c r="W9" s="27">
        <f>((J9+F9+(LOG(G9)*4/3))*0.25)</f>
        <v>1.3010299956639813</v>
      </c>
      <c r="X9" s="27">
        <f>((M9+F9+(LOG(G9)*4/3))*0.26)+((K9+F9+(LOG(G9)*4/3))*0.221)+((L9+F9+(LOG(G9)*4/3))*0.142)</f>
        <v>8.7311667491946405</v>
      </c>
      <c r="Y9" s="27">
        <f>((M9+F9+(LOG(G9)*4/3))*1)+((L9+F9+(LOG(G9)*4/3))*0.369)</f>
        <v>18.814440256255963</v>
      </c>
      <c r="Z9" s="453">
        <f>X9</f>
        <v>8.7311667491946405</v>
      </c>
      <c r="AA9" s="459">
        <v>5200</v>
      </c>
      <c r="AB9" s="454">
        <v>15</v>
      </c>
      <c r="AC9" s="41">
        <v>1400</v>
      </c>
      <c r="AD9" s="41">
        <v>2750</v>
      </c>
      <c r="AE9" s="428">
        <v>3400</v>
      </c>
      <c r="AF9" s="25">
        <f>AA9+(AB9*16*(36-B9-((112-C9)/112)))-AC9</f>
        <v>5310.7142857142853</v>
      </c>
      <c r="AG9" s="25">
        <f>AA9+(AB9*16*(34-B9-((112-C9)/112)))-AD9</f>
        <v>3480.7142857142853</v>
      </c>
      <c r="AH9" s="429">
        <f>AA9+(AB9*16*(32-B9-((112-C9)/112)))-AE9</f>
        <v>2350.7142857142862</v>
      </c>
      <c r="AI9" s="25">
        <f>(AF9)/(36-B9+((112-C9)/112))</f>
        <v>689.22363847045187</v>
      </c>
      <c r="AJ9" s="25">
        <f>(AG9)/(34-B9+((112-C9)/112))</f>
        <v>610.07824726134572</v>
      </c>
      <c r="AK9" s="429">
        <f>(AH9)/(32-B9+((112-C9)/112))</f>
        <v>634.40963855421705</v>
      </c>
    </row>
    <row r="10" spans="1:37" x14ac:dyDescent="0.25">
      <c r="A10" s="493" t="s">
        <v>975</v>
      </c>
      <c r="B10" s="448">
        <v>28</v>
      </c>
      <c r="C10" s="25">
        <v>58</v>
      </c>
      <c r="D10" s="42" t="s">
        <v>168</v>
      </c>
      <c r="E10" s="449">
        <v>2</v>
      </c>
      <c r="F10" s="450">
        <v>1</v>
      </c>
      <c r="G10" s="451">
        <v>13</v>
      </c>
      <c r="H10" s="36">
        <v>0</v>
      </c>
      <c r="I10" s="36">
        <v>1</v>
      </c>
      <c r="J10" s="36">
        <v>9</v>
      </c>
      <c r="K10" s="36">
        <v>14</v>
      </c>
      <c r="L10" s="36">
        <v>11</v>
      </c>
      <c r="M10" s="36">
        <v>11</v>
      </c>
      <c r="N10" s="452">
        <v>8</v>
      </c>
      <c r="O10" s="27">
        <f>((J10+F10+(LOG(G10)*4/3))*0.15)</f>
        <v>1.7227886704613673</v>
      </c>
      <c r="P10" s="27">
        <f>((M10+F10+(LOG(G10)*4/3))*0.552)+((K10+F10+(LOG(G10)*4/3))*0.576)+((L10+F10+(LOG(G10)*4/3))*0.195)</f>
        <v>19.568996073469261</v>
      </c>
      <c r="Q10" s="27">
        <f>((M10+F10+(LOG(G10)*4/3))*0.607)+((L10+F10+(LOG(G10)*4/3))*0.248)</f>
        <v>11.529895421629794</v>
      </c>
      <c r="R10" s="453">
        <f>((M10+F10+(LOG(G10)*4/3))*0.223)+((K10+F10+(LOG(G10)*4/3))*0)+((L10+F10+(LOG(G10)*4/3))*0)</f>
        <v>3.0072124900858994</v>
      </c>
      <c r="S10" s="27">
        <f>((J10+F10+(LOG(G10)*4/3))*0.406)</f>
        <v>4.6630146680487679</v>
      </c>
      <c r="T10" s="27">
        <f>IF(D10="TEC",((K10+F10+(LOG(G10)*4/3))*0.15)+((L10+F10+(LOG(G10)*4/3))*0.324)+((M10+F10+(LOG(G10)*4/3))*0.127),((K10+F10+(LOG(G10)*4/3))*0.144)+((L10+F10+(LOG(G10)*4/3))*0.25)+((M10+F10+(LOG(G10)*4/3))*0.127))</f>
        <v>7.4578193154024834</v>
      </c>
      <c r="U10" s="27">
        <f>IF(D10="TEC",((L10+F10+(LOG(G10)*4/3))*0.543)+((M10+F10+(LOG(G10)*4/3))*0.583),((L10+F10+(LOG(G10)*4/3))*0.543)+((M10+F10+(LOG(G10)*4/3))*0.583))</f>
        <v>15.184400286263331</v>
      </c>
      <c r="V10" s="453">
        <f>T10</f>
        <v>7.4578193154024834</v>
      </c>
      <c r="W10" s="27">
        <f>((J10+F10+(LOG(G10)*4/3))*0.25)</f>
        <v>2.8713144507689456</v>
      </c>
      <c r="X10" s="27">
        <f>((M10+F10+(LOG(G10)*4/3))*0.26)+((K10+F10+(LOG(G10)*4/3))*0.221)+((L10+F10+(LOG(G10)*4/3))*0.142)</f>
        <v>9.0643156113162124</v>
      </c>
      <c r="Y10" s="27">
        <f>((M10+F10+(LOG(G10)*4/3))*1)+((L10+F10+(LOG(G10)*4/3))*0.369)</f>
        <v>18.461317932410747</v>
      </c>
      <c r="Z10" s="453">
        <f>X10</f>
        <v>9.0643156113162124</v>
      </c>
      <c r="AA10">
        <v>6325</v>
      </c>
      <c r="AB10" s="454">
        <v>20.8</v>
      </c>
      <c r="AC10" s="41">
        <v>3000</v>
      </c>
      <c r="AD10" s="41">
        <v>4000</v>
      </c>
      <c r="AE10" s="428">
        <v>4900</v>
      </c>
      <c r="AF10" s="25">
        <f>AA10+(AB10*16*(36-B10-((112-C10)/112)))-AC10</f>
        <v>5826.942857142858</v>
      </c>
      <c r="AG10" s="25">
        <f>AA10+(AB10*16*(34-B10-((112-C10)/112)))-AD10</f>
        <v>4161.3428571428576</v>
      </c>
      <c r="AH10" s="429">
        <f>AA10+(AB10*16*(32-B10-((112-C10)/112)))-AE10</f>
        <v>2595.7428571428572</v>
      </c>
      <c r="AI10" s="25">
        <f>(AF10)/(36-B10+((112-C10)/112))</f>
        <v>686.96589473684219</v>
      </c>
      <c r="AJ10" s="25">
        <f>(AG10)/(34-B10+((112-C10)/112))</f>
        <v>641.97024793388437</v>
      </c>
      <c r="AK10" s="429">
        <f>(AH10)/(32-B10+((112-C10)/112))</f>
        <v>579.12988047808767</v>
      </c>
    </row>
    <row r="11" spans="1:37" x14ac:dyDescent="0.25">
      <c r="A11" s="423" t="s">
        <v>886</v>
      </c>
      <c r="B11" s="448">
        <v>29</v>
      </c>
      <c r="C11" s="25">
        <v>21</v>
      </c>
      <c r="D11" s="42" t="s">
        <v>165</v>
      </c>
      <c r="E11" s="449">
        <v>0</v>
      </c>
      <c r="F11" s="450">
        <v>1</v>
      </c>
      <c r="G11" s="451">
        <v>8</v>
      </c>
      <c r="H11" s="36">
        <v>0</v>
      </c>
      <c r="I11" s="36">
        <v>0</v>
      </c>
      <c r="J11" s="36">
        <v>6</v>
      </c>
      <c r="K11" s="36">
        <v>10</v>
      </c>
      <c r="L11" s="36">
        <v>13</v>
      </c>
      <c r="M11" s="36">
        <v>13</v>
      </c>
      <c r="N11" s="452">
        <v>3</v>
      </c>
      <c r="O11" s="27">
        <f>((J11+F11+(LOG(G11)*4/3))*0.15)</f>
        <v>1.2306179973983886</v>
      </c>
      <c r="P11" s="27">
        <f>((M11+F11+(LOG(G11)*4/3))*0.552)+((K11+F11+(LOG(G11)*4/3))*0.576)+((L11+F11+(LOG(G11)*4/3))*0.195)</f>
        <v>18.387050737053787</v>
      </c>
      <c r="Q11" s="27">
        <f>((M11+F11+(LOG(G11)*4/3))*0.607)+((L11+F11+(LOG(G11)*4/3))*0.248)</f>
        <v>12.999522585170816</v>
      </c>
      <c r="R11" s="453">
        <f>((M11+F11+(LOG(G11)*4/3))*0.223)+((K11+F11+(LOG(G11)*4/3))*0)+((L11+F11+(LOG(G11)*4/3))*0)</f>
        <v>3.3905187561322712</v>
      </c>
      <c r="S11" s="27">
        <f>((J11+F11+(LOG(G11)*4/3))*0.406)</f>
        <v>3.330872712958306</v>
      </c>
      <c r="T11" s="27">
        <f>IF(D11="TEC",((K11+F11+(LOG(G11)*4/3))*0.15)+((L11+F11+(LOG(G11)*4/3))*0.324)+((M11+F11+(LOG(G11)*4/3))*0.127),((K11+F11+(LOG(G11)*4/3))*0.144)+((L11+F11+(LOG(G11)*4/3))*0.25)+((M11+F11+(LOG(G11)*4/3))*0.127))</f>
        <v>7.4893465109637374</v>
      </c>
      <c r="U11" s="27">
        <f>IF(D11="TEC",((L11+F11+(LOG(G11)*4/3))*0.543)+((M11+F11+(LOG(G11)*4/3))*0.583),((L11+F11+(LOG(G11)*4/3))*0.543)+((M11+F11+(LOG(G11)*4/3))*0.583))</f>
        <v>17.119839100470571</v>
      </c>
      <c r="V11" s="453">
        <f>T11</f>
        <v>7.4893465109637374</v>
      </c>
      <c r="W11" s="27">
        <f>((J11+F11+(LOG(G11)*4/3))*0.25)</f>
        <v>2.0510299956639813</v>
      </c>
      <c r="X11" s="27">
        <f>((M11+F11+(LOG(G11)*4/3))*0.26)+((K11+F11+(LOG(G11)*4/3))*0.221)+((L11+F11+(LOG(G11)*4/3))*0.142)</f>
        <v>8.8091667491946417</v>
      </c>
      <c r="Y11" s="27">
        <f>((M11+F11+(LOG(G11)*4/3))*1)+((L11+F11+(LOG(G11)*4/3))*0.369)</f>
        <v>20.814440256255963</v>
      </c>
      <c r="Z11" s="453">
        <f>X11</f>
        <v>8.8091667491946417</v>
      </c>
      <c r="AA11">
        <v>5100</v>
      </c>
      <c r="AB11" s="454">
        <v>24.9</v>
      </c>
      <c r="AC11" s="41">
        <v>1650</v>
      </c>
      <c r="AD11" s="41">
        <v>2500</v>
      </c>
      <c r="AE11" s="455">
        <v>3200</v>
      </c>
      <c r="AF11" s="25">
        <f>AA11+(AB11*16*(36-B11-((112-C11)/112)))-AC11</f>
        <v>5915.1</v>
      </c>
      <c r="AG11" s="25">
        <f>AA11+(AB11*16*(34-B11-((112-C11)/112)))-AD11</f>
        <v>4268.3</v>
      </c>
      <c r="AH11" s="456">
        <f>AA11+(AB11*16*(32-B11-((112-C11)/112)))-AE11</f>
        <v>2771.5</v>
      </c>
      <c r="AI11" s="25">
        <f>(AF11)/(36-B11+((112-C11)/112))</f>
        <v>757.13280000000009</v>
      </c>
      <c r="AJ11" s="25">
        <f>(AG11)/(34-B11+((112-C11)/112))</f>
        <v>734.33118279569896</v>
      </c>
      <c r="AK11" s="429">
        <f>(AH11)/(32-B11+((112-C11)/112))</f>
        <v>726.95081967213116</v>
      </c>
    </row>
    <row r="12" spans="1:37" x14ac:dyDescent="0.25">
      <c r="A12" s="423" t="s">
        <v>885</v>
      </c>
      <c r="B12" s="448">
        <v>29</v>
      </c>
      <c r="C12" s="25">
        <v>80</v>
      </c>
      <c r="D12" s="42" t="s">
        <v>168</v>
      </c>
      <c r="E12" s="449">
        <v>4</v>
      </c>
      <c r="F12" s="450">
        <v>1</v>
      </c>
      <c r="G12" s="451">
        <v>6</v>
      </c>
      <c r="H12" s="36">
        <v>0</v>
      </c>
      <c r="I12" s="36">
        <v>2</v>
      </c>
      <c r="J12" s="36">
        <v>4</v>
      </c>
      <c r="K12" s="36">
        <v>7</v>
      </c>
      <c r="L12" s="36">
        <v>13</v>
      </c>
      <c r="M12" s="36">
        <v>12</v>
      </c>
      <c r="N12" s="452">
        <v>7</v>
      </c>
      <c r="O12" s="27">
        <f>((J12+F12+(LOG(G12)*4/3))*0.15)</f>
        <v>0.9056302500767287</v>
      </c>
      <c r="P12" s="27">
        <f>((M12+F12+(LOG(G12)*4/3))*0.552)+((K12+F12+(LOG(G12)*4/3))*0.576)+((L12+F12+(LOG(G12)*4/3))*0.195)</f>
        <v>15.886658805676749</v>
      </c>
      <c r="Q12" s="27">
        <f>((M12+F12+(LOG(G12)*4/3))*0.607)+((L12+F12+(LOG(G12)*4/3))*0.248)</f>
        <v>12.250092425437353</v>
      </c>
      <c r="R12" s="453">
        <f>((M12+F12+(LOG(G12)*4/3))*0.223)+((K12+F12+(LOG(G12)*4/3))*0)+((L12+F12+(LOG(G12)*4/3))*0)</f>
        <v>3.1303703051140701</v>
      </c>
      <c r="S12" s="27">
        <f>((J12+F12+(LOG(G12)*4/3))*0.406)</f>
        <v>2.4512392102076794</v>
      </c>
      <c r="T12" s="27">
        <f>IF(D12="TEC",((K12+F12+(LOG(G12)*4/3))*0.15)+((L12+F12+(LOG(G12)*4/3))*0.324)+((M12+F12+(LOG(G12)*4/3))*0.127),((K12+F12+(LOG(G12)*4/3))*0.144)+((L12+F12+(LOG(G12)*4/3))*0.25)+((M12+F12+(LOG(G12)*4/3))*0.127))</f>
        <v>6.843555735266504</v>
      </c>
      <c r="U12" s="27">
        <f>IF(D12="TEC",((L12+F12+(LOG(G12)*4/3))*0.543)+((M12+F12+(LOG(G12)*4/3))*0.583),((L12+F12+(LOG(G12)*4/3))*0.543)+((M12+F12+(LOG(G12)*4/3))*0.583))</f>
        <v>16.349264410575977</v>
      </c>
      <c r="V12" s="453">
        <f>T12</f>
        <v>6.843555735266504</v>
      </c>
      <c r="W12" s="27">
        <f>((J12+F12+(LOG(G12)*4/3))*0.25)</f>
        <v>1.5093837501278813</v>
      </c>
      <c r="X12" s="27">
        <f>((M12+F12+(LOG(G12)*4/3))*0.26)+((K12+F12+(LOG(G12)*4/3))*0.221)+((L12+F12+(LOG(G12)*4/3))*0.142)</f>
        <v>7.7823843053186792</v>
      </c>
      <c r="Y12" s="27">
        <f>((M12+F12+(LOG(G12)*4/3))*1)+((L12+F12+(LOG(G12)*4/3))*0.369)</f>
        <v>19.586385415700278</v>
      </c>
      <c r="Z12" s="453">
        <f>X12</f>
        <v>7.7823843053186792</v>
      </c>
      <c r="AA12">
        <v>3400</v>
      </c>
      <c r="AB12" s="454">
        <v>11.6</v>
      </c>
      <c r="AC12" s="41">
        <v>700</v>
      </c>
      <c r="AD12" s="41">
        <v>1000</v>
      </c>
      <c r="AE12" s="455">
        <v>1500</v>
      </c>
      <c r="AF12" s="25">
        <f>AA12+(AB12*16*(36-B12-((112-C12)/112)))-AC12</f>
        <v>3946.1714285714288</v>
      </c>
      <c r="AG12" s="25">
        <f>AA12+(AB12*16*(34-B12-((112-C12)/112)))-AD12</f>
        <v>3274.971428571429</v>
      </c>
      <c r="AH12" s="456">
        <f>AA12+(AB12*16*(32-B12-((112-C12)/112)))-AE12</f>
        <v>2403.7714285714287</v>
      </c>
      <c r="AI12" s="25">
        <f>(AF12)/(36-B12+((112-C12)/112))</f>
        <v>541.6313725490196</v>
      </c>
      <c r="AJ12" s="25">
        <f>(AG12)/(34-B12+((112-C12)/112))</f>
        <v>619.58918918918926</v>
      </c>
      <c r="AK12" s="456">
        <f>(AH12)/(32-B12+((112-C12)/112))</f>
        <v>731.5826086956522</v>
      </c>
    </row>
    <row r="13" spans="1:37" x14ac:dyDescent="0.25">
      <c r="A13" s="423" t="s">
        <v>887</v>
      </c>
      <c r="B13" s="448">
        <v>29</v>
      </c>
      <c r="C13" s="25">
        <v>13</v>
      </c>
      <c r="D13" s="42" t="s">
        <v>168</v>
      </c>
      <c r="E13" s="449">
        <v>4</v>
      </c>
      <c r="F13" s="450">
        <v>1</v>
      </c>
      <c r="G13" s="451">
        <v>5</v>
      </c>
      <c r="H13" s="36">
        <v>0</v>
      </c>
      <c r="I13" s="36">
        <v>2</v>
      </c>
      <c r="J13" s="36">
        <v>6</v>
      </c>
      <c r="K13" s="36">
        <v>11</v>
      </c>
      <c r="L13" s="36">
        <v>13</v>
      </c>
      <c r="M13" s="36">
        <v>12</v>
      </c>
      <c r="N13" s="452">
        <v>12</v>
      </c>
      <c r="O13" s="27">
        <f>((J13+F13+(LOG(G13)*4/3))*0.15)</f>
        <v>1.1897940008672037</v>
      </c>
      <c r="P13" s="27">
        <f>((M13+F13+(LOG(G13)*4/3))*0.552)+((K13+F13+(LOG(G13)*4/3))*0.576)+((L13+F13+(LOG(G13)*4/3))*0.195)</f>
        <v>18.050983087648735</v>
      </c>
      <c r="Q13" s="27">
        <f>((M13+F13+(LOG(G13)*4/3))*0.607)+((L13+F13+(LOG(G13)*4/3))*0.248)</f>
        <v>12.159825804943059</v>
      </c>
      <c r="R13" s="453">
        <f>((M13+F13+(LOG(G13)*4/3))*0.223)+((K13+F13+(LOG(G13)*4/3))*0)+((L13+F13+(LOG(G13)*4/3))*0)</f>
        <v>3.1068270812892429</v>
      </c>
      <c r="S13" s="27">
        <f>((J13+F13+(LOG(G13)*4/3))*0.406)</f>
        <v>3.2203757623472318</v>
      </c>
      <c r="T13" s="27">
        <f>IF(D13="TEC",((K13+F13+(LOG(G13)*4/3))*0.15)+((L13+F13+(LOG(G13)*4/3))*0.324)+((M13+F13+(LOG(G13)*4/3))*0.127),((K13+F13+(LOG(G13)*4/3))*0.144)+((L13+F13+(LOG(G13)*4/3))*0.25)+((M13+F13+(LOG(G13)*4/3))*0.127))</f>
        <v>7.364551163012087</v>
      </c>
      <c r="U13" s="27">
        <f>IF(D13="TEC",((L13+F13+(LOG(G13)*4/3))*0.543)+((M13+F13+(LOG(G13)*4/3))*0.583),((L13+F13+(LOG(G13)*4/3))*0.543)+((M13+F13+(LOG(G13)*4/3))*0.583))</f>
        <v>16.230386966509812</v>
      </c>
      <c r="V13" s="453">
        <f>T13</f>
        <v>7.364551163012087</v>
      </c>
      <c r="W13" s="27">
        <f>((J13+F13+(LOG(G13)*4/3))*0.25)</f>
        <v>1.9829900014453397</v>
      </c>
      <c r="X13" s="27">
        <f>((M13+F13+(LOG(G13)*4/3))*0.26)+((K13+F13+(LOG(G13)*4/3))*0.221)+((L13+F13+(LOG(G13)*4/3))*0.142)</f>
        <v>8.6006110836017857</v>
      </c>
      <c r="Y13" s="27">
        <f>((M13+F13+(LOG(G13)*4/3))*1)+((L13+F13+(LOG(G13)*4/3))*0.369)</f>
        <v>19.441853247914679</v>
      </c>
      <c r="Z13" s="453">
        <f>X13</f>
        <v>8.6006110836017857</v>
      </c>
      <c r="AA13">
        <v>5100</v>
      </c>
      <c r="AB13" s="454">
        <v>16</v>
      </c>
      <c r="AC13" s="41">
        <v>1200</v>
      </c>
      <c r="AD13" s="41">
        <v>1500</v>
      </c>
      <c r="AE13" s="455">
        <v>2500</v>
      </c>
      <c r="AF13" s="25">
        <f>AA13+(AB13*16*(36-B13-((112-C13)/112)))-AC13</f>
        <v>5465.7142857142862</v>
      </c>
      <c r="AG13" s="25">
        <f>AA13+(AB13*16*(34-B13-((112-C13)/112)))-AD13</f>
        <v>4653.7142857142862</v>
      </c>
      <c r="AH13" s="456">
        <f>AA13+(AB13*16*(32-B13-((112-C13)/112)))-AE13</f>
        <v>3141.7142857142862</v>
      </c>
      <c r="AI13" s="25">
        <f>(AF13)/(36-B13+((112-C13)/112))</f>
        <v>693.27293318233308</v>
      </c>
      <c r="AJ13" s="25">
        <f>(AG13)/(34-B13+((112-C13)/112))</f>
        <v>790.91957511380895</v>
      </c>
      <c r="AK13" s="456">
        <f>(AH13)/(32-B13+((112-C13)/112))</f>
        <v>808.9011494252876</v>
      </c>
    </row>
    <row r="14" spans="1:37" x14ac:dyDescent="0.25">
      <c r="A14" s="423" t="s">
        <v>974</v>
      </c>
      <c r="B14" s="278">
        <v>27</v>
      </c>
      <c r="C14" s="25">
        <v>26</v>
      </c>
      <c r="D14" s="42" t="s">
        <v>165</v>
      </c>
      <c r="E14" s="422">
        <v>0</v>
      </c>
      <c r="F14" s="424">
        <v>1</v>
      </c>
      <c r="G14" s="425">
        <v>4</v>
      </c>
      <c r="H14" s="36">
        <v>0</v>
      </c>
      <c r="I14" s="36">
        <v>8</v>
      </c>
      <c r="J14" s="36">
        <v>7</v>
      </c>
      <c r="K14" s="36">
        <v>7</v>
      </c>
      <c r="L14" s="36">
        <v>7</v>
      </c>
      <c r="M14" s="36">
        <v>14</v>
      </c>
      <c r="N14" s="426">
        <v>1</v>
      </c>
      <c r="O14" s="27">
        <f>((J14+F14+(LOG(G14)*4/3))*0.15)</f>
        <v>1.3204119982655926</v>
      </c>
      <c r="P14" s="27">
        <f>((M14+F14+(LOG(G14)*4/3))*0.552)+((K14+F14+(LOG(G14)*4/3))*0.576)+((L14+F14+(LOG(G14)*4/3))*0.195)</f>
        <v>15.510033824702527</v>
      </c>
      <c r="Q14" s="27">
        <f>((M14+F14+(LOG(G14)*4/3))*0.607)+((L14+F14+(LOG(G14)*4/3))*0.248)</f>
        <v>11.775348390113878</v>
      </c>
      <c r="R14" s="427">
        <f>((M14+F14+(LOG(G14)*4/3))*0.223)+((K14+F14+(LOG(G14)*4/3))*0)+((L14+F14+(LOG(G14)*4/3))*0)</f>
        <v>3.5240125040881809</v>
      </c>
      <c r="S14" s="27">
        <f>((J14+F14+(LOG(G14)*4/3))*0.406)</f>
        <v>3.5739151419722042</v>
      </c>
      <c r="T14" s="27">
        <f>IF(D14="TEC",((K14+F14+(LOG(G14)*4/3))*0.15)+((L14+F14+(LOG(G14)*4/3))*0.324)+((M14+F14+(LOG(G14)*4/3))*0.127),((K14+F14+(LOG(G14)*4/3))*0.144)+((L14+F14+(LOG(G14)*4/3))*0.25)+((M14+F14+(LOG(G14)*4/3))*0.127))</f>
        <v>5.4752310073091586</v>
      </c>
      <c r="U14" s="27">
        <f>IF(D14="TEC",((L14+F14+(LOG(G14)*4/3))*0.543)+((M14+F14+(LOG(G14)*4/3))*0.583),((L14+F14+(LOG(G14)*4/3))*0.543)+((M14+F14+(LOG(G14)*4/3))*0.583))</f>
        <v>13.992892733647048</v>
      </c>
      <c r="V14" s="427">
        <f>T14</f>
        <v>5.4752310073091586</v>
      </c>
      <c r="W14" s="27">
        <f>((J14+F14+(LOG(G14)*4/3))*0.25)</f>
        <v>2.2006866637759877</v>
      </c>
      <c r="X14" s="27">
        <f>((M14+F14+(LOG(G14)*4/3))*0.26)+((K14+F14+(LOG(G14)*4/3))*0.221)+((L14+F14+(LOG(G14)*4/3))*0.142)</f>
        <v>7.3041111661297613</v>
      </c>
      <c r="Y14" s="27">
        <f>((M14+F14+(LOG(G14)*4/3))*1)+((L14+F14+(LOG(G14)*4/3))*0.369)</f>
        <v>19.050960170837307</v>
      </c>
      <c r="Z14" s="427">
        <f>X14</f>
        <v>7.3041111661297613</v>
      </c>
      <c r="AA14" s="459">
        <v>5600</v>
      </c>
      <c r="AB14" s="286">
        <v>24.6</v>
      </c>
      <c r="AC14" s="41">
        <v>980</v>
      </c>
      <c r="AD14" s="41">
        <v>1600</v>
      </c>
      <c r="AE14" s="428">
        <v>2500</v>
      </c>
      <c r="AF14" s="25">
        <f>AA14+(AB14*16*(36-B14-((112-C14)/112)))-AC14</f>
        <v>7860.1714285714297</v>
      </c>
      <c r="AG14" s="25">
        <f>AA14+(AB14*16*(34-B14-((112-C14)/112)))-AD14</f>
        <v>6452.971428571429</v>
      </c>
      <c r="AH14" s="429">
        <f>AA14+(AB14*16*(32-B14-((112-C14)/112)))-AE14</f>
        <v>4765.7714285714283</v>
      </c>
      <c r="AI14" s="25">
        <f>(AF14)/(36-B14+((112-C14)/112))</f>
        <v>804.69762340036584</v>
      </c>
      <c r="AJ14" s="25">
        <f>(AG14)/(34-B14+((112-C14)/112))</f>
        <v>830.72735632183912</v>
      </c>
      <c r="AK14" s="429">
        <f>(AH14)/(32-B14+((112-C14)/112))</f>
        <v>826.26377708978316</v>
      </c>
    </row>
    <row r="15" spans="1:37" x14ac:dyDescent="0.25">
      <c r="A15" s="423" t="s">
        <v>892</v>
      </c>
      <c r="B15" s="448">
        <v>27</v>
      </c>
      <c r="C15" s="25">
        <v>72</v>
      </c>
      <c r="D15" s="42" t="s">
        <v>168</v>
      </c>
      <c r="E15" s="449">
        <v>4</v>
      </c>
      <c r="F15" s="450">
        <v>1</v>
      </c>
      <c r="G15" s="451">
        <v>6</v>
      </c>
      <c r="H15" s="36">
        <v>0</v>
      </c>
      <c r="I15" s="36">
        <v>3</v>
      </c>
      <c r="J15" s="36">
        <v>3</v>
      </c>
      <c r="K15" s="36">
        <v>6</v>
      </c>
      <c r="L15" s="36">
        <v>10</v>
      </c>
      <c r="M15" s="36">
        <v>14</v>
      </c>
      <c r="N15" s="452">
        <v>12</v>
      </c>
      <c r="O15" s="27">
        <f>((J15+F15+(LOG(G15)*4/3))*0.15)</f>
        <v>0.75563025007672879</v>
      </c>
      <c r="P15" s="27">
        <f>((M15+F15+(LOG(G15)*4/3))*0.552)+((K15+F15+(LOG(G15)*4/3))*0.576)+((L15+F15+(LOG(G15)*4/3))*0.195)</f>
        <v>15.829658805676747</v>
      </c>
      <c r="Q15" s="27">
        <f>((M15+F15+(LOG(G15)*4/3))*0.607)+((L15+F15+(LOG(G15)*4/3))*0.248)</f>
        <v>12.720092425437354</v>
      </c>
      <c r="R15" s="453">
        <f>((M15+F15+(LOG(G15)*4/3))*0.223)+((K15+F15+(LOG(G15)*4/3))*0)+((L15+F15+(LOG(G15)*4/3))*0)</f>
        <v>3.5763703051140703</v>
      </c>
      <c r="S15" s="27">
        <f>((J15+F15+(LOG(G15)*4/3))*0.406)</f>
        <v>2.0452392102076793</v>
      </c>
      <c r="T15" s="27">
        <f>IF(D15="TEC",((K15+F15+(LOG(G15)*4/3))*0.15)+((L15+F15+(LOG(G15)*4/3))*0.324)+((M15+F15+(LOG(G15)*4/3))*0.127),((K15+F15+(LOG(G15)*4/3))*0.144)+((L15+F15+(LOG(G15)*4/3))*0.25)+((M15+F15+(LOG(G15)*4/3))*0.127))</f>
        <v>6.2035557352665052</v>
      </c>
      <c r="U15" s="27">
        <f>IF(D15="TEC",((L15+F15+(LOG(G15)*4/3))*0.543)+((M15+F15+(LOG(G15)*4/3))*0.583),((L15+F15+(LOG(G15)*4/3))*0.543)+((M15+F15+(LOG(G15)*4/3))*0.583))</f>
        <v>15.886264410575976</v>
      </c>
      <c r="V15" s="453">
        <f>T15</f>
        <v>6.2035557352665052</v>
      </c>
      <c r="W15" s="27">
        <f>((J15+F15+(LOG(G15)*4/3))*0.25)</f>
        <v>1.2593837501278813</v>
      </c>
      <c r="X15" s="27">
        <f>((M15+F15+(LOG(G15)*4/3))*0.26)+((K15+F15+(LOG(G15)*4/3))*0.221)+((L15+F15+(LOG(G15)*4/3))*0.142)</f>
        <v>7.6553843053186803</v>
      </c>
      <c r="Y15" s="27">
        <f>((M15+F15+(LOG(G15)*4/3))*1)+((L15+F15+(LOG(G15)*4/3))*0.369)</f>
        <v>20.479385415700278</v>
      </c>
      <c r="Z15" s="453">
        <f>X15</f>
        <v>7.6553843053186803</v>
      </c>
      <c r="AA15">
        <v>4750</v>
      </c>
      <c r="AB15" s="454">
        <f>22.4*1.2</f>
        <v>26.88</v>
      </c>
      <c r="AC15" s="41">
        <v>900</v>
      </c>
      <c r="AD15" s="41">
        <v>1500</v>
      </c>
      <c r="AE15" s="455">
        <v>2300</v>
      </c>
      <c r="AF15" s="25">
        <f>AA15+(AB15*16*(36-B15-((112-C15)/112)))-AC15</f>
        <v>7567.119999999999</v>
      </c>
      <c r="AG15" s="25">
        <f>AA15+(AB15*16*(34-B15-((112-C15)/112)))-AD15</f>
        <v>6106.96</v>
      </c>
      <c r="AH15" s="456">
        <f>AA15+(AB15*16*(32-B15-((112-C15)/112)))-AE15</f>
        <v>4446.8</v>
      </c>
      <c r="AI15" s="25">
        <f>(AF15)/(36-B15+((112-C15)/112))</f>
        <v>808.69984732824412</v>
      </c>
      <c r="AJ15" s="25">
        <f>(AG15)/(34-B15+((112-C15)/112))</f>
        <v>830.07223300970884</v>
      </c>
      <c r="AK15" s="456">
        <f>(AH15)/(32-B15+((112-C15)/112))</f>
        <v>830.06933333333347</v>
      </c>
    </row>
    <row r="16" spans="1:37" x14ac:dyDescent="0.25">
      <c r="A16" s="423" t="s">
        <v>896</v>
      </c>
      <c r="B16" s="448">
        <v>25</v>
      </c>
      <c r="C16" s="25">
        <v>86</v>
      </c>
      <c r="D16" s="42" t="s">
        <v>178</v>
      </c>
      <c r="E16" s="449">
        <v>6</v>
      </c>
      <c r="F16" s="450">
        <v>1</v>
      </c>
      <c r="G16" s="451">
        <v>4</v>
      </c>
      <c r="H16" s="36">
        <v>0</v>
      </c>
      <c r="I16" s="36">
        <v>2</v>
      </c>
      <c r="J16" s="36">
        <v>9</v>
      </c>
      <c r="K16" s="36">
        <v>9</v>
      </c>
      <c r="L16" s="36">
        <v>8</v>
      </c>
      <c r="M16" s="36">
        <v>12</v>
      </c>
      <c r="N16" s="452">
        <v>2</v>
      </c>
      <c r="O16" s="27">
        <f>((J16+F16+(LOG(G16)*4/3))*0.15)</f>
        <v>1.6204119982655925</v>
      </c>
      <c r="P16" s="27">
        <f>((M16+F16+(LOG(G16)*4/3))*0.552)+((K16+F16+(LOG(G16)*4/3))*0.576)+((L16+F16+(LOG(G16)*4/3))*0.195)</f>
        <v>15.753033824702527</v>
      </c>
      <c r="Q16" s="27">
        <f>((M16+F16+(LOG(G16)*4/3))*0.607)+((L16+F16+(LOG(G16)*4/3))*0.248)</f>
        <v>10.809348390113877</v>
      </c>
      <c r="R16" s="453">
        <f>((M16+F16+(LOG(G16)*4/3))*0.223)+((K16+F16+(LOG(G16)*4/3))*0)+((L16+F16+(LOG(G16)*4/3))*0)</f>
        <v>3.0780125040881812</v>
      </c>
      <c r="S16" s="27">
        <f>((J16+F16+(LOG(G16)*4/3))*0.406)</f>
        <v>4.3859151419722044</v>
      </c>
      <c r="T16" s="27">
        <f>IF(D16="TEC",((K16+F16+(LOG(G16)*4/3))*0.15)+((L16+F16+(LOG(G16)*4/3))*0.324)+((M16+F16+(LOG(G16)*4/3))*0.127),((K16+F16+(LOG(G16)*4/3))*0.144)+((L16+F16+(LOG(G16)*4/3))*0.25)+((M16+F16+(LOG(G16)*4/3))*0.127))</f>
        <v>5.7592310073091575</v>
      </c>
      <c r="U16" s="27">
        <f>IF(D16="TEC",((L16+F16+(LOG(G16)*4/3))*0.543)+((M16+F16+(LOG(G16)*4/3))*0.583),((L16+F16+(LOG(G16)*4/3))*0.543)+((M16+F16+(LOG(G16)*4/3))*0.583))</f>
        <v>13.369892733647049</v>
      </c>
      <c r="V16" s="453">
        <f>T16</f>
        <v>5.7592310073091575</v>
      </c>
      <c r="W16" s="27">
        <f>((J16+F16+(LOG(G16)*4/3))*0.25)</f>
        <v>2.7006866637759877</v>
      </c>
      <c r="X16" s="27">
        <f>((M16+F16+(LOG(G16)*4/3))*0.26)+((K16+F16+(LOG(G16)*4/3))*0.221)+((L16+F16+(LOG(G16)*4/3))*0.142)</f>
        <v>7.3681111661297614</v>
      </c>
      <c r="Y16" s="27">
        <f>((M16+F16+(LOG(G16)*4/3))*1)+((L16+F16+(LOG(G16)*4/3))*0.369)</f>
        <v>17.419960170837307</v>
      </c>
      <c r="Z16" s="453">
        <f>X16</f>
        <v>7.3681111661297614</v>
      </c>
      <c r="AA16">
        <v>6600</v>
      </c>
      <c r="AB16" s="454">
        <v>11.8</v>
      </c>
      <c r="AC16" s="41">
        <v>900</v>
      </c>
      <c r="AD16" s="41">
        <v>1800</v>
      </c>
      <c r="AE16" s="455">
        <v>1820</v>
      </c>
      <c r="AF16" s="25">
        <f>AA16+(AB16*16*(36-B16-((112-C16)/112)))-AC16</f>
        <v>7732.971428571429</v>
      </c>
      <c r="AG16" s="25">
        <f>AA16+(AB16*16*(34-B16-((112-C16)/112)))-AD16</f>
        <v>6455.3714285714286</v>
      </c>
      <c r="AH16" s="456">
        <f>AA16+(AB16*16*(32-B16-((112-C16)/112)))-AE16</f>
        <v>6057.7714285714283</v>
      </c>
      <c r="AI16" s="25">
        <f>(AF16)/(36-B16+((112-C16)/112))</f>
        <v>688.46804451510332</v>
      </c>
      <c r="AJ16" s="25">
        <f>(AG16)/(34-B16+((112-C16)/112))</f>
        <v>699.22785299806571</v>
      </c>
      <c r="AK16" s="456">
        <f>(AH16)/(32-B16+((112-C16)/112))</f>
        <v>837.61777777777775</v>
      </c>
    </row>
    <row r="17" spans="1:39" x14ac:dyDescent="0.25">
      <c r="A17" s="423" t="s">
        <v>899</v>
      </c>
      <c r="B17" s="278">
        <v>23</v>
      </c>
      <c r="C17" s="25">
        <v>77</v>
      </c>
      <c r="D17" s="42" t="s">
        <v>165</v>
      </c>
      <c r="E17" s="422">
        <v>4</v>
      </c>
      <c r="F17" s="424">
        <v>1</v>
      </c>
      <c r="G17" s="425">
        <v>4</v>
      </c>
      <c r="H17" s="36">
        <v>0</v>
      </c>
      <c r="I17" s="36">
        <v>3</v>
      </c>
      <c r="J17" s="36">
        <v>5</v>
      </c>
      <c r="K17" s="36">
        <v>5</v>
      </c>
      <c r="L17" s="36">
        <v>13</v>
      </c>
      <c r="M17" s="36">
        <v>14</v>
      </c>
      <c r="N17" s="426">
        <v>4</v>
      </c>
      <c r="O17" s="27">
        <f>((J17+F17+(LOG(G17)*4/3))*0.15)</f>
        <v>1.0204119982655924</v>
      </c>
      <c r="P17" s="27">
        <f>((M17+F17+(LOG(G17)*4/3))*0.552)+((K17+F17+(LOG(G17)*4/3))*0.576)+((L17+F17+(LOG(G17)*4/3))*0.195)</f>
        <v>15.528033824702527</v>
      </c>
      <c r="Q17" s="27">
        <f>((M17+F17+(LOG(G17)*4/3))*0.607)+((L17+F17+(LOG(G17)*4/3))*0.248)</f>
        <v>13.263348390113878</v>
      </c>
      <c r="R17" s="427">
        <f>((M17+F17+(LOG(G17)*4/3))*0.223)+((K17+F17+(LOG(G17)*4/3))*0)+((L17+F17+(LOG(G17)*4/3))*0)</f>
        <v>3.5240125040881809</v>
      </c>
      <c r="S17" s="27">
        <f>((J17+F17+(LOG(G17)*4/3))*0.406)</f>
        <v>2.7619151419722039</v>
      </c>
      <c r="T17" s="27">
        <f>IF(D17="TEC",((K17+F17+(LOG(G17)*4/3))*0.15)+((L17+F17+(LOG(G17)*4/3))*0.324)+((M17+F17+(LOG(G17)*4/3))*0.127),((K17+F17+(LOG(G17)*4/3))*0.144)+((L17+F17+(LOG(G17)*4/3))*0.25)+((M17+F17+(LOG(G17)*4/3))*0.127))</f>
        <v>6.6872310073091583</v>
      </c>
      <c r="U17" s="27">
        <f>IF(D17="TEC",((L17+F17+(LOG(G17)*4/3))*0.543)+((M17+F17+(LOG(G17)*4/3))*0.583),((L17+F17+(LOG(G17)*4/3))*0.543)+((M17+F17+(LOG(G17)*4/3))*0.583))</f>
        <v>17.250892733647049</v>
      </c>
      <c r="V17" s="427">
        <f>T17</f>
        <v>6.6872310073091583</v>
      </c>
      <c r="W17" s="27">
        <f>((J17+F17+(LOG(G17)*4/3))*0.25)</f>
        <v>1.7006866637759874</v>
      </c>
      <c r="X17" s="27">
        <f>((M17+F17+(LOG(G17)*4/3))*0.26)+((K17+F17+(LOG(G17)*4/3))*0.221)+((L17+F17+(LOG(G17)*4/3))*0.142)</f>
        <v>7.7141111661297606</v>
      </c>
      <c r="Y17" s="27">
        <f>((M17+F17+(LOG(G17)*4/3))*1)+((L17+F17+(LOG(G17)*4/3))*0.369)</f>
        <v>21.264960170837309</v>
      </c>
      <c r="Z17" s="427">
        <f>X17</f>
        <v>7.7141111661297606</v>
      </c>
      <c r="AA17">
        <v>8762</v>
      </c>
      <c r="AB17" s="286">
        <v>29.3</v>
      </c>
      <c r="AC17" s="41">
        <v>1500</v>
      </c>
      <c r="AD17" s="41">
        <v>3500</v>
      </c>
      <c r="AE17" s="428">
        <v>5000</v>
      </c>
      <c r="AF17" s="25">
        <f>AA17+(AB17*16*(36-B17-((112-C17)/112)))-AC17</f>
        <v>13209.900000000001</v>
      </c>
      <c r="AG17" s="25">
        <f>AA17+(AB17*16*(34-B17-((112-C17)/112)))-AD17</f>
        <v>10272.299999999999</v>
      </c>
      <c r="AH17" s="429">
        <f>AA17+(AB17*16*(32-B17-((112-C17)/112)))-AE17</f>
        <v>7834.7000000000007</v>
      </c>
      <c r="AI17" s="25">
        <f>(AF17)/(36-B17+((112-C17)/112))</f>
        <v>992.29295774647903</v>
      </c>
      <c r="AJ17" s="25">
        <f>(AG17)/(34-B17+((112-C17)/112))</f>
        <v>908.04861878453028</v>
      </c>
      <c r="AK17" s="429">
        <f>(AH17)/(32-B17+((112-C17)/112))</f>
        <v>841.31006711409407</v>
      </c>
    </row>
    <row r="18" spans="1:39" x14ac:dyDescent="0.25">
      <c r="A18" s="423" t="s">
        <v>898</v>
      </c>
      <c r="B18" s="278">
        <v>25</v>
      </c>
      <c r="C18" s="25">
        <v>4</v>
      </c>
      <c r="D18" s="42" t="s">
        <v>168</v>
      </c>
      <c r="E18" s="422">
        <v>2</v>
      </c>
      <c r="F18" s="424">
        <v>1</v>
      </c>
      <c r="G18" s="425">
        <v>7</v>
      </c>
      <c r="H18" s="36">
        <v>0</v>
      </c>
      <c r="I18" s="36">
        <v>4</v>
      </c>
      <c r="J18" s="36">
        <v>11</v>
      </c>
      <c r="K18" s="36">
        <v>2</v>
      </c>
      <c r="L18" s="36">
        <v>11</v>
      </c>
      <c r="M18" s="36">
        <v>13</v>
      </c>
      <c r="N18" s="426">
        <v>5</v>
      </c>
      <c r="O18" s="27">
        <f>((J18+F18+(LOG(G18)*4/3))*0.15)</f>
        <v>1.9690196080028513</v>
      </c>
      <c r="P18" s="27">
        <f>((M18+F18+(LOG(G18)*4/3))*0.552)+((K18+F18+(LOG(G18)*4/3))*0.576)+((L18+F18+(LOG(G18)*4/3))*0.195)</f>
        <v>13.286752942585149</v>
      </c>
      <c r="Q18" s="27">
        <f>((M18+F18+(LOG(G18)*4/3))*0.607)+((L18+F18+(LOG(G18)*4/3))*0.248)</f>
        <v>12.437411765616252</v>
      </c>
      <c r="R18" s="427">
        <f>((M18+F18+(LOG(G18)*4/3))*0.223)+((K18+F18+(LOG(G18)*4/3))*0)+((L18+F18+(LOG(G18)*4/3))*0)</f>
        <v>3.3732758172309056</v>
      </c>
      <c r="S18" s="27">
        <f>((J18+F18+(LOG(G18)*4/3))*0.406)</f>
        <v>5.3294797389943849</v>
      </c>
      <c r="T18" s="27">
        <f>IF(D18="TEC",((K18+F18+(LOG(G18)*4/3))*0.15)+((L18+F18+(LOG(G18)*4/3))*0.324)+((M18+F18+(LOG(G18)*4/3))*0.127),((K18+F18+(LOG(G18)*4/3))*0.144)+((L18+F18+(LOG(G18)*4/3))*0.25)+((M18+F18+(LOG(G18)*4/3))*0.127))</f>
        <v>5.7970614384632366</v>
      </c>
      <c r="U18" s="27">
        <f>IF(D18="TEC",((L18+F18+(LOG(G18)*4/3))*0.543)+((M18+F18+(LOG(G18)*4/3))*0.583),((L18+F18+(LOG(G18)*4/3))*0.543)+((M18+F18+(LOG(G18)*4/3))*0.583))</f>
        <v>15.94677385740807</v>
      </c>
      <c r="V18" s="427">
        <f>T18</f>
        <v>5.7970614384632366</v>
      </c>
      <c r="W18" s="27">
        <f>((J18+F18+(LOG(G18)*4/3))*0.25)</f>
        <v>3.2816993466714188</v>
      </c>
      <c r="X18" s="27">
        <f>((M18+F18+(LOG(G18)*4/3))*0.26)+((K18+F18+(LOG(G18)*4/3))*0.221)+((L18+F18+(LOG(G18)*4/3))*0.142)</f>
        <v>6.7089947719051759</v>
      </c>
      <c r="Y18" s="27">
        <f>((M18+F18+(LOG(G18)*4/3))*1)+((L18+F18+(LOG(G18)*4/3))*0.369)</f>
        <v>19.970585622372688</v>
      </c>
      <c r="Z18" s="427">
        <f>X18</f>
        <v>6.7089947719051759</v>
      </c>
      <c r="AA18">
        <v>8100</v>
      </c>
      <c r="AB18" s="286">
        <v>22.4</v>
      </c>
      <c r="AC18" s="41">
        <v>2000</v>
      </c>
      <c r="AD18" s="41">
        <v>3000</v>
      </c>
      <c r="AE18" s="428">
        <v>3500</v>
      </c>
      <c r="AF18" s="25">
        <f>AA18+(AB18*16*(36-B18-((112-C18)/112)))-AC18</f>
        <v>9696.7999999999993</v>
      </c>
      <c r="AG18" s="25">
        <f>AA18+(AB18*16*(34-B18-((112-C18)/112)))-AD18</f>
        <v>7980</v>
      </c>
      <c r="AH18" s="429">
        <f>AA18+(AB18*16*(32-B18-((112-C18)/112)))-AE18</f>
        <v>6763.2000000000007</v>
      </c>
      <c r="AI18" s="25">
        <f>(AF18)/(36-B18+((112-C18)/112))</f>
        <v>810.47880597014921</v>
      </c>
      <c r="AJ18" s="25">
        <f>(AG18)/(34-B18+((112-C18)/112))</f>
        <v>800.86021505376345</v>
      </c>
      <c r="AK18" s="429">
        <f>(AH18)/(32-B18+((112-C18)/112))</f>
        <v>849.19103139013464</v>
      </c>
    </row>
    <row r="19" spans="1:39" x14ac:dyDescent="0.25">
      <c r="A19" s="423" t="s">
        <v>980</v>
      </c>
      <c r="B19" s="278">
        <v>27</v>
      </c>
      <c r="C19" s="25">
        <v>36</v>
      </c>
      <c r="D19" s="42" t="s">
        <v>168</v>
      </c>
      <c r="E19" s="422">
        <v>6</v>
      </c>
      <c r="F19" s="424">
        <v>1</v>
      </c>
      <c r="G19" s="425">
        <v>5</v>
      </c>
      <c r="H19" s="36">
        <v>0</v>
      </c>
      <c r="I19" s="36">
        <v>4</v>
      </c>
      <c r="J19" s="36">
        <v>6</v>
      </c>
      <c r="K19" s="36">
        <v>7</v>
      </c>
      <c r="L19" s="36">
        <v>9</v>
      </c>
      <c r="M19" s="36">
        <v>14</v>
      </c>
      <c r="N19" s="426">
        <v>4</v>
      </c>
      <c r="O19" s="27">
        <f>((J19+F19+(LOG(G19)*4/3))*0.15)</f>
        <v>1.1897940008672037</v>
      </c>
      <c r="P19" s="27">
        <f>((M19+F19+(LOG(G19)*4/3))*0.552)+((K19+F19+(LOG(G19)*4/3))*0.576)+((L19+F19+(LOG(G19)*4/3))*0.195)</f>
        <v>16.070983087648735</v>
      </c>
      <c r="Q19" s="27">
        <f>((M19+F19+(LOG(G19)*4/3))*0.607)+((L19+F19+(LOG(G19)*4/3))*0.248)</f>
        <v>12.381825804943061</v>
      </c>
      <c r="R19" s="427">
        <f>((M19+F19+(LOG(G19)*4/3))*0.223)+((K19+F19+(LOG(G19)*4/3))*0)+((L19+F19+(LOG(G19)*4/3))*0)</f>
        <v>3.5528270812892426</v>
      </c>
      <c r="S19" s="27">
        <f>((J19+F19+(LOG(G19)*4/3))*0.406)</f>
        <v>3.2203757623472318</v>
      </c>
      <c r="T19" s="27">
        <f>IF(D19="TEC",((K19+F19+(LOG(G19)*4/3))*0.15)+((L19+F19+(LOG(G19)*4/3))*0.324)+((M19+F19+(LOG(G19)*4/3))*0.127),((K19+F19+(LOG(G19)*4/3))*0.144)+((L19+F19+(LOG(G19)*4/3))*0.25)+((M19+F19+(LOG(G19)*4/3))*0.127))</f>
        <v>6.0425511630120869</v>
      </c>
      <c r="U19" s="27">
        <f>IF(D19="TEC",((L19+F19+(LOG(G19)*4/3))*0.543)+((M19+F19+(LOG(G19)*4/3))*0.583),((L19+F19+(LOG(G19)*4/3))*0.543)+((M19+F19+(LOG(G19)*4/3))*0.583))</f>
        <v>15.224386966509808</v>
      </c>
      <c r="V19" s="427">
        <f>T19</f>
        <v>6.0425511630120869</v>
      </c>
      <c r="W19" s="27">
        <f>((J19+F19+(LOG(G19)*4/3))*0.25)</f>
        <v>1.9829900014453397</v>
      </c>
      <c r="X19" s="27">
        <f>((M19+F19+(LOG(G19)*4/3))*0.26)+((K19+F19+(LOG(G19)*4/3))*0.221)+((L19+F19+(LOG(G19)*4/3))*0.142)</f>
        <v>7.6686110836017853</v>
      </c>
      <c r="Y19" s="27">
        <f>((M19+F19+(LOG(G19)*4/3))*1)+((L19+F19+(LOG(G19)*4/3))*0.369)</f>
        <v>19.96585324791468</v>
      </c>
      <c r="Z19" s="427">
        <f>X19</f>
        <v>7.6686110836017853</v>
      </c>
      <c r="AA19">
        <v>6000</v>
      </c>
      <c r="AB19" s="286">
        <v>27.3</v>
      </c>
      <c r="AC19" s="41">
        <v>1400</v>
      </c>
      <c r="AD19" s="41">
        <v>1800</v>
      </c>
      <c r="AE19" s="428">
        <v>3000</v>
      </c>
      <c r="AF19" s="25">
        <f>AA19+(AB19*16*(36-B19-((112-C19)/112)))-AC19</f>
        <v>8234.7999999999993</v>
      </c>
      <c r="AG19" s="25">
        <f>AA19+(AB19*16*(34-B19-((112-C19)/112)))-AD19</f>
        <v>6961.2000000000007</v>
      </c>
      <c r="AH19" s="429">
        <f>AA19+(AB19*16*(32-B19-((112-C19)/112)))-AE19</f>
        <v>4887.6000000000004</v>
      </c>
      <c r="AI19" s="25">
        <f>(AF19)/(36-B19+((112-C19)/112))</f>
        <v>850.82804428044267</v>
      </c>
      <c r="AJ19" s="25">
        <f>(AG19)/(34-B19+((112-C19)/112))</f>
        <v>906.5748837209303</v>
      </c>
      <c r="AK19" s="429">
        <f>(AH19)/(32-B19+((112-C19)/112))</f>
        <v>860.70943396226414</v>
      </c>
    </row>
    <row r="20" spans="1:39" x14ac:dyDescent="0.25">
      <c r="A20" s="423" t="s">
        <v>894</v>
      </c>
      <c r="B20" s="278">
        <v>27</v>
      </c>
      <c r="C20" s="25">
        <v>10</v>
      </c>
      <c r="D20" s="42" t="s">
        <v>168</v>
      </c>
      <c r="E20" s="422">
        <v>3</v>
      </c>
      <c r="F20" s="424">
        <v>1</v>
      </c>
      <c r="G20" s="425">
        <v>5</v>
      </c>
      <c r="H20" s="36">
        <v>0</v>
      </c>
      <c r="I20" s="36">
        <v>1</v>
      </c>
      <c r="J20" s="36">
        <v>4</v>
      </c>
      <c r="K20" s="36">
        <v>2</v>
      </c>
      <c r="L20" s="36">
        <v>14</v>
      </c>
      <c r="M20" s="36">
        <v>13</v>
      </c>
      <c r="N20" s="426">
        <v>2</v>
      </c>
      <c r="O20" s="27">
        <f>((J20+F20+(LOG(G20)*4/3))*0.15)</f>
        <v>0.88979400086720373</v>
      </c>
      <c r="P20" s="27">
        <f>((M20+F20+(LOG(G20)*4/3))*0.552)+((K20+F20+(LOG(G20)*4/3))*0.576)+((L20+F20+(LOG(G20)*4/3))*0.195)</f>
        <v>13.613983087648737</v>
      </c>
      <c r="Q20" s="27">
        <f>((M20+F20+(LOG(G20)*4/3))*0.607)+((L20+F20+(LOG(G20)*4/3))*0.248)</f>
        <v>13.014825804943062</v>
      </c>
      <c r="R20" s="427">
        <f>((M20+F20+(LOG(G20)*4/3))*0.223)+((K20+F20+(LOG(G20)*4/3))*0)+((L20+F20+(LOG(G20)*4/3))*0)</f>
        <v>3.3298270812892428</v>
      </c>
      <c r="S20" s="27">
        <f>((J20+F20+(LOG(G20)*4/3))*0.406)</f>
        <v>2.4083757623472319</v>
      </c>
      <c r="T20" s="27">
        <f>IF(D20="TEC",((K20+F20+(LOG(G20)*4/3))*0.15)+((L20+F20+(LOG(G20)*4/3))*0.324)+((M20+F20+(LOG(G20)*4/3))*0.127),((K20+F20+(LOG(G20)*4/3))*0.144)+((L20+F20+(LOG(G20)*4/3))*0.25)+((M20+F20+(LOG(G20)*4/3))*0.127))</f>
        <v>6.4455511630120874</v>
      </c>
      <c r="U20" s="27">
        <f>IF(D20="TEC",((L20+F20+(LOG(G20)*4/3))*0.543)+((M20+F20+(LOG(G20)*4/3))*0.583),((L20+F20+(LOG(G20)*4/3))*0.543)+((M20+F20+(LOG(G20)*4/3))*0.583))</f>
        <v>17.35638696650981</v>
      </c>
      <c r="V20" s="427">
        <f>T20</f>
        <v>6.4455511630120874</v>
      </c>
      <c r="W20" s="27">
        <f>((J20+F20+(LOG(G20)*4/3))*0.25)</f>
        <v>1.4829900014453397</v>
      </c>
      <c r="X20" s="27">
        <f>((M20+F20+(LOG(G20)*4/3))*0.26)+((K20+F20+(LOG(G20)*4/3))*0.221)+((L20+F20+(LOG(G20)*4/3))*0.142)</f>
        <v>7.013611083601786</v>
      </c>
      <c r="Y20" s="27">
        <f>((M20+F20+(LOG(G20)*4/3))*1)+((L20+F20+(LOG(G20)*4/3))*0.369)</f>
        <v>20.810853247914679</v>
      </c>
      <c r="Z20" s="427">
        <f>X20</f>
        <v>7.013611083601786</v>
      </c>
      <c r="AA20">
        <v>5500</v>
      </c>
      <c r="AB20" s="286">
        <v>23.2</v>
      </c>
      <c r="AC20" s="41">
        <v>1200</v>
      </c>
      <c r="AD20" s="41">
        <v>1500</v>
      </c>
      <c r="AE20" s="428">
        <v>1900</v>
      </c>
      <c r="AF20" s="25">
        <f>AA20+(AB20*16*(36-B20-((112-C20)/112)))-AC20</f>
        <v>7302.7428571428572</v>
      </c>
      <c r="AG20" s="25">
        <f>AA20+(AB20*16*(34-B20-((112-C20)/112)))-AD20</f>
        <v>6260.3428571428576</v>
      </c>
      <c r="AH20" s="429">
        <f>AA20+(AB20*16*(32-B20-((112-C20)/112)))-AE20</f>
        <v>5117.9428571428571</v>
      </c>
      <c r="AI20" s="25">
        <f>(AF20)/(36-B20+((112-C20)/112))</f>
        <v>736.85333333333324</v>
      </c>
      <c r="AJ20" s="25">
        <f>(AG20)/(34-B20+((112-C20)/112))</f>
        <v>791.37516930022582</v>
      </c>
      <c r="AK20" s="429">
        <f>(AH20)/(32-B20+((112-C20)/112))</f>
        <v>865.87552870090633</v>
      </c>
    </row>
    <row r="21" spans="1:39" x14ac:dyDescent="0.25">
      <c r="A21" s="423" t="s">
        <v>889</v>
      </c>
      <c r="B21" s="278">
        <v>29</v>
      </c>
      <c r="C21" s="25">
        <v>20</v>
      </c>
      <c r="D21" s="42" t="s">
        <v>165</v>
      </c>
      <c r="E21" s="422">
        <v>5</v>
      </c>
      <c r="F21" s="424">
        <v>1</v>
      </c>
      <c r="G21" s="425">
        <v>7</v>
      </c>
      <c r="H21" s="36">
        <v>0</v>
      </c>
      <c r="I21" s="36">
        <v>4</v>
      </c>
      <c r="J21" s="36">
        <v>2</v>
      </c>
      <c r="K21" s="36">
        <v>2</v>
      </c>
      <c r="L21" s="36">
        <v>16</v>
      </c>
      <c r="M21" s="36">
        <v>12</v>
      </c>
      <c r="N21" s="426">
        <v>16</v>
      </c>
      <c r="O21" s="27">
        <f>((J21+F21+(LOG(G21)*4/3))*0.15)</f>
        <v>0.61901960800285127</v>
      </c>
      <c r="P21" s="27">
        <f>((M21+F21+(LOG(G21)*4/3))*0.552)+((K21+F21+(LOG(G21)*4/3))*0.576)+((L21+F21+(LOG(G21)*4/3))*0.195)</f>
        <v>13.709752942585149</v>
      </c>
      <c r="Q21" s="27">
        <f>((M21+F21+(LOG(G21)*4/3))*0.607)+((L21+F21+(LOG(G21)*4/3))*0.248)</f>
        <v>13.070411765616253</v>
      </c>
      <c r="R21" s="427">
        <f>((M21+F21+(LOG(G21)*4/3))*0.223)+((K21+F21+(LOG(G21)*4/3))*0)+((L21+F21+(LOG(G21)*4/3))*0)</f>
        <v>3.1502758172309058</v>
      </c>
      <c r="S21" s="27">
        <f>((J21+F21+(LOG(G21)*4/3))*0.406)</f>
        <v>1.6754797389943843</v>
      </c>
      <c r="T21" s="27">
        <f>IF(D21="TEC",((K21+F21+(LOG(G21)*4/3))*0.15)+((L21+F21+(LOG(G21)*4/3))*0.324)+((M21+F21+(LOG(G21)*4/3))*0.127),((K21+F21+(LOG(G21)*4/3))*0.144)+((L21+F21+(LOG(G21)*4/3))*0.25)+((M21+F21+(LOG(G21)*4/3))*0.127))</f>
        <v>6.9200614384632368</v>
      </c>
      <c r="U21" s="27">
        <f>IF(D21="TEC",((L21+F21+(LOG(G21)*4/3))*0.543)+((M21+F21+(LOG(G21)*4/3))*0.583),((L21+F21+(LOG(G21)*4/3))*0.543)+((M21+F21+(LOG(G21)*4/3))*0.583))</f>
        <v>18.078773857408073</v>
      </c>
      <c r="V21" s="427">
        <f>T21</f>
        <v>6.9200614384632368</v>
      </c>
      <c r="W21" s="27">
        <f>((J21+F21+(LOG(G21)*4/3))*0.25)</f>
        <v>1.0316993466714188</v>
      </c>
      <c r="X21" s="27">
        <f>((M21+F21+(LOG(G21)*4/3))*0.26)+((K21+F21+(LOG(G21)*4/3))*0.221)+((L21+F21+(LOG(G21)*4/3))*0.142)</f>
        <v>7.1589947719051761</v>
      </c>
      <c r="Y21" s="27">
        <f>((M21+F21+(LOG(G21)*4/3))*1)+((L21+F21+(LOG(G21)*4/3))*0.369)</f>
        <v>20.815585622372691</v>
      </c>
      <c r="Z21" s="427">
        <f>X21</f>
        <v>7.1589947719051761</v>
      </c>
      <c r="AA21">
        <v>3290</v>
      </c>
      <c r="AB21" s="286">
        <v>36.1</v>
      </c>
      <c r="AC21" s="41">
        <v>850</v>
      </c>
      <c r="AD21" s="41">
        <v>950</v>
      </c>
      <c r="AE21" s="428">
        <v>1200</v>
      </c>
      <c r="AF21" s="25">
        <f>AA21+(AB21*16*(36-B21-((112-C21)/112)))-AC21</f>
        <v>6008.7428571428572</v>
      </c>
      <c r="AG21" s="25">
        <f>AA21+(AB21*16*(34-B21-((112-C21)/112)))-AD21</f>
        <v>4753.5428571428574</v>
      </c>
      <c r="AH21" s="429">
        <f>AA21+(AB21*16*(32-B21-((112-C21)/112)))-AE21</f>
        <v>3348.3428571428576</v>
      </c>
      <c r="AI21" s="25">
        <f>(AF21)/(36-B21+((112-C21)/112))</f>
        <v>768.24109589041097</v>
      </c>
      <c r="AJ21" s="25">
        <f>(AG21)/(34-B21+((112-C21)/112))</f>
        <v>816.55950920245402</v>
      </c>
      <c r="AK21" s="429">
        <f>(AH21)/(32-B21+((112-C21)/112))</f>
        <v>876.20186915887871</v>
      </c>
    </row>
    <row r="22" spans="1:39" x14ac:dyDescent="0.25">
      <c r="A22" s="423" t="s">
        <v>893</v>
      </c>
      <c r="B22" s="278">
        <v>27</v>
      </c>
      <c r="C22" s="25">
        <v>103</v>
      </c>
      <c r="D22" s="42" t="s">
        <v>178</v>
      </c>
      <c r="E22" s="422">
        <v>3</v>
      </c>
      <c r="F22" s="424">
        <v>1</v>
      </c>
      <c r="G22" s="425">
        <v>6</v>
      </c>
      <c r="H22" s="36">
        <v>0</v>
      </c>
      <c r="I22" s="36">
        <v>4</v>
      </c>
      <c r="J22" s="36">
        <v>9</v>
      </c>
      <c r="K22" s="36">
        <v>1</v>
      </c>
      <c r="L22" s="36">
        <v>14</v>
      </c>
      <c r="M22" s="36">
        <v>12</v>
      </c>
      <c r="N22" s="426">
        <v>1</v>
      </c>
      <c r="O22" s="27">
        <f>((J22+F22+(LOG(G22)*4/3))*0.15)</f>
        <v>1.6556302500767288</v>
      </c>
      <c r="P22" s="27">
        <f>((M22+F22+(LOG(G22)*4/3))*0.552)+((K22+F22+(LOG(G22)*4/3))*0.576)+((L22+F22+(LOG(G22)*4/3))*0.195)</f>
        <v>12.62565880567675</v>
      </c>
      <c r="Q22" s="27">
        <f>((M22+F22+(LOG(G22)*4/3))*0.607)+((L22+F22+(LOG(G22)*4/3))*0.248)</f>
        <v>12.498092425437354</v>
      </c>
      <c r="R22" s="427">
        <f>((M22+F22+(LOG(G22)*4/3))*0.223)+((K22+F22+(LOG(G22)*4/3))*0)+((L22+F22+(LOG(G22)*4/3))*0)</f>
        <v>3.1303703051140701</v>
      </c>
      <c r="S22" s="27">
        <f>((J22+F22+(LOG(G22)*4/3))*0.406)</f>
        <v>4.4812392102076792</v>
      </c>
      <c r="T22" s="27">
        <f>IF(D22="TEC",((K22+F22+(LOG(G22)*4/3))*0.15)+((L22+F22+(LOG(G22)*4/3))*0.324)+((M22+F22+(LOG(G22)*4/3))*0.127),((K22+F22+(LOG(G22)*4/3))*0.144)+((L22+F22+(LOG(G22)*4/3))*0.25)+((M22+F22+(LOG(G22)*4/3))*0.127))</f>
        <v>6.229555735266505</v>
      </c>
      <c r="U22" s="27">
        <f>IF(D22="TEC",((L22+F22+(LOG(G22)*4/3))*0.543)+((M22+F22+(LOG(G22)*4/3))*0.583),((L22+F22+(LOG(G22)*4/3))*0.543)+((M22+F22+(LOG(G22)*4/3))*0.583))</f>
        <v>16.892264410575976</v>
      </c>
      <c r="V22" s="427">
        <f>T22</f>
        <v>6.229555735266505</v>
      </c>
      <c r="W22" s="27">
        <f>((J22+F22+(LOG(G22)*4/3))*0.25)</f>
        <v>2.7593837501278813</v>
      </c>
      <c r="X22" s="27">
        <f>((M22+F22+(LOG(G22)*4/3))*0.26)+((K22+F22+(LOG(G22)*4/3))*0.221)+((L22+F22+(LOG(G22)*4/3))*0.142)</f>
        <v>6.5983843053186799</v>
      </c>
      <c r="Y22" s="27">
        <f>((M22+F22+(LOG(G22)*4/3))*1)+((L22+F22+(LOG(G22)*4/3))*0.369)</f>
        <v>19.955385415700277</v>
      </c>
      <c r="Z22" s="427">
        <f>X22</f>
        <v>6.5983843053186799</v>
      </c>
      <c r="AA22">
        <v>5280</v>
      </c>
      <c r="AB22" s="286">
        <v>17.5</v>
      </c>
      <c r="AC22" s="41">
        <v>880</v>
      </c>
      <c r="AD22" s="41">
        <v>1100</v>
      </c>
      <c r="AE22" s="428">
        <v>2200</v>
      </c>
      <c r="AF22" s="25">
        <f>AA22+(AB22*16*(36-B22-((112-C22)/112)))-AC22</f>
        <v>6897.5</v>
      </c>
      <c r="AG22" s="25">
        <f>AA22+(AB22*16*(34-B22-((112-C22)/112)))-AD22</f>
        <v>6117.5</v>
      </c>
      <c r="AH22" s="429">
        <f>AA22+(AB22*16*(32-B22-((112-C22)/112)))-AE22</f>
        <v>4457.5</v>
      </c>
      <c r="AI22" s="25">
        <f>(AF22)/(36-B22+((112-C22)/112))</f>
        <v>759.60668633235014</v>
      </c>
      <c r="AJ22" s="25">
        <f>(AG22)/(34-B22+((112-C22)/112))</f>
        <v>864.01008827238331</v>
      </c>
      <c r="AK22" s="429">
        <f>(AH22)/(32-B22+((112-C22)/112))</f>
        <v>877.39894551845339</v>
      </c>
    </row>
    <row r="23" spans="1:39" x14ac:dyDescent="0.25">
      <c r="A23" s="457" t="s">
        <v>979</v>
      </c>
      <c r="B23" s="278">
        <v>27</v>
      </c>
      <c r="C23" s="25">
        <v>47</v>
      </c>
      <c r="D23" s="42" t="s">
        <v>168</v>
      </c>
      <c r="E23" s="422">
        <v>3</v>
      </c>
      <c r="F23" s="424">
        <v>1</v>
      </c>
      <c r="G23" s="425">
        <v>7</v>
      </c>
      <c r="H23" s="36">
        <v>0</v>
      </c>
      <c r="I23" s="36">
        <v>5</v>
      </c>
      <c r="J23" s="36">
        <v>5</v>
      </c>
      <c r="K23" s="36">
        <v>7</v>
      </c>
      <c r="L23" s="36">
        <v>11</v>
      </c>
      <c r="M23" s="36">
        <v>13</v>
      </c>
      <c r="N23" s="426">
        <v>8</v>
      </c>
      <c r="O23" s="27">
        <f>((J23+F23+(LOG(G23)*4/3))*0.15)</f>
        <v>1.0690196080028513</v>
      </c>
      <c r="P23" s="27">
        <f>((M23+F23+(LOG(G23)*4/3))*0.552)+((K23+F23+(LOG(G23)*4/3))*0.576)+((L23+F23+(LOG(G23)*4/3))*0.195)</f>
        <v>16.166752942585148</v>
      </c>
      <c r="Q23" s="27">
        <f>((M23+F23+(LOG(G23)*4/3))*0.607)+((L23+F23+(LOG(G23)*4/3))*0.248)</f>
        <v>12.437411765616252</v>
      </c>
      <c r="R23" s="427">
        <f>((M23+F23+(LOG(G23)*4/3))*0.223)+((K23+F23+(LOG(G23)*4/3))*0)+((L23+F23+(LOG(G23)*4/3))*0)</f>
        <v>3.3732758172309056</v>
      </c>
      <c r="S23" s="27">
        <f>((J23+F23+(LOG(G23)*4/3))*0.406)</f>
        <v>2.8934797389943845</v>
      </c>
      <c r="T23" s="27">
        <f>IF(D23="TEC",((K23+F23+(LOG(G23)*4/3))*0.15)+((L23+F23+(LOG(G23)*4/3))*0.324)+((M23+F23+(LOG(G23)*4/3))*0.127),((K23+F23+(LOG(G23)*4/3))*0.144)+((L23+F23+(LOG(G23)*4/3))*0.25)+((M23+F23+(LOG(G23)*4/3))*0.127))</f>
        <v>6.5170614384632373</v>
      </c>
      <c r="U23" s="27">
        <f>IF(D23="TEC",((L23+F23+(LOG(G23)*4/3))*0.543)+((M23+F23+(LOG(G23)*4/3))*0.583),((L23+F23+(LOG(G23)*4/3))*0.543)+((M23+F23+(LOG(G23)*4/3))*0.583))</f>
        <v>15.94677385740807</v>
      </c>
      <c r="V23" s="427">
        <f>T23</f>
        <v>6.5170614384632373</v>
      </c>
      <c r="W23" s="27">
        <f>((J23+F23+(LOG(G23)*4/3))*0.25)</f>
        <v>1.7816993466714188</v>
      </c>
      <c r="X23" s="27">
        <f>((M23+F23+(LOG(G23)*4/3))*0.26)+((K23+F23+(LOG(G23)*4/3))*0.221)+((L23+F23+(LOG(G23)*4/3))*0.142)</f>
        <v>7.8139947719051754</v>
      </c>
      <c r="Y23" s="27">
        <f>((M23+F23+(LOG(G23)*4/3))*1)+((L23+F23+(LOG(G23)*4/3))*0.369)</f>
        <v>19.970585622372688</v>
      </c>
      <c r="Z23" s="427">
        <f>X23</f>
        <v>7.8139947719051754</v>
      </c>
      <c r="AA23">
        <v>5400</v>
      </c>
      <c r="AB23" s="286">
        <v>24.7</v>
      </c>
      <c r="AC23" s="41">
        <v>950</v>
      </c>
      <c r="AD23" s="41">
        <v>1600</v>
      </c>
      <c r="AE23" s="428">
        <v>2250</v>
      </c>
      <c r="AF23" s="25">
        <f>AA23+(AB23*16*(36-B23-((112-C23)/112)))-AC23</f>
        <v>7777.442857142858</v>
      </c>
      <c r="AG23" s="25">
        <f>AA23+(AB23*16*(34-B23-((112-C23)/112)))-AD23</f>
        <v>6337.0428571428565</v>
      </c>
      <c r="AH23" s="429">
        <f>AA23+(AB23*16*(32-B23-((112-C23)/112)))-AE23</f>
        <v>4896.6428571428569</v>
      </c>
      <c r="AI23" s="25">
        <f>(AF23)/(36-B23+((112-C23)/112))</f>
        <v>811.81136999068042</v>
      </c>
      <c r="AJ23" s="25">
        <f>(AG23)/(34-B23+((112-C23)/112))</f>
        <v>835.98209658421661</v>
      </c>
      <c r="AK23" s="429">
        <f>(AH23)/(32-B23+((112-C23)/112))</f>
        <v>877.47839999999985</v>
      </c>
    </row>
    <row r="24" spans="1:39" x14ac:dyDescent="0.25">
      <c r="A24" s="423" t="s">
        <v>901</v>
      </c>
      <c r="B24" s="278">
        <v>23</v>
      </c>
      <c r="C24" s="25">
        <v>59</v>
      </c>
      <c r="D24" s="42" t="s">
        <v>165</v>
      </c>
      <c r="E24" s="422">
        <v>4</v>
      </c>
      <c r="F24" s="424">
        <v>1</v>
      </c>
      <c r="G24" s="425">
        <v>1</v>
      </c>
      <c r="H24" s="36">
        <v>0</v>
      </c>
      <c r="I24" s="36">
        <v>2</v>
      </c>
      <c r="J24" s="36">
        <v>6</v>
      </c>
      <c r="K24" s="36">
        <v>3</v>
      </c>
      <c r="L24" s="36">
        <v>11</v>
      </c>
      <c r="M24" s="36">
        <v>14</v>
      </c>
      <c r="N24" s="426">
        <v>8</v>
      </c>
      <c r="O24" s="27">
        <f>((J24+F24+(LOG(G24)*4/3))*0.15)</f>
        <v>1.05</v>
      </c>
      <c r="P24" s="27">
        <f>((M24+F24+(LOG(G24)*4/3))*0.552)+((K24+F24+(LOG(G24)*4/3))*0.576)+((L24+F24+(LOG(G24)*4/3))*0.195)</f>
        <v>12.924000000000001</v>
      </c>
      <c r="Q24" s="27">
        <f>((M24+F24+(LOG(G24)*4/3))*0.607)+((L24+F24+(LOG(G24)*4/3))*0.248)</f>
        <v>12.081</v>
      </c>
      <c r="R24" s="427">
        <f>((M24+F24+(LOG(G24)*4/3))*0.223)+((K24+F24+(LOG(G24)*4/3))*0)+((L24+F24+(LOG(G24)*4/3))*0)</f>
        <v>3.3450000000000002</v>
      </c>
      <c r="S24" s="27">
        <f>((J24+F24+(LOG(G24)*4/3))*0.406)</f>
        <v>2.8420000000000001</v>
      </c>
      <c r="T24" s="27">
        <f>IF(D24="TEC",((K24+F24+(LOG(G24)*4/3))*0.15)+((L24+F24+(LOG(G24)*4/3))*0.324)+((M24+F24+(LOG(G24)*4/3))*0.127),((K24+F24+(LOG(G24)*4/3))*0.144)+((L24+F24+(LOG(G24)*4/3))*0.25)+((M24+F24+(LOG(G24)*4/3))*0.127))</f>
        <v>5.4809999999999999</v>
      </c>
      <c r="U24" s="27">
        <f>IF(D24="TEC",((L24+F24+(LOG(G24)*4/3))*0.543)+((M24+F24+(LOG(G24)*4/3))*0.583),((L24+F24+(LOG(G24)*4/3))*0.543)+((M24+F24+(LOG(G24)*4/3))*0.583))</f>
        <v>15.260999999999999</v>
      </c>
      <c r="V24" s="427">
        <f>T24</f>
        <v>5.4809999999999999</v>
      </c>
      <c r="W24" s="27">
        <f>((J24+F24+(LOG(G24)*4/3))*0.25)</f>
        <v>1.75</v>
      </c>
      <c r="X24" s="27">
        <f>((M24+F24+(LOG(G24)*4/3))*0.26)+((K24+F24+(LOG(G24)*4/3))*0.221)+((L24+F24+(LOG(G24)*4/3))*0.142)</f>
        <v>6.4880000000000004</v>
      </c>
      <c r="Y24" s="27">
        <f>((M24+F24+(LOG(G24)*4/3))*1)+((L24+F24+(LOG(G24)*4/3))*0.369)</f>
        <v>19.428000000000001</v>
      </c>
      <c r="Z24" s="427">
        <f>X24</f>
        <v>6.4880000000000004</v>
      </c>
      <c r="AA24">
        <v>7250</v>
      </c>
      <c r="AB24" s="286">
        <v>26.1</v>
      </c>
      <c r="AC24" s="41">
        <v>1300</v>
      </c>
      <c r="AD24" s="41">
        <v>1600</v>
      </c>
      <c r="AE24" s="428">
        <v>2000</v>
      </c>
      <c r="AF24" s="25">
        <f>AA24+(AB24*16*(36-B24-((112-C24)/112)))-AC24</f>
        <v>11181.185714285715</v>
      </c>
      <c r="AG24" s="25">
        <f>AA24+(AB24*16*(34-B24-((112-C24)/112)))-AD24</f>
        <v>10045.985714285714</v>
      </c>
      <c r="AH24" s="429">
        <f>AA24+(AB24*16*(32-B24-((112-C24)/112)))-AE24</f>
        <v>8810.7857142857138</v>
      </c>
      <c r="AI24" s="25">
        <f>(AF24)/(36-B24+((112-C24)/112))</f>
        <v>829.88257123923131</v>
      </c>
      <c r="AJ24" s="25">
        <f>(AG24)/(34-B24+((112-C24)/112))</f>
        <v>875.60342412451359</v>
      </c>
      <c r="AK24" s="429">
        <f>(AH24)/(32-B24+((112-C24)/112))</f>
        <v>930.07351555136654</v>
      </c>
    </row>
    <row r="25" spans="1:39" x14ac:dyDescent="0.25">
      <c r="A25" s="423" t="s">
        <v>981</v>
      </c>
      <c r="B25" s="278">
        <v>28</v>
      </c>
      <c r="C25" s="25">
        <v>63</v>
      </c>
      <c r="D25" s="42" t="s">
        <v>168</v>
      </c>
      <c r="E25" s="422">
        <v>3</v>
      </c>
      <c r="F25" s="424">
        <v>1</v>
      </c>
      <c r="G25" s="425">
        <v>7</v>
      </c>
      <c r="H25" s="36">
        <v>0</v>
      </c>
      <c r="I25" s="36">
        <v>3</v>
      </c>
      <c r="J25" s="36">
        <v>7</v>
      </c>
      <c r="K25" s="36">
        <v>7</v>
      </c>
      <c r="L25" s="36">
        <v>13</v>
      </c>
      <c r="M25" s="36">
        <v>13</v>
      </c>
      <c r="N25" s="426">
        <v>0</v>
      </c>
      <c r="O25" s="27">
        <f>((J25+F25+(LOG(G25)*4/3))*0.15)</f>
        <v>1.3690196080028512</v>
      </c>
      <c r="P25" s="27">
        <f>((M25+F25+(LOG(G25)*4/3))*0.552)+((K25+F25+(LOG(G25)*4/3))*0.576)+((L25+F25+(LOG(G25)*4/3))*0.195)</f>
        <v>16.556752942585149</v>
      </c>
      <c r="Q25" s="27">
        <f>((M25+F25+(LOG(G25)*4/3))*0.607)+((L25+F25+(LOG(G25)*4/3))*0.248)</f>
        <v>12.933411765616253</v>
      </c>
      <c r="R25" s="427">
        <f>((M25+F25+(LOG(G25)*4/3))*0.223)+((K25+F25+(LOG(G25)*4/3))*0)+((L25+F25+(LOG(G25)*4/3))*0)</f>
        <v>3.3732758172309056</v>
      </c>
      <c r="S25" s="27">
        <f>((J25+F25+(LOG(G25)*4/3))*0.406)</f>
        <v>3.7054797389943843</v>
      </c>
      <c r="T25" s="27">
        <f>IF(D25="TEC",((K25+F25+(LOG(G25)*4/3))*0.15)+((L25+F25+(LOG(G25)*4/3))*0.324)+((M25+F25+(LOG(G25)*4/3))*0.127),((K25+F25+(LOG(G25)*4/3))*0.144)+((L25+F25+(LOG(G25)*4/3))*0.25)+((M25+F25+(LOG(G25)*4/3))*0.127))</f>
        <v>7.0170614384632373</v>
      </c>
      <c r="U25" s="27">
        <f>IF(D25="TEC",((L25+F25+(LOG(G25)*4/3))*0.543)+((M25+F25+(LOG(G25)*4/3))*0.583),((L25+F25+(LOG(G25)*4/3))*0.543)+((M25+F25+(LOG(G25)*4/3))*0.583))</f>
        <v>17.03277385740807</v>
      </c>
      <c r="V25" s="427">
        <f>T25</f>
        <v>7.0170614384632373</v>
      </c>
      <c r="W25" s="27">
        <f>((J25+F25+(LOG(G25)*4/3))*0.25)</f>
        <v>2.2816993466714188</v>
      </c>
      <c r="X25" s="27">
        <f>((M25+F25+(LOG(G25)*4/3))*0.26)+((K25+F25+(LOG(G25)*4/3))*0.221)+((L25+F25+(LOG(G25)*4/3))*0.142)</f>
        <v>8.0979947719051744</v>
      </c>
      <c r="Y25" s="27">
        <f>((M25+F25+(LOG(G25)*4/3))*1)+((L25+F25+(LOG(G25)*4/3))*0.369)</f>
        <v>20.708585622372688</v>
      </c>
      <c r="Z25" s="427">
        <f>X25</f>
        <v>8.0979947719051744</v>
      </c>
      <c r="AA25" s="461">
        <v>5800</v>
      </c>
      <c r="AB25" s="286">
        <v>26.7</v>
      </c>
      <c r="AC25" s="41">
        <v>1500</v>
      </c>
      <c r="AD25" s="41">
        <v>2100</v>
      </c>
      <c r="AE25" s="428">
        <v>2700</v>
      </c>
      <c r="AF25" s="25">
        <f>AA25+(AB25*16*(36-B25-((112-C25)/112)))-AC25</f>
        <v>7530.7000000000007</v>
      </c>
      <c r="AG25" s="25">
        <f>AA25+(AB25*16*(34-B25-((112-C25)/112)))-AD25</f>
        <v>6076.2999999999993</v>
      </c>
      <c r="AH25" s="429">
        <f>AA25+(AB25*16*(32-B25-((112-C25)/112)))-AE25</f>
        <v>4621.8999999999996</v>
      </c>
      <c r="AI25" s="25">
        <f>(AF25)/(36-B25+((112-C25)/112))</f>
        <v>892.52740740740751</v>
      </c>
      <c r="AJ25" s="25">
        <f>(AG25)/(34-B25+((112-C25)/112))</f>
        <v>943.89126213592226</v>
      </c>
      <c r="AK25" s="429">
        <f>(AH25)/(32-B25+((112-C25)/112))</f>
        <v>1041.5549295774647</v>
      </c>
      <c r="AL25" s="354"/>
      <c r="AM25" s="354"/>
    </row>
    <row r="26" spans="1:39" x14ac:dyDescent="0.25">
      <c r="A26" s="423" t="s">
        <v>897</v>
      </c>
      <c r="B26" s="278">
        <v>27</v>
      </c>
      <c r="C26" s="25">
        <v>38</v>
      </c>
      <c r="D26" s="42" t="s">
        <v>165</v>
      </c>
      <c r="E26" s="422">
        <v>2</v>
      </c>
      <c r="F26" s="424">
        <v>1</v>
      </c>
      <c r="G26" s="425">
        <v>6</v>
      </c>
      <c r="H26" s="36">
        <v>0</v>
      </c>
      <c r="I26" s="36">
        <v>3</v>
      </c>
      <c r="J26" s="36">
        <v>14</v>
      </c>
      <c r="K26" s="36">
        <v>9</v>
      </c>
      <c r="L26" s="36">
        <v>2</v>
      </c>
      <c r="M26" s="36">
        <v>13</v>
      </c>
      <c r="N26" s="426">
        <v>15</v>
      </c>
      <c r="O26" s="27">
        <f>((J26+F26+(LOG(G26)*4/3))*0.15)</f>
        <v>2.4056302500767286</v>
      </c>
      <c r="P26" s="27">
        <f>((M26+F26+(LOG(G26)*4/3))*0.552)+((K26+F26+(LOG(G26)*4/3))*0.576)+((L26+F26+(LOG(G26)*4/3))*0.195)</f>
        <v>15.44565880567675</v>
      </c>
      <c r="Q26" s="27">
        <f>((M26+F26+(LOG(G26)*4/3))*0.607)+((L26+F26+(LOG(G26)*4/3))*0.248)</f>
        <v>10.129092425437353</v>
      </c>
      <c r="R26" s="427">
        <f>((M26+F26+(LOG(G26)*4/3))*0.223)+((K26+F26+(LOG(G26)*4/3))*0)+((L26+F26+(LOG(G26)*4/3))*0)</f>
        <v>3.35337030511407</v>
      </c>
      <c r="S26" s="27">
        <f>((J26+F26+(LOG(G26)*4/3))*0.406)</f>
        <v>6.5112392102076795</v>
      </c>
      <c r="T26" s="27">
        <f>IF(D26="TEC",((K26+F26+(LOG(G26)*4/3))*0.15)+((L26+F26+(LOG(G26)*4/3))*0.324)+((M26+F26+(LOG(G26)*4/3))*0.127),((K26+F26+(LOG(G26)*4/3))*0.144)+((L26+F26+(LOG(G26)*4/3))*0.25)+((M26+F26+(LOG(G26)*4/3))*0.127))</f>
        <v>4.508555735266504</v>
      </c>
      <c r="U26" s="27">
        <f>IF(D26="TEC",((L26+F26+(LOG(G26)*4/3))*0.543)+((M26+F26+(LOG(G26)*4/3))*0.583),((L26+F26+(LOG(G26)*4/3))*0.543)+((M26+F26+(LOG(G26)*4/3))*0.583))</f>
        <v>10.959264410575978</v>
      </c>
      <c r="V26" s="427">
        <f>T26</f>
        <v>4.508555735266504</v>
      </c>
      <c r="W26" s="27">
        <f>((J26+F26+(LOG(G26)*4/3))*0.25)</f>
        <v>4.0093837501278813</v>
      </c>
      <c r="X26" s="27">
        <f>((M26+F26+(LOG(G26)*4/3))*0.26)+((K26+F26+(LOG(G26)*4/3))*0.221)+((L26+F26+(LOG(G26)*4/3))*0.142)</f>
        <v>6.9223843053186807</v>
      </c>
      <c r="Y26" s="27">
        <f>((M26+F26+(LOG(G26)*4/3))*1)+((L26+F26+(LOG(G26)*4/3))*0.369)</f>
        <v>16.527385415700277</v>
      </c>
      <c r="Z26" s="427">
        <f>X26</f>
        <v>6.9223843053186807</v>
      </c>
      <c r="AA26">
        <v>6000</v>
      </c>
      <c r="AB26" s="286">
        <f>32.8*1.2</f>
        <v>39.359999999999992</v>
      </c>
      <c r="AC26" s="41">
        <v>500</v>
      </c>
      <c r="AD26" s="41">
        <v>1400</v>
      </c>
      <c r="AE26" s="428">
        <v>2400</v>
      </c>
      <c r="AF26" s="25">
        <f>AA26+(AB26*16*(36-B26-((112-C26)/112)))-AC26</f>
        <v>10751.74857142857</v>
      </c>
      <c r="AG26" s="25">
        <f>AA26+(AB26*16*(34-B26-((112-C26)/112)))-AD26</f>
        <v>8592.2285714285717</v>
      </c>
      <c r="AH26" s="429">
        <f>AA26+(AB26*16*(32-B26-((112-C26)/112)))-AE26</f>
        <v>6332.7085714285713</v>
      </c>
      <c r="AI26" s="25">
        <f>(AF26)/(36-B26+((112-C26)/112))</f>
        <v>1112.9351571164509</v>
      </c>
      <c r="AJ26" s="25">
        <f>(AG26)/(34-B26+((112-C26)/112))</f>
        <v>1121.5962703962705</v>
      </c>
      <c r="AK26" s="429">
        <f>(AH26)/(32-B26+((112-C26)/112))</f>
        <v>1118.7119242902208</v>
      </c>
    </row>
    <row r="27" spans="1:39" x14ac:dyDescent="0.25">
      <c r="A27" s="423" t="s">
        <v>973</v>
      </c>
      <c r="B27" s="278">
        <v>26</v>
      </c>
      <c r="C27" s="25">
        <v>100</v>
      </c>
      <c r="D27" s="42" t="s">
        <v>168</v>
      </c>
      <c r="E27" s="422">
        <v>3</v>
      </c>
      <c r="F27" s="424">
        <v>1</v>
      </c>
      <c r="G27" s="425">
        <v>6</v>
      </c>
      <c r="H27" s="36">
        <v>1</v>
      </c>
      <c r="I27" s="36">
        <v>4</v>
      </c>
      <c r="J27" s="36">
        <v>7</v>
      </c>
      <c r="K27" s="36">
        <v>7</v>
      </c>
      <c r="L27" s="36">
        <v>10</v>
      </c>
      <c r="M27" s="36">
        <v>14</v>
      </c>
      <c r="N27" s="426">
        <v>1</v>
      </c>
      <c r="O27" s="27">
        <f>((J27+F27+(LOG(G27)*4/3))*0.15)</f>
        <v>1.3556302500767288</v>
      </c>
      <c r="P27" s="27">
        <f>((M27+F27+(LOG(G27)*4/3))*0.552)+((K27+F27+(LOG(G27)*4/3))*0.576)+((L27+F27+(LOG(G27)*4/3))*0.195)</f>
        <v>16.405658805676747</v>
      </c>
      <c r="Q27" s="27">
        <f>((M27+F27+(LOG(G27)*4/3))*0.607)+((L27+F27+(LOG(G27)*4/3))*0.248)</f>
        <v>12.720092425437354</v>
      </c>
      <c r="R27" s="427">
        <f>((M27+F27+(LOG(G27)*4/3))*0.223)+((K27+F27+(LOG(G27)*4/3))*0)+((L27+F27+(LOG(G27)*4/3))*0)</f>
        <v>3.5763703051140703</v>
      </c>
      <c r="S27" s="27">
        <f>((J27+F27+(LOG(G27)*4/3))*0.406)</f>
        <v>3.6692392102076794</v>
      </c>
      <c r="T27" s="27">
        <f>IF(D27="TEC",((K27+F27+(LOG(G27)*4/3))*0.15)+((L27+F27+(LOG(G27)*4/3))*0.324)+((M27+F27+(LOG(G27)*4/3))*0.127),((K27+F27+(LOG(G27)*4/3))*0.144)+((L27+F27+(LOG(G27)*4/3))*0.25)+((M27+F27+(LOG(G27)*4/3))*0.127))</f>
        <v>6.3475557352665035</v>
      </c>
      <c r="U27" s="27">
        <f>IF(D27="TEC",((L27+F27+(LOG(G27)*4/3))*0.543)+((M27+F27+(LOG(G27)*4/3))*0.583),((L27+F27+(LOG(G27)*4/3))*0.543)+((M27+F27+(LOG(G27)*4/3))*0.583))</f>
        <v>15.886264410575976</v>
      </c>
      <c r="V27" s="427">
        <f>T27</f>
        <v>6.3475557352665035</v>
      </c>
      <c r="W27" s="27">
        <f>((J27+F27+(LOG(G27)*4/3))*0.25)</f>
        <v>2.2593837501278813</v>
      </c>
      <c r="X27" s="27">
        <f>((M27+F27+(LOG(G27)*4/3))*0.26)+((K27+F27+(LOG(G27)*4/3))*0.221)+((L27+F27+(LOG(G27)*4/3))*0.142)</f>
        <v>7.8763843053186804</v>
      </c>
      <c r="Y27" s="27">
        <f>((M27+F27+(LOG(G27)*4/3))*1)+((L27+F27+(LOG(G27)*4/3))*0.369)</f>
        <v>20.479385415700278</v>
      </c>
      <c r="Z27" s="427">
        <f>X27</f>
        <v>7.8763843053186804</v>
      </c>
      <c r="AA27" s="461">
        <v>7100</v>
      </c>
      <c r="AB27" s="286">
        <v>29</v>
      </c>
      <c r="AC27" s="41">
        <v>1900</v>
      </c>
      <c r="AD27" s="41">
        <v>2300</v>
      </c>
      <c r="AE27" s="428">
        <v>3000</v>
      </c>
      <c r="AF27" s="25">
        <f>AA27+(AB27*16*(36-B27-((112-C27)/112)))-AC27</f>
        <v>9790.2857142857138</v>
      </c>
      <c r="AG27" s="25">
        <f>AA27+(AB27*16*(34-B27-((112-C27)/112)))-AD27</f>
        <v>8462.2857142857138</v>
      </c>
      <c r="AH27" s="429">
        <f>AA27+(AB27*16*(32-B27-((112-C27)/112)))-AE27</f>
        <v>6834.2857142857138</v>
      </c>
      <c r="AI27" s="25">
        <f>(AF27)/(36-B27+((112-C27)/112))</f>
        <v>968.65017667844518</v>
      </c>
      <c r="AJ27" s="25">
        <f>(AG27)/(34-B27+((112-C27)/112))</f>
        <v>1043.8061674008809</v>
      </c>
      <c r="AK27" s="429">
        <f>(AH27)/(32-B27+((112-C27)/112))</f>
        <v>1119.0643274853801</v>
      </c>
    </row>
    <row r="28" spans="1:39" x14ac:dyDescent="0.25">
      <c r="A28" s="423" t="s">
        <v>890</v>
      </c>
      <c r="B28" s="278">
        <v>29</v>
      </c>
      <c r="C28" s="25">
        <v>83</v>
      </c>
      <c r="D28" s="42" t="s">
        <v>168</v>
      </c>
      <c r="E28" s="422">
        <v>3</v>
      </c>
      <c r="F28" s="424">
        <v>1</v>
      </c>
      <c r="G28" s="425">
        <v>7</v>
      </c>
      <c r="H28" s="36">
        <v>0</v>
      </c>
      <c r="I28" s="36">
        <v>1</v>
      </c>
      <c r="J28" s="36">
        <v>13</v>
      </c>
      <c r="K28" s="36">
        <v>6</v>
      </c>
      <c r="L28" s="36">
        <v>12</v>
      </c>
      <c r="M28" s="36">
        <v>12</v>
      </c>
      <c r="N28" s="426">
        <v>13</v>
      </c>
      <c r="O28" s="27">
        <f>((J28+F28+(LOG(G28)*4/3))*0.15)</f>
        <v>2.2690196080028513</v>
      </c>
      <c r="P28" s="27">
        <f>((M28+F28+(LOG(G28)*4/3))*0.552)+((K28+F28+(LOG(G28)*4/3))*0.576)+((L28+F28+(LOG(G28)*4/3))*0.195)</f>
        <v>15.233752942585149</v>
      </c>
      <c r="Q28" s="27">
        <f>((M28+F28+(LOG(G28)*4/3))*0.607)+((L28+F28+(LOG(G28)*4/3))*0.248)</f>
        <v>12.078411765616252</v>
      </c>
      <c r="R28" s="427">
        <f>((M28+F28+(LOG(G28)*4/3))*0.223)+((K28+F28+(LOG(G28)*4/3))*0)+((L28+F28+(LOG(G28)*4/3))*0)</f>
        <v>3.1502758172309058</v>
      </c>
      <c r="S28" s="27">
        <f>((J28+F28+(LOG(G28)*4/3))*0.406)</f>
        <v>6.1414797389943843</v>
      </c>
      <c r="T28" s="27">
        <f>IF(D28="TEC",((K28+F28+(LOG(G28)*4/3))*0.15)+((L28+F28+(LOG(G28)*4/3))*0.324)+((M28+F28+(LOG(G28)*4/3))*0.127),((K28+F28+(LOG(G28)*4/3))*0.144)+((L28+F28+(LOG(G28)*4/3))*0.25)+((M28+F28+(LOG(G28)*4/3))*0.127))</f>
        <v>6.4960614384632365</v>
      </c>
      <c r="U28" s="27">
        <f>IF(D28="TEC",((L28+F28+(LOG(G28)*4/3))*0.543)+((M28+F28+(LOG(G28)*4/3))*0.583),((L28+F28+(LOG(G28)*4/3))*0.543)+((M28+F28+(LOG(G28)*4/3))*0.583))</f>
        <v>15.906773857408069</v>
      </c>
      <c r="V28" s="427">
        <f>T28</f>
        <v>6.4960614384632365</v>
      </c>
      <c r="W28" s="27">
        <f>((J28+F28+(LOG(G28)*4/3))*0.25)</f>
        <v>3.7816993466714188</v>
      </c>
      <c r="X28" s="27">
        <f>((M28+F28+(LOG(G28)*4/3))*0.26)+((K28+F28+(LOG(G28)*4/3))*0.221)+((L28+F28+(LOG(G28)*4/3))*0.142)</f>
        <v>7.474994771905175</v>
      </c>
      <c r="Y28" s="27">
        <f>((M28+F28+(LOG(G28)*4/3))*1)+((L28+F28+(LOG(G28)*4/3))*0.369)</f>
        <v>19.339585622372688</v>
      </c>
      <c r="Z28" s="427">
        <f>X28</f>
        <v>7.474994771905175</v>
      </c>
      <c r="AA28">
        <v>7100</v>
      </c>
      <c r="AB28" s="286">
        <v>23.9</v>
      </c>
      <c r="AC28" s="41">
        <v>1650</v>
      </c>
      <c r="AD28" s="41">
        <v>2700</v>
      </c>
      <c r="AE28" s="428">
        <v>4000</v>
      </c>
      <c r="AF28" s="25">
        <f>AA28+(AB28*16*(36-B28-((112-C28)/112)))-AC28</f>
        <v>8027.7857142857138</v>
      </c>
      <c r="AG28" s="25">
        <f>AA28+(AB28*16*(34-B28-((112-C28)/112)))-AD28</f>
        <v>6212.9857142857145</v>
      </c>
      <c r="AH28" s="429">
        <f>AA28+(AB28*16*(32-B28-((112-C28)/112)))-AE28</f>
        <v>4148.1857142857143</v>
      </c>
      <c r="AI28" s="25">
        <f>(AF28)/(36-B28+((112-C28)/112))</f>
        <v>1105.9188191881919</v>
      </c>
      <c r="AJ28" s="25">
        <f>(AG28)/(34-B28+((112-C28)/112))</f>
        <v>1181.416638370119</v>
      </c>
      <c r="AK28" s="429">
        <f>(AH28)/(32-B28+((112-C28)/112))</f>
        <v>1272.8679452054794</v>
      </c>
    </row>
    <row r="29" spans="1:39" x14ac:dyDescent="0.25">
      <c r="A29" s="423" t="s">
        <v>895</v>
      </c>
      <c r="B29" s="278">
        <v>28</v>
      </c>
      <c r="C29" s="25">
        <v>77</v>
      </c>
      <c r="D29" s="42" t="s">
        <v>168</v>
      </c>
      <c r="E29" s="422">
        <v>4</v>
      </c>
      <c r="F29" s="424">
        <v>1</v>
      </c>
      <c r="G29" s="425">
        <v>9</v>
      </c>
      <c r="H29" s="36">
        <v>0</v>
      </c>
      <c r="I29" s="36">
        <v>4</v>
      </c>
      <c r="J29" s="36">
        <v>9</v>
      </c>
      <c r="K29" s="36">
        <v>14</v>
      </c>
      <c r="L29" s="36">
        <v>13</v>
      </c>
      <c r="M29" s="36">
        <v>13</v>
      </c>
      <c r="N29" s="426">
        <v>2</v>
      </c>
      <c r="O29" s="27">
        <f>((J29+F29+(LOG(G29)*4/3))*0.15)</f>
        <v>1.690848501887865</v>
      </c>
      <c r="P29" s="27">
        <f>((M29+F29+(LOG(G29)*4/3))*0.552)+((K29+F29+(LOG(G29)*4/3))*0.576)+((L29+F29+(LOG(G29)*4/3))*0.195)</f>
        <v>20.781283786650967</v>
      </c>
      <c r="Q29" s="27">
        <f>((M29+F29+(LOG(G29)*4/3))*0.607)+((L29+F29+(LOG(G29)*4/3))*0.248)</f>
        <v>13.057836460760829</v>
      </c>
      <c r="R29" s="427">
        <f>((M29+F29+(LOG(G29)*4/3))*0.223)+((K29+F29+(LOG(G29)*4/3))*0)+((L29+F29+(LOG(G29)*4/3))*0)</f>
        <v>3.4057281061399594</v>
      </c>
      <c r="S29" s="27">
        <f>((J29+F29+(LOG(G29)*4/3))*0.406)</f>
        <v>4.5765632784431549</v>
      </c>
      <c r="T29" s="27">
        <f>IF(D29="TEC",((K29+F29+(LOG(G29)*4/3))*0.15)+((L29+F29+(LOG(G29)*4/3))*0.324)+((M29+F29+(LOG(G29)*4/3))*0.127),((K29+F29+(LOG(G29)*4/3))*0.144)+((L29+F29+(LOG(G29)*4/3))*0.25)+((M29+F29+(LOG(G29)*4/3))*0.127))</f>
        <v>8.1008804632238505</v>
      </c>
      <c r="U29" s="27">
        <f>IF(D29="TEC",((L29+F29+(LOG(G29)*4/3))*0.543)+((M29+F29+(LOG(G29)*4/3))*0.583),((L29+F29+(LOG(G29)*4/3))*0.543)+((M29+F29+(LOG(G29)*4/3))*0.583))</f>
        <v>17.196636087504906</v>
      </c>
      <c r="V29" s="427">
        <f>T29</f>
        <v>8.1008804632238505</v>
      </c>
      <c r="W29" s="27">
        <f>((J29+F29+(LOG(G29)*4/3))*0.25)</f>
        <v>2.8180808364797749</v>
      </c>
      <c r="X29" s="27">
        <f>((M29+F29+(LOG(G29)*4/3))*0.26)+((K29+F29+(LOG(G29)*4/3))*0.221)+((L29+F29+(LOG(G29)*4/3))*0.142)</f>
        <v>9.7356574445075985</v>
      </c>
      <c r="Y29" s="27">
        <f>((M29+F29+(LOG(G29)*4/3))*1)+((L29+F29+(LOG(G29)*4/3))*0.369)</f>
        <v>20.907810660563246</v>
      </c>
      <c r="Z29" s="427">
        <f>X29</f>
        <v>9.7356574445075985</v>
      </c>
      <c r="AA29">
        <v>9900</v>
      </c>
      <c r="AB29" s="286">
        <f>23.2*1.2</f>
        <v>27.84</v>
      </c>
      <c r="AC29" s="41">
        <v>2500</v>
      </c>
      <c r="AD29" s="41">
        <v>4500</v>
      </c>
      <c r="AE29" s="428">
        <v>6000</v>
      </c>
      <c r="AF29" s="25">
        <f>AA29+(AB29*16*(36-B29-((112-C29)/112)))-AC29</f>
        <v>10824.32</v>
      </c>
      <c r="AG29" s="25">
        <f>AA29+(AB29*16*(34-B29-((112-C29)/112)))-AD29</f>
        <v>7933.4400000000005</v>
      </c>
      <c r="AH29" s="429">
        <f>AA29+(AB29*16*(32-B29-((112-C29)/112)))-AE29</f>
        <v>5542.5599999999995</v>
      </c>
      <c r="AI29" s="25">
        <f>(AF29)/(36-B29+((112-C29)/112))</f>
        <v>1302.1738345864662</v>
      </c>
      <c r="AJ29" s="25">
        <f>(AG29)/(34-B29+((112-C29)/112))</f>
        <v>1256.7825742574257</v>
      </c>
      <c r="AK29" s="429">
        <f>(AH29)/(32-B29+((112-C29)/112))</f>
        <v>1285.2313043478259</v>
      </c>
    </row>
    <row r="30" spans="1:39" x14ac:dyDescent="0.25">
      <c r="A30" s="423" t="s">
        <v>891</v>
      </c>
      <c r="B30" s="278">
        <v>29</v>
      </c>
      <c r="C30" s="25">
        <v>67</v>
      </c>
      <c r="D30" s="42" t="s">
        <v>168</v>
      </c>
      <c r="E30" s="422">
        <v>2</v>
      </c>
      <c r="F30" s="424">
        <v>1</v>
      </c>
      <c r="G30" s="425">
        <v>7</v>
      </c>
      <c r="H30" s="36">
        <v>0</v>
      </c>
      <c r="I30" s="36">
        <v>3</v>
      </c>
      <c r="J30" s="36">
        <v>4</v>
      </c>
      <c r="K30" s="36">
        <v>9</v>
      </c>
      <c r="L30" s="36">
        <v>12</v>
      </c>
      <c r="M30" s="36">
        <v>14</v>
      </c>
      <c r="N30" s="426">
        <v>9</v>
      </c>
      <c r="O30" s="27">
        <f>((J30+F30+(LOG(G30)*4/3))*0.15)</f>
        <v>0.91901960800285121</v>
      </c>
      <c r="P30" s="27">
        <f>((M30+F30+(LOG(G30)*4/3))*0.552)+((K30+F30+(LOG(G30)*4/3))*0.576)+((L30+F30+(LOG(G30)*4/3))*0.195)</f>
        <v>18.065752942585149</v>
      </c>
      <c r="Q30" s="27">
        <f>((M30+F30+(LOG(G30)*4/3))*0.607)+((L30+F30+(LOG(G30)*4/3))*0.248)</f>
        <v>13.292411765616253</v>
      </c>
      <c r="R30" s="427">
        <f>((M30+F30+(LOG(G30)*4/3))*0.223)+((K30+F30+(LOG(G30)*4/3))*0)+((L30+F30+(LOG(G30)*4/3))*0)</f>
        <v>3.5962758172309059</v>
      </c>
      <c r="S30" s="27">
        <f>((J30+F30+(LOG(G30)*4/3))*0.406)</f>
        <v>2.4874797389943843</v>
      </c>
      <c r="T30" s="27">
        <f>IF(D30="TEC",((K30+F30+(LOG(G30)*4/3))*0.15)+((L30+F30+(LOG(G30)*4/3))*0.324)+((M30+F30+(LOG(G30)*4/3))*0.127),((K30+F30+(LOG(G30)*4/3))*0.144)+((L30+F30+(LOG(G30)*4/3))*0.25)+((M30+F30+(LOG(G30)*4/3))*0.127))</f>
        <v>7.1820614384632364</v>
      </c>
      <c r="U30" s="27">
        <f>IF(D30="TEC",((L30+F30+(LOG(G30)*4/3))*0.543)+((M30+F30+(LOG(G30)*4/3))*0.583),((L30+F30+(LOG(G30)*4/3))*0.543)+((M30+F30+(LOG(G30)*4/3))*0.583))</f>
        <v>17.072773857408073</v>
      </c>
      <c r="V30" s="427">
        <f>T30</f>
        <v>7.1820614384632364</v>
      </c>
      <c r="W30" s="27">
        <f>((J30+F30+(LOG(G30)*4/3))*0.25)</f>
        <v>1.5316993466714188</v>
      </c>
      <c r="X30" s="27">
        <f>((M30+F30+(LOG(G30)*4/3))*0.26)+((K30+F30+(LOG(G30)*4/3))*0.221)+((L30+F30+(LOG(G30)*4/3))*0.142)</f>
        <v>8.6579947719051766</v>
      </c>
      <c r="Y30" s="27">
        <f>((M30+F30+(LOG(G30)*4/3))*1)+((L30+F30+(LOG(G30)*4/3))*0.369)</f>
        <v>21.339585622372692</v>
      </c>
      <c r="Z30" s="427">
        <f>X30</f>
        <v>8.6579947719051766</v>
      </c>
      <c r="AA30">
        <v>6250</v>
      </c>
      <c r="AB30" s="286">
        <v>26.3</v>
      </c>
      <c r="AC30" s="41">
        <v>2000</v>
      </c>
      <c r="AD30" s="41">
        <v>2700</v>
      </c>
      <c r="AE30" s="428">
        <v>2900</v>
      </c>
      <c r="AF30" s="25">
        <f>AA30+(AB30*16*(36-B30-((112-C30)/112)))-AC30</f>
        <v>7026.528571428571</v>
      </c>
      <c r="AG30" s="25">
        <f>AA30+(AB30*16*(34-B30-((112-C30)/112)))-AD30</f>
        <v>5484.9285714285716</v>
      </c>
      <c r="AH30" s="429">
        <f>AA30+(AB30*16*(32-B30-((112-C30)/112)))-AE30</f>
        <v>4443.3285714285712</v>
      </c>
      <c r="AI30" s="25">
        <f>(AF30)/(36-B30+((112-C30)/112))</f>
        <v>949.30180940892637</v>
      </c>
      <c r="AJ30" s="25">
        <f>(AG30)/(34-B30+((112-C30)/112))</f>
        <v>1015.3917355371901</v>
      </c>
      <c r="AK30" s="429">
        <f>(AH30)/(32-B30+((112-C30)/112))</f>
        <v>1306.1753280839894</v>
      </c>
    </row>
    <row r="31" spans="1:39" x14ac:dyDescent="0.25">
      <c r="A31" s="423" t="s">
        <v>900</v>
      </c>
      <c r="B31" s="278">
        <v>26</v>
      </c>
      <c r="C31" s="25">
        <v>92</v>
      </c>
      <c r="D31" s="42" t="s">
        <v>168</v>
      </c>
      <c r="E31" s="422">
        <v>3</v>
      </c>
      <c r="F31" s="424">
        <v>1</v>
      </c>
      <c r="G31" s="425">
        <v>5</v>
      </c>
      <c r="H31" s="36">
        <v>0</v>
      </c>
      <c r="I31" s="36">
        <v>4</v>
      </c>
      <c r="J31" s="36">
        <v>3</v>
      </c>
      <c r="K31" s="36">
        <v>3</v>
      </c>
      <c r="L31" s="36">
        <v>14</v>
      </c>
      <c r="M31" s="36">
        <v>14</v>
      </c>
      <c r="N31" s="426">
        <v>3</v>
      </c>
      <c r="O31" s="27">
        <f>((J31+F31+(LOG(G31)*4/3))*0.15)</f>
        <v>0.73979400086720382</v>
      </c>
      <c r="P31" s="27">
        <f>((M31+F31+(LOG(G31)*4/3))*0.552)+((K31+F31+(LOG(G31)*4/3))*0.576)+((L31+F31+(LOG(G31)*4/3))*0.195)</f>
        <v>14.741983087648737</v>
      </c>
      <c r="Q31" s="27">
        <f>((M31+F31+(LOG(G31)*4/3))*0.607)+((L31+F31+(LOG(G31)*4/3))*0.248)</f>
        <v>13.621825804943061</v>
      </c>
      <c r="R31" s="427">
        <f>((M31+F31+(LOG(G31)*4/3))*0.223)+((K31+F31+(LOG(G31)*4/3))*0)+((L31+F31+(LOG(G31)*4/3))*0)</f>
        <v>3.5528270812892426</v>
      </c>
      <c r="S31" s="27">
        <f>((J31+F31+(LOG(G31)*4/3))*0.406)</f>
        <v>2.0023757623472318</v>
      </c>
      <c r="T31" s="27">
        <f>IF(D31="TEC",((K31+F31+(LOG(G31)*4/3))*0.15)+((L31+F31+(LOG(G31)*4/3))*0.324)+((M31+F31+(LOG(G31)*4/3))*0.127),((K31+F31+(LOG(G31)*4/3))*0.144)+((L31+F31+(LOG(G31)*4/3))*0.25)+((M31+F31+(LOG(G31)*4/3))*0.127))</f>
        <v>6.7165511630120882</v>
      </c>
      <c r="U31" s="27">
        <f>IF(D31="TEC",((L31+F31+(LOG(G31)*4/3))*0.543)+((M31+F31+(LOG(G31)*4/3))*0.583),((L31+F31+(LOG(G31)*4/3))*0.543)+((M31+F31+(LOG(G31)*4/3))*0.583))</f>
        <v>17.939386966509808</v>
      </c>
      <c r="V31" s="427">
        <f>T31</f>
        <v>6.7165511630120882</v>
      </c>
      <c r="W31" s="27">
        <f>((J31+F31+(LOG(G31)*4/3))*0.25)</f>
        <v>1.2329900014453397</v>
      </c>
      <c r="X31" s="27">
        <f>((M31+F31+(LOG(G31)*4/3))*0.26)+((K31+F31+(LOG(G31)*4/3))*0.221)+((L31+F31+(LOG(G31)*4/3))*0.142)</f>
        <v>7.4946110836017859</v>
      </c>
      <c r="Y31" s="27">
        <f>((M31+F31+(LOG(G31)*4/3))*1)+((L31+F31+(LOG(G31)*4/3))*0.369)</f>
        <v>21.810853247914679</v>
      </c>
      <c r="Z31" s="427">
        <f>X31</f>
        <v>7.4946110836017859</v>
      </c>
      <c r="AA31">
        <v>6450</v>
      </c>
      <c r="AB31" s="286">
        <v>35.4</v>
      </c>
      <c r="AC31" s="41">
        <v>2800</v>
      </c>
      <c r="AD31" s="41">
        <v>1800</v>
      </c>
      <c r="AE31" s="428">
        <v>1600</v>
      </c>
      <c r="AF31" s="25">
        <f>AA31+(AB31*16*(36-B31-((112-C31)/112)))-AC31</f>
        <v>9212.8571428571413</v>
      </c>
      <c r="AG31" s="25">
        <f>AA31+(AB31*16*(34-B31-((112-C31)/112)))-AD31</f>
        <v>9080.057142857142</v>
      </c>
      <c r="AH31" s="429">
        <f>AA31+(AB31*16*(32-B31-((112-C31)/112)))-AE31</f>
        <v>8147.2571428571428</v>
      </c>
      <c r="AI31" s="25">
        <f>(AF31)/(36-B31+((112-C31)/112))</f>
        <v>905.12280701754366</v>
      </c>
      <c r="AJ31" s="25">
        <f>(AG31)/(34-B31+((112-C31)/112))</f>
        <v>1110.2253275109169</v>
      </c>
      <c r="AK31" s="429">
        <f>(AH31)/(32-B31+((112-C31)/112))</f>
        <v>1318.6312138728324</v>
      </c>
    </row>
  </sheetData>
  <sortState xmlns:xlrd2="http://schemas.microsoft.com/office/spreadsheetml/2017/richdata2" ref="A3:AK31">
    <sortCondition ref="AK4"/>
  </sortState>
  <conditionalFormatting sqref="G3:G31">
    <cfRule type="cellIs" dxfId="4" priority="5" operator="greaterThan">
      <formula>7</formula>
    </cfRule>
  </conditionalFormatting>
  <conditionalFormatting sqref="O3:O31 S3:S31 W3:W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1 R3:R31 T3:T31 V3:V31 X3:X31 Z3:Z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1 U3:U31 Y3:Y3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31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H3:N31">
    <cfRule type="colorScale" priority="47">
      <colorScale>
        <cfvo type="min"/>
        <cfvo type="max"/>
        <color rgb="FFFCFCFF"/>
        <color rgb="FFF8696B"/>
      </colorScale>
    </cfRule>
  </conditionalFormatting>
  <conditionalFormatting sqref="AF3:AH3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AI3:AK31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AF3:AH31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837</v>
      </c>
    </row>
    <row r="2" spans="1:22" x14ac:dyDescent="0.25">
      <c r="A2" s="31" t="s">
        <v>186</v>
      </c>
      <c r="B2" s="31" t="s">
        <v>849</v>
      </c>
      <c r="C2" s="31" t="s">
        <v>113</v>
      </c>
      <c r="D2" s="51" t="s">
        <v>468</v>
      </c>
      <c r="E2" s="31" t="s">
        <v>874</v>
      </c>
      <c r="F2" s="40" t="s">
        <v>121</v>
      </c>
      <c r="G2" s="39" t="s">
        <v>471</v>
      </c>
      <c r="H2" s="32" t="s">
        <v>738</v>
      </c>
      <c r="I2" s="32" t="s">
        <v>154</v>
      </c>
      <c r="J2" s="32" t="s">
        <v>194</v>
      </c>
      <c r="K2" s="32" t="s">
        <v>195</v>
      </c>
      <c r="L2" s="32" t="s">
        <v>492</v>
      </c>
      <c r="M2" s="32" t="s">
        <v>197</v>
      </c>
      <c r="N2" s="32" t="s">
        <v>198</v>
      </c>
      <c r="O2" s="32" t="s">
        <v>199</v>
      </c>
      <c r="P2" s="34" t="s">
        <v>856</v>
      </c>
      <c r="Q2" s="34" t="s">
        <v>857</v>
      </c>
      <c r="R2" s="32" t="s">
        <v>902</v>
      </c>
      <c r="S2" s="32" t="s">
        <v>903</v>
      </c>
      <c r="T2" s="32" t="s">
        <v>904</v>
      </c>
      <c r="U2" s="32" t="s">
        <v>905</v>
      </c>
      <c r="V2" s="32" t="s">
        <v>605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344">
        <f>Plantilla!V4</f>
        <v>31230</v>
      </c>
      <c r="H3" s="29">
        <f>Plantilla!I4</f>
        <v>8.5</v>
      </c>
      <c r="I3" s="36">
        <f>Plantilla!X4</f>
        <v>15</v>
      </c>
      <c r="J3" s="36">
        <f>Plantilla!Y4</f>
        <v>12.363636363636363</v>
      </c>
      <c r="K3" s="36">
        <f>Plantilla!Z4</f>
        <v>0</v>
      </c>
      <c r="L3" s="36">
        <f>Plantilla!AA4</f>
        <v>1</v>
      </c>
      <c r="M3" s="36">
        <f>Plantilla!AB4</f>
        <v>1</v>
      </c>
      <c r="N3" s="36">
        <f>Plantilla!AC4</f>
        <v>1</v>
      </c>
      <c r="O3" s="36">
        <f>Plantilla!AD4</f>
        <v>15</v>
      </c>
      <c r="P3" s="27">
        <f t="shared" ref="P3:P10" ca="1" si="0">((I3+F3+(LOG(H3)*4/3))*0.597)+((J3+F3+(LOG(H3)*4/3))*0.276)</f>
        <v>14.322207265895072</v>
      </c>
      <c r="Q3" s="27">
        <f t="shared" ref="Q3:Q10" ca="1" si="1">((I3+F3+(LOG(H3)*4/3))*0.866)+((J3+F3+(LOG(H3)*4/3))*0.425)</f>
        <v>21.135385232008321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344">
        <f>Plantilla!V5</f>
        <v>1190</v>
      </c>
      <c r="H4" s="29">
        <f>Plantilla!I5</f>
        <v>2.1</v>
      </c>
      <c r="I4" s="36">
        <f>Plantilla!X5</f>
        <v>6</v>
      </c>
      <c r="J4" s="36">
        <f>Plantilla!Y5</f>
        <v>5.4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4</v>
      </c>
      <c r="P4" s="27">
        <f t="shared" ca="1" si="0"/>
        <v>6.3204632590702818</v>
      </c>
      <c r="Q4" s="27">
        <f t="shared" ca="1" si="1"/>
        <v>9.3366468126686541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906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344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907</v>
      </c>
      <c r="B6">
        <v>23</v>
      </c>
      <c r="C6">
        <v>53</v>
      </c>
      <c r="E6" s="45">
        <v>9282257</v>
      </c>
      <c r="F6" s="104">
        <f t="shared" ca="1" si="3"/>
        <v>1</v>
      </c>
      <c r="G6" s="344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908</v>
      </c>
      <c r="B7">
        <v>23</v>
      </c>
      <c r="C7">
        <v>18</v>
      </c>
      <c r="D7" t="s">
        <v>165</v>
      </c>
      <c r="E7" s="45">
        <v>9000000</v>
      </c>
      <c r="F7" s="104">
        <f t="shared" ca="1" si="3"/>
        <v>1</v>
      </c>
      <c r="G7" s="344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909</v>
      </c>
      <c r="B8">
        <v>23</v>
      </c>
      <c r="C8">
        <v>14</v>
      </c>
      <c r="E8" s="45">
        <v>10250000</v>
      </c>
      <c r="F8" s="104">
        <f t="shared" ca="1" si="3"/>
        <v>1</v>
      </c>
      <c r="G8" s="344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344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344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837</v>
      </c>
    </row>
    <row r="2" spans="1:21" x14ac:dyDescent="0.25">
      <c r="A2" s="31" t="s">
        <v>186</v>
      </c>
      <c r="B2" s="31" t="s">
        <v>849</v>
      </c>
      <c r="C2" s="31" t="s">
        <v>113</v>
      </c>
      <c r="D2" s="51" t="s">
        <v>468</v>
      </c>
      <c r="E2" s="31" t="s">
        <v>874</v>
      </c>
      <c r="F2" s="39" t="s">
        <v>851</v>
      </c>
      <c r="G2" s="39" t="s">
        <v>125</v>
      </c>
      <c r="H2" s="39" t="s">
        <v>126</v>
      </c>
      <c r="I2" s="39" t="s">
        <v>471</v>
      </c>
      <c r="J2" s="40" t="s">
        <v>121</v>
      </c>
      <c r="K2" s="32" t="s">
        <v>738</v>
      </c>
      <c r="L2" s="32" t="s">
        <v>154</v>
      </c>
      <c r="M2" s="32" t="s">
        <v>194</v>
      </c>
      <c r="N2" s="32" t="s">
        <v>195</v>
      </c>
      <c r="O2" s="32" t="s">
        <v>492</v>
      </c>
      <c r="P2" s="32" t="s">
        <v>197</v>
      </c>
      <c r="Q2" s="32" t="s">
        <v>198</v>
      </c>
      <c r="R2" s="32" t="s">
        <v>199</v>
      </c>
      <c r="S2" s="34" t="s">
        <v>856</v>
      </c>
      <c r="T2" s="34" t="s">
        <v>857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8.5</v>
      </c>
      <c r="L3" s="36">
        <f>Plantilla!X4</f>
        <v>15</v>
      </c>
      <c r="M3" s="36">
        <f>Plantilla!Y4</f>
        <v>12.363636363636363</v>
      </c>
      <c r="N3" s="36">
        <f>Plantilla!Z4</f>
        <v>0</v>
      </c>
      <c r="O3" s="36">
        <f>Plantilla!AA4</f>
        <v>1</v>
      </c>
      <c r="P3" s="36">
        <f>Plantilla!AB4</f>
        <v>1</v>
      </c>
      <c r="Q3" s="36">
        <f>Plantilla!AC4</f>
        <v>1</v>
      </c>
      <c r="R3" s="36">
        <f>Plantilla!AD4</f>
        <v>15</v>
      </c>
      <c r="S3" s="27">
        <f t="shared" ref="S3:S10" ca="1" si="0">((L3+J3+(LOG(K3)*4/3))*0.597)+((M3+J3+(LOG(K3)*4/3))*0.276)</f>
        <v>14.322207265895072</v>
      </c>
      <c r="T3" s="27">
        <f t="shared" ref="T3:T10" ca="1" si="1">((L3+J3+(LOG(K3)*4/3))*0.866)+((M3+J3+(LOG(K3)*4/3))*0.425)</f>
        <v>21.135385232008321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6</v>
      </c>
      <c r="G4" s="38">
        <f>(F4/7)^0.5</f>
        <v>0.92582009977255142</v>
      </c>
      <c r="H4" s="38">
        <f>IF(F4=7,1,((F4+0.99)/7)^0.5)</f>
        <v>0.99928545900129484</v>
      </c>
      <c r="I4" s="38"/>
      <c r="J4" s="104">
        <f ca="1">Plantilla!N5</f>
        <v>1</v>
      </c>
      <c r="K4" s="29">
        <f>Plantilla!I5</f>
        <v>2.1</v>
      </c>
      <c r="L4" s="36">
        <f>Plantilla!X5</f>
        <v>6</v>
      </c>
      <c r="M4" s="36">
        <f>Plantilla!Y5</f>
        <v>5.4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4</v>
      </c>
      <c r="S4" s="27">
        <f t="shared" ca="1" si="0"/>
        <v>6.3204632590702818</v>
      </c>
      <c r="T4" s="27">
        <f t="shared" ca="1" si="1"/>
        <v>9.3366468126686541</v>
      </c>
    </row>
    <row r="5" spans="1:21" x14ac:dyDescent="0.25">
      <c r="A5" t="s">
        <v>910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911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912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913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914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915</v>
      </c>
      <c r="B10">
        <v>21</v>
      </c>
      <c r="C10">
        <v>82</v>
      </c>
      <c r="D10" t="s">
        <v>916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J10" sqref="J10"/>
    </sheetView>
  </sheetViews>
  <sheetFormatPr baseColWidth="10" defaultColWidth="9.140625" defaultRowHeight="15" x14ac:dyDescent="0.25"/>
  <cols>
    <col min="1" max="1" width="3.5703125" style="406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5703125" bestFit="1" customWidth="1"/>
    <col min="23" max="23" width="7.5703125" bestFit="1" customWidth="1"/>
    <col min="24" max="30" width="6.42578125" bestFit="1" customWidth="1"/>
    <col min="31" max="31" width="7" bestFit="1" customWidth="1"/>
    <col min="32" max="33" width="8.5703125" bestFit="1" customWidth="1"/>
    <col min="34" max="34" width="6.5703125" bestFit="1" customWidth="1"/>
    <col min="35" max="40" width="7" bestFit="1" customWidth="1"/>
    <col min="41" max="41" width="7.5703125" bestFit="1" customWidth="1"/>
    <col min="42" max="43" width="3.42578125" bestFit="1" customWidth="1"/>
    <col min="44" max="44" width="3.5703125" bestFit="1" customWidth="1"/>
    <col min="45" max="45" width="5.28515625" bestFit="1" customWidth="1"/>
    <col min="46" max="46" width="7.140625" bestFit="1" customWidth="1"/>
    <col min="47" max="53" width="10" customWidth="1"/>
  </cols>
  <sheetData>
    <row r="1" spans="1:46" x14ac:dyDescent="0.25">
      <c r="D1" s="23">
        <v>42268</v>
      </c>
    </row>
    <row r="2" spans="1:46" x14ac:dyDescent="0.25">
      <c r="D2" s="23">
        <f ca="1">TODAY()</f>
        <v>44069</v>
      </c>
      <c r="I2" s="24">
        <f>AVERAGE(I4:I20)</f>
        <v>6.8882352941176466</v>
      </c>
      <c r="J2" s="24"/>
      <c r="N2" s="27">
        <f ca="1">AVERAGE(N4:N20)</f>
        <v>0.9693483694720697</v>
      </c>
      <c r="O2" s="24">
        <f>AVERAGE(O4:O20)</f>
        <v>6.6941176470588246</v>
      </c>
      <c r="Q2" s="24">
        <f>AVERAGE(Q4:Q20)</f>
        <v>5.4117647058823533</v>
      </c>
      <c r="R2" s="2">
        <f>AVERAGE(R4:R20)</f>
        <v>0.87488373734090152</v>
      </c>
      <c r="S2" s="2">
        <f>AVERAGE(S4:S20)</f>
        <v>0.94493178340762085</v>
      </c>
      <c r="T2" s="28">
        <f>SUM(T4:T20)</f>
        <v>2641410</v>
      </c>
      <c r="U2" s="28">
        <f>SUM(U4:U20)</f>
        <v>7830</v>
      </c>
      <c r="V2" s="28">
        <f>SUM(V4:V20)</f>
        <v>345622</v>
      </c>
      <c r="W2" s="29">
        <f>T2/V2</f>
        <v>7.6424822493938462</v>
      </c>
      <c r="AD2" s="27">
        <f>AVERAGE(AD5:AD20)</f>
        <v>13.03125</v>
      </c>
      <c r="AE2" s="25">
        <f>AVERAGE(AE5:AE20)</f>
        <v>152.67500000000001</v>
      </c>
      <c r="AF2" s="25"/>
      <c r="AG2" s="25">
        <f>AVERAGE(AG5:AG20)</f>
        <v>1926.9166666666667</v>
      </c>
      <c r="AH2" s="24"/>
      <c r="AO2" s="24"/>
      <c r="AP2" s="24"/>
      <c r="AQ2" s="24"/>
      <c r="AR2" s="24"/>
    </row>
    <row r="3" spans="1:46" x14ac:dyDescent="0.25">
      <c r="A3" s="405" t="s">
        <v>108</v>
      </c>
      <c r="B3" s="13" t="s">
        <v>109</v>
      </c>
      <c r="C3" s="14" t="s">
        <v>110</v>
      </c>
      <c r="D3" s="15" t="s">
        <v>111</v>
      </c>
      <c r="E3" s="13" t="s">
        <v>112</v>
      </c>
      <c r="F3" s="13" t="s">
        <v>113</v>
      </c>
      <c r="G3" s="13" t="s">
        <v>114</v>
      </c>
      <c r="H3" s="13" t="s">
        <v>115</v>
      </c>
      <c r="I3" s="13" t="s">
        <v>116</v>
      </c>
      <c r="J3" s="13" t="s">
        <v>117</v>
      </c>
      <c r="K3" s="16" t="s">
        <v>118</v>
      </c>
      <c r="L3" s="16" t="s">
        <v>119</v>
      </c>
      <c r="M3" s="13" t="s">
        <v>120</v>
      </c>
      <c r="N3" s="13" t="s">
        <v>121</v>
      </c>
      <c r="O3" s="13" t="s">
        <v>122</v>
      </c>
      <c r="P3" s="13" t="s">
        <v>123</v>
      </c>
      <c r="Q3" s="13" t="s">
        <v>124</v>
      </c>
      <c r="R3" s="39" t="s">
        <v>125</v>
      </c>
      <c r="S3" s="39" t="s">
        <v>126</v>
      </c>
      <c r="T3" s="13" t="s">
        <v>127</v>
      </c>
      <c r="U3" s="13" t="s">
        <v>128</v>
      </c>
      <c r="V3" s="13" t="s">
        <v>129</v>
      </c>
      <c r="W3" s="13" t="s">
        <v>130</v>
      </c>
      <c r="X3" s="13" t="s">
        <v>131</v>
      </c>
      <c r="Y3" s="13" t="s">
        <v>132</v>
      </c>
      <c r="Z3" s="13" t="s">
        <v>133</v>
      </c>
      <c r="AA3" s="13" t="s">
        <v>134</v>
      </c>
      <c r="AB3" s="13" t="s">
        <v>135</v>
      </c>
      <c r="AC3" s="13" t="s">
        <v>136</v>
      </c>
      <c r="AD3" s="13" t="s">
        <v>114</v>
      </c>
      <c r="AE3" s="13" t="s">
        <v>137</v>
      </c>
      <c r="AF3" s="13" t="s">
        <v>138</v>
      </c>
      <c r="AG3" s="13" t="s">
        <v>139</v>
      </c>
      <c r="AH3" s="17" t="s">
        <v>140</v>
      </c>
      <c r="AI3" s="17" t="s">
        <v>141</v>
      </c>
      <c r="AJ3" s="17" t="s">
        <v>142</v>
      </c>
      <c r="AK3" s="17" t="s">
        <v>143</v>
      </c>
      <c r="AL3" s="17" t="s">
        <v>144</v>
      </c>
      <c r="AM3" s="17" t="s">
        <v>145</v>
      </c>
      <c r="AN3" s="17" t="s">
        <v>146</v>
      </c>
      <c r="AO3" s="17" t="s">
        <v>147</v>
      </c>
      <c r="AP3" s="13" t="s">
        <v>148</v>
      </c>
      <c r="AQ3" s="13" t="s">
        <v>149</v>
      </c>
      <c r="AR3" s="13" t="s">
        <v>150</v>
      </c>
      <c r="AS3" s="13" t="s">
        <v>151</v>
      </c>
      <c r="AT3" s="26" t="s">
        <v>152</v>
      </c>
    </row>
    <row r="4" spans="1:46" x14ac:dyDescent="0.25">
      <c r="A4" s="407" t="s">
        <v>153</v>
      </c>
      <c r="B4" s="49" t="s">
        <v>154</v>
      </c>
      <c r="C4" s="359">
        <f t="shared" ref="C4:C20" ca="1" si="0">((36*112)-(E4*112)-(F4))/112</f>
        <v>9.7142857142857135</v>
      </c>
      <c r="D4" s="95" t="s">
        <v>9</v>
      </c>
      <c r="E4" s="4">
        <v>26</v>
      </c>
      <c r="F4" s="5">
        <f ca="1">$D$2-$D$1-1097-112-112-112-112-112-112</f>
        <v>32</v>
      </c>
      <c r="G4" s="6"/>
      <c r="H4" s="7">
        <v>4</v>
      </c>
      <c r="I4" s="8">
        <v>8.5</v>
      </c>
      <c r="J4" s="21">
        <f t="shared" ref="J4:J20" si="1">LOG(I4)*4/3</f>
        <v>1.2392252342857237</v>
      </c>
      <c r="K4" s="9">
        <f t="shared" ref="K4:K20" si="2">(H4)*(H4)*(I4)</f>
        <v>136</v>
      </c>
      <c r="L4" s="9">
        <f t="shared" ref="L4:L20" si="3">(H4+1)*(H4+1)*I4</f>
        <v>212.5</v>
      </c>
      <c r="M4" s="62">
        <v>43415</v>
      </c>
      <c r="N4" s="63">
        <f t="shared" ref="N4:N13" ca="1" si="4">IF((TODAY()-M4)&gt;335,1,((TODAY()-M4)^0.64)/(336^0.64))</f>
        <v>1</v>
      </c>
      <c r="O4" s="19">
        <v>6.8</v>
      </c>
      <c r="P4" s="20">
        <f t="shared" ref="P4:P20" si="5">O4*10+19</f>
        <v>87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75550</v>
      </c>
      <c r="U4" s="10">
        <f t="shared" ref="U4:U20" si="8">T4-AT4</f>
        <v>3830</v>
      </c>
      <c r="V4" s="10">
        <v>31230</v>
      </c>
      <c r="W4" s="11">
        <f t="shared" ref="W4:W20" si="9">T4/V4</f>
        <v>2.4191482548831251</v>
      </c>
      <c r="X4" s="442">
        <v>15</v>
      </c>
      <c r="Y4" s="21">
        <f>12+4/11</f>
        <v>12.363636363636363</v>
      </c>
      <c r="Z4" s="442">
        <v>0</v>
      </c>
      <c r="AA4" s="21">
        <v>1</v>
      </c>
      <c r="AB4" s="442">
        <v>1</v>
      </c>
      <c r="AC4" s="21">
        <v>1</v>
      </c>
      <c r="AD4" s="442">
        <v>15</v>
      </c>
      <c r="AE4" s="12">
        <f>Planning!V3</f>
        <v>130.5</v>
      </c>
      <c r="AF4" s="12">
        <v>1299</v>
      </c>
      <c r="AG4" s="12"/>
      <c r="AH4" s="11">
        <f t="shared" ref="AH4:AH20" ca="1" si="10">(((Y4+LOG(I4)*4/3+N4)+(AB4+LOG(I4)*4/3+N4)*2)/8)*(Q4/7)^0.5</f>
        <v>2.4396878050921669</v>
      </c>
      <c r="AI4" s="22">
        <f t="shared" ref="AI4:AI20" ca="1" si="11">(Y4+J4+N4)*(Q4/7)^0.5</f>
        <v>13.519622781552988</v>
      </c>
      <c r="AJ4" s="22">
        <f t="shared" ref="AJ4:AJ20" ca="1" si="12">(Y4+J4+N4)*(IF(Q4=7,(Q4/7)^0.5,((Q4+1)/7)^0.5))</f>
        <v>14.602861597922088</v>
      </c>
      <c r="AK4" s="22">
        <f t="shared" ref="AK4:AK20" ca="1" si="13">(Z4+N4+(LOG(I4)*4/3))*(Q4/7)^0.5</f>
        <v>2.0731197298196236</v>
      </c>
      <c r="AL4" s="22">
        <f t="shared" ref="AL4:AL20" ca="1" si="14">(Z4+N4+(LOG(I4)*4/3))*(IF(Q4=7,(Q4/7)^0.5,((Q4+1)/7)^0.5))</f>
        <v>2.2392252342857235</v>
      </c>
      <c r="AM4" s="22">
        <f t="shared" ref="AM4:AM20" ca="1" si="15">(AD4+1+(LOG(I4)*4/3)+N4)*(Q4/7)^0.5</f>
        <v>16.886241326180446</v>
      </c>
      <c r="AN4" s="22">
        <f t="shared" ref="AN4:AN20" ca="1" si="16">(AD4+1+N4+(LOG(I4)*4/3))*(IF(Q4=7,(Q4/7)^0.5,((Q4+1)/7)^0.5))</f>
        <v>18.239225234285723</v>
      </c>
      <c r="AO4" s="11">
        <f t="shared" ref="AO4:AO20" ca="1" si="17">(AD4+LOG(I4)*4/3+N4)*0.7+(AC4+LOG(I4)*4/3+N4)*0.3</f>
        <v>13.039225234285722</v>
      </c>
      <c r="AP4" s="20">
        <v>1</v>
      </c>
      <c r="AQ4" s="20">
        <v>3</v>
      </c>
      <c r="AR4" s="20">
        <v>2</v>
      </c>
      <c r="AS4" s="57">
        <f t="shared" ref="AS4:AS20" si="18">IF(AQ4=4,IF(AR4=0,0.137+0.0697,0.137+0.02),IF(AQ4=3,IF(AR4=0,0.0958+0.0697,0.0958+0.02),IF(AQ4=2,IF(AR4=0,0.0415+0.0697,0.0415+0.02),IF(AQ4=1,IF(AR4=0,0.0294+0.0697,0.0294+0.02),IF(AQ4=0,IF(AR4=0,0.0063+0.0697,0.0063+0.02))))))</f>
        <v>0.1158</v>
      </c>
      <c r="AT4" s="10">
        <v>71720</v>
      </c>
    </row>
    <row r="5" spans="1:46" x14ac:dyDescent="0.25">
      <c r="A5" s="407" t="s">
        <v>155</v>
      </c>
      <c r="B5" s="49" t="s">
        <v>154</v>
      </c>
      <c r="C5" s="359">
        <f t="shared" ca="1" si="0"/>
        <v>9.4910714285714288</v>
      </c>
      <c r="D5" s="345" t="s">
        <v>65</v>
      </c>
      <c r="E5" s="4">
        <v>26</v>
      </c>
      <c r="F5" s="5">
        <f ca="1">$D$2-$D$1-880+32-112-112-112-112-112-112-112-112</f>
        <v>57</v>
      </c>
      <c r="G5" s="6"/>
      <c r="H5" s="91">
        <v>5</v>
      </c>
      <c r="I5" s="8">
        <v>2.1</v>
      </c>
      <c r="J5" s="21">
        <f t="shared" si="1"/>
        <v>0.42962572631189239</v>
      </c>
      <c r="K5" s="9">
        <f t="shared" si="2"/>
        <v>52.5</v>
      </c>
      <c r="L5" s="9">
        <f t="shared" si="3"/>
        <v>75.600000000000009</v>
      </c>
      <c r="M5" s="62">
        <v>43190</v>
      </c>
      <c r="N5" s="63">
        <f t="shared" ca="1" si="4"/>
        <v>1</v>
      </c>
      <c r="O5" s="19">
        <v>6</v>
      </c>
      <c r="P5" s="20">
        <f t="shared" si="5"/>
        <v>79</v>
      </c>
      <c r="Q5" s="20">
        <v>6</v>
      </c>
      <c r="R5" s="57">
        <f t="shared" si="6"/>
        <v>0.92582009977255142</v>
      </c>
      <c r="S5" s="57">
        <f t="shared" si="7"/>
        <v>0.99928545900129484</v>
      </c>
      <c r="T5" s="10">
        <v>3220</v>
      </c>
      <c r="U5" s="10">
        <f t="shared" si="8"/>
        <v>310</v>
      </c>
      <c r="V5" s="10">
        <v>1190</v>
      </c>
      <c r="W5" s="11">
        <f t="shared" si="9"/>
        <v>2.7058823529411766</v>
      </c>
      <c r="X5" s="442">
        <v>6</v>
      </c>
      <c r="Y5" s="21">
        <f>5+2/5</f>
        <v>5.4</v>
      </c>
      <c r="Z5" s="442">
        <v>0</v>
      </c>
      <c r="AA5" s="21">
        <v>3</v>
      </c>
      <c r="AB5" s="442">
        <v>1</v>
      </c>
      <c r="AC5" s="21">
        <v>1</v>
      </c>
      <c r="AD5" s="442">
        <v>4</v>
      </c>
      <c r="AE5" s="12">
        <f>7.5+10+1.5+1.5+5</f>
        <v>25.5</v>
      </c>
      <c r="AF5" s="12">
        <v>324</v>
      </c>
      <c r="AG5" s="12"/>
      <c r="AH5" s="11">
        <f t="shared" ca="1" si="10"/>
        <v>1.3527246795039158</v>
      </c>
      <c r="AI5" s="22">
        <f t="shared" ca="1" si="11"/>
        <v>6.3230047713432604</v>
      </c>
      <c r="AJ5" s="22">
        <f t="shared" ca="1" si="12"/>
        <v>6.8296257263118925</v>
      </c>
      <c r="AK5" s="22">
        <f t="shared" ca="1" si="13"/>
        <v>1.3235762325714824</v>
      </c>
      <c r="AL5" s="22">
        <f t="shared" ca="1" si="14"/>
        <v>1.4296257263118923</v>
      </c>
      <c r="AM5" s="22">
        <f t="shared" ca="1" si="15"/>
        <v>5.9526767314342397</v>
      </c>
      <c r="AN5" s="22">
        <f t="shared" ca="1" si="16"/>
        <v>6.4296257263118921</v>
      </c>
      <c r="AO5" s="11">
        <f t="shared" ca="1" si="17"/>
        <v>4.5296257263118918</v>
      </c>
      <c r="AP5" s="20">
        <v>3</v>
      </c>
      <c r="AQ5" s="20">
        <v>0</v>
      </c>
      <c r="AR5" s="20">
        <v>2</v>
      </c>
      <c r="AS5" s="57">
        <f t="shared" si="18"/>
        <v>2.63E-2</v>
      </c>
      <c r="AT5" s="10">
        <v>2910</v>
      </c>
    </row>
    <row r="6" spans="1:46" x14ac:dyDescent="0.25">
      <c r="A6" s="407" t="s">
        <v>156</v>
      </c>
      <c r="B6" s="49" t="s">
        <v>157</v>
      </c>
      <c r="C6" s="359">
        <f t="shared" ca="1" si="0"/>
        <v>9.7410714285714288</v>
      </c>
      <c r="D6" s="95" t="s">
        <v>158</v>
      </c>
      <c r="E6" s="4">
        <v>26</v>
      </c>
      <c r="F6" s="5">
        <f ca="1">$D$2-$D$1-1100-112-112-112-112-112-112</f>
        <v>29</v>
      </c>
      <c r="G6" s="6"/>
      <c r="H6" s="91">
        <v>5</v>
      </c>
      <c r="I6" s="8">
        <v>4.8</v>
      </c>
      <c r="J6" s="21">
        <f t="shared" si="1"/>
        <v>0.90832164983411623</v>
      </c>
      <c r="K6" s="9">
        <f t="shared" si="2"/>
        <v>120</v>
      </c>
      <c r="L6" s="9">
        <f t="shared" si="3"/>
        <v>172.79999999999998</v>
      </c>
      <c r="M6" s="62">
        <v>43395</v>
      </c>
      <c r="N6" s="63">
        <f t="shared" ca="1" si="4"/>
        <v>1</v>
      </c>
      <c r="O6" s="19">
        <v>6.9</v>
      </c>
      <c r="P6" s="20">
        <f t="shared" si="5"/>
        <v>88</v>
      </c>
      <c r="Q6" s="20">
        <v>5</v>
      </c>
      <c r="R6" s="57">
        <f t="shared" si="6"/>
        <v>0.84515425472851657</v>
      </c>
      <c r="S6" s="57">
        <f t="shared" si="7"/>
        <v>0.92504826128926143</v>
      </c>
      <c r="T6" s="10">
        <v>165220</v>
      </c>
      <c r="U6" s="10">
        <f t="shared" si="8"/>
        <v>130</v>
      </c>
      <c r="V6" s="10">
        <v>34490</v>
      </c>
      <c r="W6" s="11">
        <f t="shared" si="9"/>
        <v>4.7903740214554942</v>
      </c>
      <c r="X6" s="442">
        <v>0</v>
      </c>
      <c r="Y6" s="21">
        <f>15+6/16+1/16*131/90+1/16*32/90</f>
        <v>15.488194444444444</v>
      </c>
      <c r="Z6" s="442">
        <v>6</v>
      </c>
      <c r="AA6" s="21">
        <f>6+2/3</f>
        <v>6.666666666666667</v>
      </c>
      <c r="AB6" s="442">
        <f>9+0/7</f>
        <v>9</v>
      </c>
      <c r="AC6" s="21">
        <v>2</v>
      </c>
      <c r="AD6" s="442">
        <f>13+1/2</f>
        <v>13.5</v>
      </c>
      <c r="AE6" s="12">
        <f>Planning!V4</f>
        <v>165.3</v>
      </c>
      <c r="AF6" s="12">
        <v>1606</v>
      </c>
      <c r="AG6" s="12">
        <v>1845</v>
      </c>
      <c r="AH6" s="11">
        <f t="shared" ca="1" si="10"/>
        <v>4.1426460628927044</v>
      </c>
      <c r="AI6" s="22">
        <f t="shared" ca="1" si="11"/>
        <v>14.702739594532641</v>
      </c>
      <c r="AJ6" s="22">
        <f t="shared" ca="1" si="12"/>
        <v>16.106044266099772</v>
      </c>
      <c r="AK6" s="22">
        <f t="shared" ca="1" si="13"/>
        <v>6.6837516901189451</v>
      </c>
      <c r="AL6" s="22">
        <f t="shared" ca="1" si="14"/>
        <v>7.3216831388828503</v>
      </c>
      <c r="AM6" s="22">
        <f t="shared" ca="1" si="15"/>
        <v>13.867562855311334</v>
      </c>
      <c r="AN6" s="22">
        <f t="shared" ca="1" si="16"/>
        <v>15.191153986949535</v>
      </c>
      <c r="AO6" s="11">
        <f t="shared" ca="1" si="17"/>
        <v>11.958321649834115</v>
      </c>
      <c r="AP6" s="20">
        <v>1</v>
      </c>
      <c r="AQ6" s="20">
        <v>2</v>
      </c>
      <c r="AR6" s="20">
        <v>1</v>
      </c>
      <c r="AS6" s="57">
        <f t="shared" si="18"/>
        <v>6.1499999999999999E-2</v>
      </c>
      <c r="AT6" s="10">
        <v>165090</v>
      </c>
    </row>
    <row r="7" spans="1:46" x14ac:dyDescent="0.25">
      <c r="A7" s="407" t="s">
        <v>159</v>
      </c>
      <c r="B7" s="49" t="s">
        <v>157</v>
      </c>
      <c r="C7" s="359">
        <f t="shared" ca="1" si="0"/>
        <v>9.9107142857142865</v>
      </c>
      <c r="D7" s="95" t="s">
        <v>27</v>
      </c>
      <c r="E7" s="4">
        <v>26</v>
      </c>
      <c r="F7" s="5">
        <f ca="1">$D$2-$D$1-1102-17-112-112-112-112-112-112</f>
        <v>10</v>
      </c>
      <c r="G7" s="6"/>
      <c r="H7" s="7">
        <v>4</v>
      </c>
      <c r="I7" s="8">
        <v>6</v>
      </c>
      <c r="J7" s="21">
        <f t="shared" si="1"/>
        <v>1.0375350005115249</v>
      </c>
      <c r="K7" s="9">
        <f t="shared" si="2"/>
        <v>96</v>
      </c>
      <c r="L7" s="9">
        <f t="shared" si="3"/>
        <v>150</v>
      </c>
      <c r="M7" s="62">
        <v>43410</v>
      </c>
      <c r="N7" s="63">
        <f t="shared" ca="1" si="4"/>
        <v>1</v>
      </c>
      <c r="O7" s="19">
        <v>6.9</v>
      </c>
      <c r="P7" s="20">
        <f t="shared" si="5"/>
        <v>88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10">
        <v>187790</v>
      </c>
      <c r="U7" s="10">
        <f t="shared" si="8"/>
        <v>10000</v>
      </c>
      <c r="V7" s="10">
        <v>35040</v>
      </c>
      <c r="W7" s="11">
        <f t="shared" si="9"/>
        <v>5.3593036529680367</v>
      </c>
      <c r="X7" s="442">
        <v>0</v>
      </c>
      <c r="Y7" s="21">
        <f>15+7/16+1.3/16</f>
        <v>15.518750000000001</v>
      </c>
      <c r="Z7" s="442">
        <v>5</v>
      </c>
      <c r="AA7" s="21">
        <f>7+3.5/4</f>
        <v>7.875</v>
      </c>
      <c r="AB7" s="442">
        <f>8+4/6</f>
        <v>8.6666666666666661</v>
      </c>
      <c r="AC7" s="21">
        <v>1</v>
      </c>
      <c r="AD7" s="442">
        <v>13</v>
      </c>
      <c r="AE7" s="12">
        <f>Planning!V6</f>
        <v>163</v>
      </c>
      <c r="AF7" s="12">
        <v>1532</v>
      </c>
      <c r="AG7" s="12">
        <v>1795</v>
      </c>
      <c r="AH7" s="11">
        <f t="shared" ca="1" si="10"/>
        <v>4.5092864552242222</v>
      </c>
      <c r="AI7" s="22">
        <f t="shared" ca="1" si="11"/>
        <v>16.25396153080893</v>
      </c>
      <c r="AJ7" s="22">
        <f t="shared" ca="1" si="12"/>
        <v>17.556285000511526</v>
      </c>
      <c r="AK7" s="22">
        <f t="shared" ca="1" si="13"/>
        <v>6.515491356326403</v>
      </c>
      <c r="AL7" s="22">
        <f t="shared" ca="1" si="14"/>
        <v>7.0375350005115251</v>
      </c>
      <c r="AM7" s="22">
        <f t="shared" ca="1" si="15"/>
        <v>14.847872254279366</v>
      </c>
      <c r="AN7" s="22">
        <f t="shared" ca="1" si="16"/>
        <v>16.037535000511525</v>
      </c>
      <c r="AO7" s="11">
        <f t="shared" ca="1" si="17"/>
        <v>11.437535000511524</v>
      </c>
      <c r="AP7" s="20">
        <v>3</v>
      </c>
      <c r="AQ7" s="20">
        <v>2</v>
      </c>
      <c r="AR7" s="20">
        <v>2</v>
      </c>
      <c r="AS7" s="57">
        <f t="shared" si="18"/>
        <v>6.1499999999999999E-2</v>
      </c>
      <c r="AT7" s="10">
        <v>177790</v>
      </c>
    </row>
    <row r="8" spans="1:46" x14ac:dyDescent="0.25">
      <c r="A8" s="407" t="s">
        <v>160</v>
      </c>
      <c r="B8" s="49" t="s">
        <v>157</v>
      </c>
      <c r="C8" s="359">
        <f t="shared" ca="1" si="0"/>
        <v>9.4642857142857135</v>
      </c>
      <c r="D8" s="95" t="s">
        <v>68</v>
      </c>
      <c r="E8" s="4">
        <v>26</v>
      </c>
      <c r="F8" s="5">
        <f ca="1">$D$2-$D$1-1069-112-112-112-112-112-112</f>
        <v>60</v>
      </c>
      <c r="G8" s="6"/>
      <c r="H8" s="7">
        <v>1</v>
      </c>
      <c r="I8" s="8">
        <v>6.5</v>
      </c>
      <c r="J8" s="21">
        <f t="shared" si="1"/>
        <v>1.0838844755238075</v>
      </c>
      <c r="K8" s="9">
        <f t="shared" si="2"/>
        <v>6.5</v>
      </c>
      <c r="L8" s="9">
        <f t="shared" si="3"/>
        <v>26</v>
      </c>
      <c r="M8" s="62">
        <v>43383</v>
      </c>
      <c r="N8" s="63">
        <f t="shared" ca="1" si="4"/>
        <v>1</v>
      </c>
      <c r="O8" s="19">
        <v>6.9</v>
      </c>
      <c r="P8" s="20">
        <f t="shared" si="5"/>
        <v>88</v>
      </c>
      <c r="Q8" s="20">
        <v>5</v>
      </c>
      <c r="R8" s="57">
        <f t="shared" si="6"/>
        <v>0.84515425472851657</v>
      </c>
      <c r="S8" s="57">
        <f t="shared" si="7"/>
        <v>0.92504826128926143</v>
      </c>
      <c r="T8" s="10">
        <v>164890</v>
      </c>
      <c r="U8" s="10">
        <f t="shared" si="8"/>
        <v>570</v>
      </c>
      <c r="V8" s="10">
        <v>22400</v>
      </c>
      <c r="W8" s="11">
        <f t="shared" si="9"/>
        <v>7.3611607142857141</v>
      </c>
      <c r="X8" s="442">
        <v>0</v>
      </c>
      <c r="Y8" s="21">
        <f>14+2/16</f>
        <v>14.125</v>
      </c>
      <c r="Z8" s="442">
        <v>3</v>
      </c>
      <c r="AA8" s="21">
        <f>8+0.5/4.5</f>
        <v>8.1111111111111107</v>
      </c>
      <c r="AB8" s="442">
        <f>11+6/7</f>
        <v>11.857142857142858</v>
      </c>
      <c r="AC8" s="21">
        <v>4</v>
      </c>
      <c r="AD8" s="442">
        <v>14</v>
      </c>
      <c r="AE8" s="12">
        <f>Planning!V5</f>
        <v>164</v>
      </c>
      <c r="AF8" s="12">
        <v>1629</v>
      </c>
      <c r="AG8" s="12">
        <v>1861</v>
      </c>
      <c r="AH8" s="11">
        <f t="shared" ca="1" si="10"/>
        <v>4.6579556012339376</v>
      </c>
      <c r="AI8" s="22">
        <f t="shared" ca="1" si="11"/>
        <v>13.699007678891947</v>
      </c>
      <c r="AJ8" s="22">
        <f t="shared" ca="1" si="12"/>
        <v>15.006511042331214</v>
      </c>
      <c r="AK8" s="22">
        <f t="shared" ca="1" si="13"/>
        <v>4.2966665950371983</v>
      </c>
      <c r="AL8" s="22">
        <f t="shared" ca="1" si="14"/>
        <v>4.7067624323615762</v>
      </c>
      <c r="AM8" s="22">
        <f t="shared" ca="1" si="15"/>
        <v>14.438517651779398</v>
      </c>
      <c r="AN8" s="22">
        <f t="shared" ca="1" si="16"/>
        <v>15.816603629632192</v>
      </c>
      <c r="AO8" s="11">
        <f t="shared" ca="1" si="17"/>
        <v>13.083884475523808</v>
      </c>
      <c r="AP8" s="20">
        <v>0</v>
      </c>
      <c r="AQ8" s="20">
        <v>3</v>
      </c>
      <c r="AR8" s="20">
        <v>2</v>
      </c>
      <c r="AS8" s="57">
        <f t="shared" si="18"/>
        <v>0.1158</v>
      </c>
      <c r="AT8" s="10">
        <v>164320</v>
      </c>
    </row>
    <row r="9" spans="1:46" x14ac:dyDescent="0.25">
      <c r="A9" s="407" t="s">
        <v>161</v>
      </c>
      <c r="B9" s="49" t="s">
        <v>157</v>
      </c>
      <c r="C9" s="359">
        <f t="shared" ca="1" si="0"/>
        <v>9.5982142857142865</v>
      </c>
      <c r="D9" s="95" t="s">
        <v>49</v>
      </c>
      <c r="E9" s="4">
        <v>26</v>
      </c>
      <c r="F9" s="5">
        <f ca="1">$D$2-$D$1-880+55-112-112-14-21-112-112-112-112-112-112</f>
        <v>45</v>
      </c>
      <c r="G9" s="6"/>
      <c r="H9" s="7">
        <v>4</v>
      </c>
      <c r="I9" s="8">
        <v>7</v>
      </c>
      <c r="J9" s="21">
        <f t="shared" si="1"/>
        <v>1.1267973866856758</v>
      </c>
      <c r="K9" s="9">
        <f t="shared" si="2"/>
        <v>112</v>
      </c>
      <c r="L9" s="9">
        <f t="shared" si="3"/>
        <v>175</v>
      </c>
      <c r="M9" s="62">
        <v>43419</v>
      </c>
      <c r="N9" s="63">
        <f t="shared" ca="1" si="4"/>
        <v>1</v>
      </c>
      <c r="O9" s="19">
        <v>6.9</v>
      </c>
      <c r="P9" s="20">
        <f t="shared" si="5"/>
        <v>88</v>
      </c>
      <c r="Q9" s="20">
        <v>6</v>
      </c>
      <c r="R9" s="57">
        <f t="shared" si="6"/>
        <v>0.92582009977255142</v>
      </c>
      <c r="S9" s="57">
        <f t="shared" si="7"/>
        <v>0.99928545900129484</v>
      </c>
      <c r="T9" s="10">
        <v>172110</v>
      </c>
      <c r="U9" s="10">
        <f t="shared" si="8"/>
        <v>470</v>
      </c>
      <c r="V9" s="10">
        <v>12870</v>
      </c>
      <c r="W9" s="11">
        <f t="shared" si="9"/>
        <v>13.372960372960373</v>
      </c>
      <c r="X9" s="442">
        <v>0</v>
      </c>
      <c r="Y9" s="21">
        <f>12+4.2/11</f>
        <v>12.381818181818183</v>
      </c>
      <c r="Z9" s="442">
        <f>11+1/9</f>
        <v>11.111111111111111</v>
      </c>
      <c r="AA9" s="21">
        <f>4+1/2.5</f>
        <v>4.4000000000000004</v>
      </c>
      <c r="AB9" s="442">
        <f>11+0/7</f>
        <v>11</v>
      </c>
      <c r="AC9" s="21">
        <v>4</v>
      </c>
      <c r="AD9" s="442">
        <f>13+1/2</f>
        <v>13.5</v>
      </c>
      <c r="AE9" s="12">
        <f>Planning!V7</f>
        <v>161.5</v>
      </c>
      <c r="AF9" s="12">
        <v>1635</v>
      </c>
      <c r="AG9" s="12">
        <v>1950</v>
      </c>
      <c r="AH9" s="11">
        <f t="shared" ca="1" si="10"/>
        <v>4.7173092057080792</v>
      </c>
      <c r="AI9" s="22">
        <f t="shared" ca="1" si="11"/>
        <v>13.432367913193834</v>
      </c>
      <c r="AJ9" s="22">
        <f t="shared" ca="1" si="12"/>
        <v>14.508615568503858</v>
      </c>
      <c r="AK9" s="22">
        <f t="shared" ca="1" si="13"/>
        <v>12.255921766210127</v>
      </c>
      <c r="AL9" s="22">
        <f t="shared" ca="1" si="14"/>
        <v>13.237908497796786</v>
      </c>
      <c r="AM9" s="22">
        <f t="shared" ca="1" si="15"/>
        <v>15.393423215439327</v>
      </c>
      <c r="AN9" s="22">
        <f t="shared" ca="1" si="16"/>
        <v>16.626797386685677</v>
      </c>
      <c r="AO9" s="11">
        <f t="shared" ca="1" si="17"/>
        <v>12.776797386685674</v>
      </c>
      <c r="AP9" s="20">
        <v>0</v>
      </c>
      <c r="AQ9" s="20">
        <v>2</v>
      </c>
      <c r="AR9" s="20">
        <v>2</v>
      </c>
      <c r="AS9" s="57">
        <f t="shared" si="18"/>
        <v>6.1499999999999999E-2</v>
      </c>
      <c r="AT9" s="10">
        <v>171640</v>
      </c>
    </row>
    <row r="10" spans="1:46" x14ac:dyDescent="0.25">
      <c r="A10" s="407" t="s">
        <v>162</v>
      </c>
      <c r="B10" s="49" t="s">
        <v>157</v>
      </c>
      <c r="C10" s="359">
        <f t="shared" ca="1" si="0"/>
        <v>9.2142857142857135</v>
      </c>
      <c r="D10" s="95" t="s">
        <v>64</v>
      </c>
      <c r="E10" s="4">
        <v>26</v>
      </c>
      <c r="F10" s="5">
        <f ca="1">$D$2-$D$1-1377-112-112-112</f>
        <v>88</v>
      </c>
      <c r="G10" s="6"/>
      <c r="H10" s="7">
        <v>2</v>
      </c>
      <c r="I10" s="8">
        <v>6.5</v>
      </c>
      <c r="J10" s="21">
        <f t="shared" si="1"/>
        <v>1.0838844755238075</v>
      </c>
      <c r="K10" s="9">
        <f t="shared" si="2"/>
        <v>26</v>
      </c>
      <c r="L10" s="9">
        <f t="shared" si="3"/>
        <v>58.5</v>
      </c>
      <c r="M10" s="62">
        <v>43706</v>
      </c>
      <c r="N10" s="63">
        <f t="shared" ca="1" si="4"/>
        <v>1</v>
      </c>
      <c r="O10" s="19">
        <v>6.7</v>
      </c>
      <c r="P10" s="20">
        <f t="shared" si="5"/>
        <v>86</v>
      </c>
      <c r="Q10" s="20">
        <v>6</v>
      </c>
      <c r="R10" s="57">
        <f t="shared" si="6"/>
        <v>0.92582009977255142</v>
      </c>
      <c r="S10" s="57">
        <f t="shared" si="7"/>
        <v>0.99928545900129484</v>
      </c>
      <c r="T10" s="10">
        <v>179220</v>
      </c>
      <c r="U10" s="10">
        <f t="shared" si="8"/>
        <v>25830</v>
      </c>
      <c r="V10" s="10">
        <v>21410</v>
      </c>
      <c r="W10" s="11">
        <f t="shared" si="9"/>
        <v>8.3708547407753393</v>
      </c>
      <c r="X10" s="442">
        <v>0</v>
      </c>
      <c r="Y10" s="21">
        <f>14+3/16</f>
        <v>14.1875</v>
      </c>
      <c r="Z10" s="442">
        <f>5+0.5/4</f>
        <v>5.125</v>
      </c>
      <c r="AA10" s="21">
        <v>2</v>
      </c>
      <c r="AB10" s="442">
        <f>12+1/9</f>
        <v>12.111111111111111</v>
      </c>
      <c r="AC10" s="21">
        <v>6</v>
      </c>
      <c r="AD10" s="442">
        <f>12.5</f>
        <v>12.5</v>
      </c>
      <c r="AE10" s="12">
        <f>Planning!V8</f>
        <v>160.5</v>
      </c>
      <c r="AF10" s="12">
        <v>1658</v>
      </c>
      <c r="AG10" s="12">
        <v>1824</v>
      </c>
      <c r="AH10" s="11">
        <f t="shared" ca="1" si="10"/>
        <v>5.1685499073931922</v>
      </c>
      <c r="AI10" s="22">
        <f t="shared" ca="1" si="11"/>
        <v>15.064374798566998</v>
      </c>
      <c r="AJ10" s="22">
        <f t="shared" ca="1" si="12"/>
        <v>16.27138447552381</v>
      </c>
      <c r="AK10" s="22">
        <f t="shared" ca="1" si="13"/>
        <v>6.6741301443782479</v>
      </c>
      <c r="AL10" s="22">
        <f t="shared" ca="1" si="14"/>
        <v>7.2088844755238073</v>
      </c>
      <c r="AM10" s="22">
        <f t="shared" ca="1" si="15"/>
        <v>14.427873479973368</v>
      </c>
      <c r="AN10" s="22">
        <f t="shared" ca="1" si="16"/>
        <v>15.583884475523808</v>
      </c>
      <c r="AO10" s="11">
        <f t="shared" ca="1" si="17"/>
        <v>12.633884475523807</v>
      </c>
      <c r="AP10" s="20">
        <v>2</v>
      </c>
      <c r="AQ10" s="20">
        <v>2</v>
      </c>
      <c r="AR10" s="20">
        <v>1</v>
      </c>
      <c r="AS10" s="57">
        <f t="shared" si="18"/>
        <v>6.1499999999999999E-2</v>
      </c>
      <c r="AT10" s="10">
        <v>153390</v>
      </c>
    </row>
    <row r="11" spans="1:46" x14ac:dyDescent="0.25">
      <c r="A11" s="407" t="s">
        <v>163</v>
      </c>
      <c r="B11" s="49" t="s">
        <v>164</v>
      </c>
      <c r="C11" s="359">
        <f t="shared" ca="1" si="0"/>
        <v>9.7767857142857135</v>
      </c>
      <c r="D11" s="95" t="s">
        <v>20</v>
      </c>
      <c r="E11" s="4">
        <v>26</v>
      </c>
      <c r="F11" s="5">
        <f ca="1">$D$2-$D$1-880-112-112-112-112-112-112-112-112</f>
        <v>25</v>
      </c>
      <c r="G11" s="6" t="s">
        <v>165</v>
      </c>
      <c r="H11" s="91">
        <v>5</v>
      </c>
      <c r="I11" s="8">
        <v>7.5</v>
      </c>
      <c r="J11" s="21">
        <f t="shared" si="1"/>
        <v>1.1667483511889334</v>
      </c>
      <c r="K11" s="9">
        <f t="shared" si="2"/>
        <v>187.5</v>
      </c>
      <c r="L11" s="9">
        <f t="shared" si="3"/>
        <v>270</v>
      </c>
      <c r="M11" s="62">
        <v>43137</v>
      </c>
      <c r="N11" s="63">
        <f t="shared" ca="1" si="4"/>
        <v>1</v>
      </c>
      <c r="O11" s="19">
        <v>6.9</v>
      </c>
      <c r="P11" s="20">
        <f t="shared" si="5"/>
        <v>88</v>
      </c>
      <c r="Q11" s="20">
        <v>5</v>
      </c>
      <c r="R11" s="57">
        <f t="shared" si="6"/>
        <v>0.84515425472851657</v>
      </c>
      <c r="S11" s="57">
        <f t="shared" si="7"/>
        <v>0.92504826128926143</v>
      </c>
      <c r="T11" s="10">
        <v>191350</v>
      </c>
      <c r="U11" s="10">
        <f t="shared" si="8"/>
        <v>-1260</v>
      </c>
      <c r="V11" s="10">
        <v>20710</v>
      </c>
      <c r="W11" s="11">
        <f t="shared" si="9"/>
        <v>9.239497827136649</v>
      </c>
      <c r="X11" s="442">
        <v>0</v>
      </c>
      <c r="Y11" s="21">
        <f>13+7/12</f>
        <v>13.583333333333334</v>
      </c>
      <c r="Z11" s="442">
        <v>4</v>
      </c>
      <c r="AA11" s="21">
        <f>13+1/7.5</f>
        <v>13.133333333333333</v>
      </c>
      <c r="AB11" s="442">
        <f>8+0/5</f>
        <v>8</v>
      </c>
      <c r="AC11" s="21">
        <f>5.25+0.25+0.25+0.25+0.25+0.25+0.25+0.25</f>
        <v>7</v>
      </c>
      <c r="AD11" s="442">
        <v>14</v>
      </c>
      <c r="AE11" s="12">
        <f>Planning!V9</f>
        <v>171</v>
      </c>
      <c r="AF11" s="12">
        <v>1723</v>
      </c>
      <c r="AG11" s="12">
        <v>1969</v>
      </c>
      <c r="AH11" s="11">
        <f t="shared" ca="1" si="10"/>
        <v>3.8120237249398241</v>
      </c>
      <c r="AI11" s="22">
        <f t="shared" ca="1" si="11"/>
        <v>13.311248547995676</v>
      </c>
      <c r="AJ11" s="22">
        <f t="shared" ca="1" si="12"/>
        <v>14.581742196590241</v>
      </c>
      <c r="AK11" s="22">
        <f t="shared" ca="1" si="13"/>
        <v>5.2118536068473915</v>
      </c>
      <c r="AL11" s="22">
        <f t="shared" ca="1" si="14"/>
        <v>5.7092995737699548</v>
      </c>
      <c r="AM11" s="22">
        <f t="shared" ca="1" si="15"/>
        <v>14.508550408861073</v>
      </c>
      <c r="AN11" s="22">
        <f t="shared" ca="1" si="16"/>
        <v>15.89332067126802</v>
      </c>
      <c r="AO11" s="11">
        <f t="shared" ca="1" si="17"/>
        <v>14.066748351188934</v>
      </c>
      <c r="AP11" s="20">
        <v>1</v>
      </c>
      <c r="AQ11" s="20">
        <v>2</v>
      </c>
      <c r="AR11" s="20">
        <v>3</v>
      </c>
      <c r="AS11" s="57">
        <f t="shared" si="18"/>
        <v>6.1499999999999999E-2</v>
      </c>
      <c r="AT11" s="10">
        <v>192610</v>
      </c>
    </row>
    <row r="12" spans="1:46" x14ac:dyDescent="0.25">
      <c r="A12" s="407" t="s">
        <v>166</v>
      </c>
      <c r="B12" s="49" t="s">
        <v>164</v>
      </c>
      <c r="C12" s="359">
        <f t="shared" ca="1" si="0"/>
        <v>10.125</v>
      </c>
      <c r="D12" s="95" t="s">
        <v>167</v>
      </c>
      <c r="E12" s="4">
        <v>25</v>
      </c>
      <c r="F12" s="5">
        <f ca="1">$D$2-$D$1-1479-112-112</f>
        <v>98</v>
      </c>
      <c r="G12" s="6" t="s">
        <v>168</v>
      </c>
      <c r="H12" s="7">
        <v>3</v>
      </c>
      <c r="I12" s="8">
        <v>7.6</v>
      </c>
      <c r="J12" s="21">
        <f t="shared" si="1"/>
        <v>1.1744181230410551</v>
      </c>
      <c r="K12" s="9">
        <f t="shared" si="2"/>
        <v>68.399999999999991</v>
      </c>
      <c r="L12" s="9">
        <f t="shared" si="3"/>
        <v>121.6</v>
      </c>
      <c r="M12" s="62">
        <v>43122</v>
      </c>
      <c r="N12" s="63">
        <f t="shared" ca="1" si="4"/>
        <v>1</v>
      </c>
      <c r="O12" s="19">
        <v>7</v>
      </c>
      <c r="P12" s="20">
        <f t="shared" si="5"/>
        <v>89</v>
      </c>
      <c r="Q12" s="20">
        <v>7</v>
      </c>
      <c r="R12" s="57">
        <f t="shared" si="6"/>
        <v>1</v>
      </c>
      <c r="S12" s="57">
        <f t="shared" si="7"/>
        <v>1</v>
      </c>
      <c r="T12" s="10">
        <v>251480</v>
      </c>
      <c r="U12" s="10">
        <f t="shared" si="8"/>
        <v>21520</v>
      </c>
      <c r="V12" s="10">
        <v>15490</v>
      </c>
      <c r="W12" s="11">
        <f t="shared" si="9"/>
        <v>16.234990316333118</v>
      </c>
      <c r="X12" s="442">
        <v>0</v>
      </c>
      <c r="Y12" s="21">
        <f>13+0/13</f>
        <v>13</v>
      </c>
      <c r="Z12" s="442">
        <f>3+0.5/3</f>
        <v>3.1666666666666665</v>
      </c>
      <c r="AA12" s="21">
        <f>13+6/7.5</f>
        <v>13.8</v>
      </c>
      <c r="AB12" s="442">
        <f>9+5/6</f>
        <v>9.8333333333333339</v>
      </c>
      <c r="AC12" s="21">
        <f>4.25+0.25+0.25+0.25+0.25+0.25+0.25+0.25+0.25+0.25+0.25+0.25</f>
        <v>7</v>
      </c>
      <c r="AD12" s="442">
        <f>14+1/2</f>
        <v>14.5</v>
      </c>
      <c r="AE12" s="12">
        <f>Planning!V14</f>
        <v>175</v>
      </c>
      <c r="AF12" s="12">
        <v>1742</v>
      </c>
      <c r="AG12" s="12">
        <v>2111</v>
      </c>
      <c r="AH12" s="11">
        <f t="shared" ca="1" si="10"/>
        <v>4.8987401294737296</v>
      </c>
      <c r="AI12" s="22">
        <f t="shared" ca="1" si="11"/>
        <v>15.174418123041056</v>
      </c>
      <c r="AJ12" s="22">
        <f t="shared" ca="1" si="12"/>
        <v>15.174418123041056</v>
      </c>
      <c r="AK12" s="22">
        <f t="shared" ca="1" si="13"/>
        <v>5.3410847897077209</v>
      </c>
      <c r="AL12" s="22">
        <f t="shared" ca="1" si="14"/>
        <v>5.3410847897077209</v>
      </c>
      <c r="AM12" s="22">
        <f t="shared" ca="1" si="15"/>
        <v>17.674418123041054</v>
      </c>
      <c r="AN12" s="22">
        <f t="shared" ca="1" si="16"/>
        <v>17.674418123041054</v>
      </c>
      <c r="AO12" s="11">
        <f t="shared" ca="1" si="17"/>
        <v>14.424418123041056</v>
      </c>
      <c r="AP12" s="20">
        <v>2</v>
      </c>
      <c r="AQ12" s="20">
        <v>0</v>
      </c>
      <c r="AR12" s="20">
        <v>2</v>
      </c>
      <c r="AS12" s="57">
        <f t="shared" si="18"/>
        <v>2.63E-2</v>
      </c>
      <c r="AT12" s="10">
        <v>229960</v>
      </c>
    </row>
    <row r="13" spans="1:46" x14ac:dyDescent="0.25">
      <c r="A13" s="407" t="s">
        <v>169</v>
      </c>
      <c r="B13" s="49" t="s">
        <v>164</v>
      </c>
      <c r="C13" s="359">
        <f t="shared" ca="1" si="0"/>
        <v>9.7767857142857135</v>
      </c>
      <c r="D13" s="95" t="s">
        <v>31</v>
      </c>
      <c r="E13" s="4">
        <v>26</v>
      </c>
      <c r="F13" s="5">
        <f ca="1">$D$2-$D$1-880-112-112-112-112-112-112-112-112</f>
        <v>25</v>
      </c>
      <c r="G13" s="6" t="s">
        <v>165</v>
      </c>
      <c r="H13" s="30">
        <v>6</v>
      </c>
      <c r="I13" s="8">
        <v>7</v>
      </c>
      <c r="J13" s="21">
        <f t="shared" si="1"/>
        <v>1.1267973866856758</v>
      </c>
      <c r="K13" s="9">
        <f t="shared" si="2"/>
        <v>252</v>
      </c>
      <c r="L13" s="9">
        <f t="shared" si="3"/>
        <v>343</v>
      </c>
      <c r="M13" s="62">
        <v>43051</v>
      </c>
      <c r="N13" s="63">
        <f t="shared" ca="1" si="4"/>
        <v>1</v>
      </c>
      <c r="O13" s="19">
        <v>7</v>
      </c>
      <c r="P13" s="20">
        <f t="shared" si="5"/>
        <v>89</v>
      </c>
      <c r="Q13" s="20">
        <v>3</v>
      </c>
      <c r="R13" s="57">
        <f t="shared" si="6"/>
        <v>0.65465367070797709</v>
      </c>
      <c r="S13" s="57">
        <f t="shared" si="7"/>
        <v>0.75498344352707503</v>
      </c>
      <c r="T13" s="10">
        <v>133390</v>
      </c>
      <c r="U13" s="10">
        <f t="shared" si="8"/>
        <v>-7310</v>
      </c>
      <c r="V13" s="10">
        <v>12690</v>
      </c>
      <c r="W13" s="11">
        <f t="shared" si="9"/>
        <v>10.511426319936959</v>
      </c>
      <c r="X13" s="442">
        <v>0</v>
      </c>
      <c r="Y13" s="21">
        <f>12+5/11</f>
        <v>12.454545454545455</v>
      </c>
      <c r="Z13" s="442">
        <f>3+0.5/3</f>
        <v>3.1666666666666665</v>
      </c>
      <c r="AA13" s="21">
        <f>12+5/7</f>
        <v>12.714285714285714</v>
      </c>
      <c r="AB13" s="442">
        <f>9+1/6</f>
        <v>9.1666666666666661</v>
      </c>
      <c r="AC13" s="21">
        <f>3.34+0.34+0.33+0.33+0.33+0.33+0.33+0.33+0.33+0.26+0.25+0.25+0.25+0.25</f>
        <v>7.25</v>
      </c>
      <c r="AD13" s="442">
        <f>14+1/2</f>
        <v>14.5</v>
      </c>
      <c r="AE13" s="12">
        <f>Planning!V10</f>
        <v>163.5</v>
      </c>
      <c r="AF13" s="12">
        <v>1570</v>
      </c>
      <c r="AG13" s="12">
        <v>1930</v>
      </c>
      <c r="AH13" s="11">
        <f t="shared" ca="1" si="10"/>
        <v>3.0415431262418551</v>
      </c>
      <c r="AI13" s="22">
        <f t="shared" ca="1" si="11"/>
        <v>9.5457296148634434</v>
      </c>
      <c r="AJ13" s="22">
        <f t="shared" ca="1" si="12"/>
        <v>11.022459125505584</v>
      </c>
      <c r="AK13" s="22">
        <f t="shared" ca="1" si="13"/>
        <v>3.4653856732878374</v>
      </c>
      <c r="AL13" s="22">
        <f t="shared" ca="1" si="14"/>
        <v>4.0014827026372108</v>
      </c>
      <c r="AM13" s="22">
        <f t="shared" ca="1" si="15"/>
        <v>11.539447612019556</v>
      </c>
      <c r="AN13" s="22">
        <f t="shared" ca="1" si="16"/>
        <v>13.324606370198151</v>
      </c>
      <c r="AO13" s="11">
        <f t="shared" ca="1" si="17"/>
        <v>14.451797386685673</v>
      </c>
      <c r="AP13" s="20">
        <v>2</v>
      </c>
      <c r="AQ13" s="20">
        <v>2</v>
      </c>
      <c r="AR13" s="20">
        <v>1</v>
      </c>
      <c r="AS13" s="57">
        <f t="shared" si="18"/>
        <v>6.1499999999999999E-2</v>
      </c>
      <c r="AT13" s="10">
        <v>140700</v>
      </c>
    </row>
    <row r="14" spans="1:46" x14ac:dyDescent="0.25">
      <c r="A14" s="407" t="s">
        <v>170</v>
      </c>
      <c r="B14" s="49" t="s">
        <v>164</v>
      </c>
      <c r="C14" s="359">
        <f t="shared" ca="1" si="0"/>
        <v>9.8125</v>
      </c>
      <c r="D14" s="95" t="s">
        <v>14</v>
      </c>
      <c r="E14" s="4">
        <v>26</v>
      </c>
      <c r="F14" s="5">
        <f ca="1">$D$2-$D$1-880-4-112-112-112-112-112-112-112-112</f>
        <v>21</v>
      </c>
      <c r="G14" s="6" t="s">
        <v>168</v>
      </c>
      <c r="H14" s="7">
        <v>1</v>
      </c>
      <c r="I14" s="8">
        <v>8.1</v>
      </c>
      <c r="J14" s="21">
        <f t="shared" si="1"/>
        <v>1.2113133585048663</v>
      </c>
      <c r="K14" s="9">
        <f t="shared" si="2"/>
        <v>8.1</v>
      </c>
      <c r="L14" s="9">
        <f t="shared" si="3"/>
        <v>32.4</v>
      </c>
      <c r="M14" s="62">
        <v>43046</v>
      </c>
      <c r="N14" s="63">
        <v>1.5</v>
      </c>
      <c r="O14" s="19">
        <v>6.9</v>
      </c>
      <c r="P14" s="20">
        <f t="shared" si="5"/>
        <v>88</v>
      </c>
      <c r="Q14" s="20">
        <v>5</v>
      </c>
      <c r="R14" s="57">
        <f t="shared" si="6"/>
        <v>0.84515425472851657</v>
      </c>
      <c r="S14" s="57">
        <f t="shared" si="7"/>
        <v>0.92504826128926143</v>
      </c>
      <c r="T14" s="10">
        <v>221360</v>
      </c>
      <c r="U14" s="10">
        <f t="shared" si="8"/>
        <v>-10160</v>
      </c>
      <c r="V14" s="10">
        <v>20760</v>
      </c>
      <c r="W14" s="11">
        <f t="shared" si="9"/>
        <v>10.662813102119461</v>
      </c>
      <c r="X14" s="442">
        <v>0</v>
      </c>
      <c r="Y14" s="21">
        <f>11+5/10</f>
        <v>11.5</v>
      </c>
      <c r="Z14" s="442">
        <f>5+0.5/4+0.7</f>
        <v>5.8250000000000002</v>
      </c>
      <c r="AA14" s="21">
        <f>14+8/9</f>
        <v>14.888888888888889</v>
      </c>
      <c r="AB14" s="442">
        <f>9+0/6</f>
        <v>9</v>
      </c>
      <c r="AC14" s="21">
        <f>4.25+0.34+0.33+0.33+0.25+0.25+0.25+0.25+0.25+0.25+0.25+0.25+0.25</f>
        <v>7.5</v>
      </c>
      <c r="AD14" s="442">
        <v>15</v>
      </c>
      <c r="AE14" s="12">
        <f>Planning!V13</f>
        <v>175</v>
      </c>
      <c r="AF14" s="12">
        <v>1687</v>
      </c>
      <c r="AG14" s="12">
        <v>2048</v>
      </c>
      <c r="AH14" s="11">
        <f t="shared" si="10"/>
        <v>3.9758105721273993</v>
      </c>
      <c r="AI14" s="22">
        <f t="shared" si="11"/>
        <v>12.010751950220593</v>
      </c>
      <c r="AJ14" s="22">
        <f t="shared" si="12"/>
        <v>13.157119551469968</v>
      </c>
      <c r="AK14" s="22">
        <f t="shared" si="13"/>
        <v>7.2145015546362607</v>
      </c>
      <c r="AL14" s="22">
        <f t="shared" si="14"/>
        <v>7.9030904852607389</v>
      </c>
      <c r="AM14" s="22">
        <f t="shared" si="15"/>
        <v>15.813946096498917</v>
      </c>
      <c r="AN14" s="22">
        <f t="shared" si="16"/>
        <v>17.323310000446451</v>
      </c>
      <c r="AO14" s="11">
        <f t="shared" si="17"/>
        <v>15.461313358504867</v>
      </c>
      <c r="AP14" s="20">
        <v>4</v>
      </c>
      <c r="AQ14" s="20">
        <v>3</v>
      </c>
      <c r="AR14" s="20">
        <v>2</v>
      </c>
      <c r="AS14" s="57">
        <f t="shared" si="18"/>
        <v>0.1158</v>
      </c>
      <c r="AT14" s="10">
        <v>231520</v>
      </c>
    </row>
    <row r="15" spans="1:46" x14ac:dyDescent="0.25">
      <c r="A15" s="407" t="s">
        <v>171</v>
      </c>
      <c r="B15" s="49" t="s">
        <v>164</v>
      </c>
      <c r="C15" s="359">
        <f t="shared" ca="1" si="0"/>
        <v>9.8125</v>
      </c>
      <c r="D15" s="95" t="s">
        <v>172</v>
      </c>
      <c r="E15" s="4">
        <v>26</v>
      </c>
      <c r="F15" s="5">
        <f ca="1">$D$2-$D$1-880-4-112-112-112-112-112-112-112-112</f>
        <v>21</v>
      </c>
      <c r="G15" s="6" t="s">
        <v>165</v>
      </c>
      <c r="H15" s="30">
        <v>6</v>
      </c>
      <c r="I15" s="8">
        <v>6.9</v>
      </c>
      <c r="J15" s="21">
        <f t="shared" si="1"/>
        <v>1.1184654543163404</v>
      </c>
      <c r="K15" s="9">
        <f t="shared" si="2"/>
        <v>248.4</v>
      </c>
      <c r="L15" s="9">
        <f t="shared" si="3"/>
        <v>338.1</v>
      </c>
      <c r="M15" s="62">
        <v>43054</v>
      </c>
      <c r="N15" s="63">
        <f t="shared" ref="N15:N20" ca="1" si="19">IF((TODAY()-M15)&gt;335,1,((TODAY()-M15)^0.64)/(336^0.64))</f>
        <v>1</v>
      </c>
      <c r="O15" s="19">
        <v>6.9</v>
      </c>
      <c r="P15" s="20">
        <f t="shared" si="5"/>
        <v>88</v>
      </c>
      <c r="Q15" s="20">
        <v>4</v>
      </c>
      <c r="R15" s="57">
        <f t="shared" si="6"/>
        <v>0.7559289460184544</v>
      </c>
      <c r="S15" s="57">
        <f t="shared" si="7"/>
        <v>0.84430867747355465</v>
      </c>
      <c r="T15" s="10">
        <v>157800</v>
      </c>
      <c r="U15" s="10">
        <f t="shared" si="8"/>
        <v>-32960</v>
      </c>
      <c r="V15" s="10">
        <v>15810</v>
      </c>
      <c r="W15" s="11">
        <f t="shared" si="9"/>
        <v>9.9810246679316883</v>
      </c>
      <c r="X15" s="442">
        <v>0</v>
      </c>
      <c r="Y15" s="21">
        <f>11+8/10</f>
        <v>11.8</v>
      </c>
      <c r="Z15" s="442">
        <f>5+1/4</f>
        <v>5.25</v>
      </c>
      <c r="AA15" s="21">
        <f>14+0/9</f>
        <v>14</v>
      </c>
      <c r="AB15" s="442">
        <f>8+2/5</f>
        <v>8.4</v>
      </c>
      <c r="AC15" s="21">
        <v>8</v>
      </c>
      <c r="AD15" s="442">
        <v>14</v>
      </c>
      <c r="AE15" s="12">
        <f>Planning!V15</f>
        <v>166.5</v>
      </c>
      <c r="AF15" s="12">
        <v>1662</v>
      </c>
      <c r="AG15" s="12">
        <v>1942</v>
      </c>
      <c r="AH15" s="11">
        <f t="shared" ca="1" si="10"/>
        <v>3.3029744912876704</v>
      </c>
      <c r="AI15" s="22">
        <f t="shared" ca="1" si="11"/>
        <v>10.521370921075619</v>
      </c>
      <c r="AJ15" s="22">
        <f t="shared" ca="1" si="12"/>
        <v>11.76325029800733</v>
      </c>
      <c r="AK15" s="22">
        <f t="shared" ca="1" si="13"/>
        <v>5.5700363246547431</v>
      </c>
      <c r="AL15" s="22">
        <f t="shared" ca="1" si="14"/>
        <v>6.2274899295355475</v>
      </c>
      <c r="AM15" s="22">
        <f t="shared" ca="1" si="15"/>
        <v>12.940343548334672</v>
      </c>
      <c r="AN15" s="22">
        <f t="shared" ca="1" si="16"/>
        <v>14.467743913138582</v>
      </c>
      <c r="AO15" s="11">
        <f t="shared" ca="1" si="17"/>
        <v>14.318465454316339</v>
      </c>
      <c r="AP15" s="20">
        <v>2</v>
      </c>
      <c r="AQ15" s="20">
        <v>2</v>
      </c>
      <c r="AR15" s="20">
        <v>1</v>
      </c>
      <c r="AS15" s="57">
        <f t="shared" si="18"/>
        <v>6.1499999999999999E-2</v>
      </c>
      <c r="AT15" s="10">
        <v>190760</v>
      </c>
    </row>
    <row r="16" spans="1:46" x14ac:dyDescent="0.25">
      <c r="A16" s="407" t="s">
        <v>173</v>
      </c>
      <c r="B16" s="49" t="s">
        <v>174</v>
      </c>
      <c r="C16" s="359">
        <f t="shared" ca="1" si="0"/>
        <v>10.044642857142858</v>
      </c>
      <c r="D16" s="95" t="s">
        <v>175</v>
      </c>
      <c r="E16" s="4">
        <v>25</v>
      </c>
      <c r="F16" s="5">
        <f ca="1">$D$2-$D$1-1470-112-112</f>
        <v>107</v>
      </c>
      <c r="G16" s="6" t="s">
        <v>168</v>
      </c>
      <c r="H16" s="7">
        <v>2</v>
      </c>
      <c r="I16" s="8">
        <v>4.7</v>
      </c>
      <c r="J16" s="21">
        <f t="shared" si="1"/>
        <v>0.8961304772476234</v>
      </c>
      <c r="K16" s="9">
        <f t="shared" si="2"/>
        <v>18.8</v>
      </c>
      <c r="L16" s="9">
        <f t="shared" si="3"/>
        <v>42.300000000000004</v>
      </c>
      <c r="M16" s="62">
        <v>43744</v>
      </c>
      <c r="N16" s="63">
        <f t="shared" ca="1" si="19"/>
        <v>0.97892228102518331</v>
      </c>
      <c r="O16" s="19">
        <v>7</v>
      </c>
      <c r="P16" s="20">
        <f t="shared" si="5"/>
        <v>89</v>
      </c>
      <c r="Q16" s="20">
        <v>7</v>
      </c>
      <c r="R16" s="57">
        <f t="shared" si="6"/>
        <v>1</v>
      </c>
      <c r="S16" s="57">
        <f t="shared" si="7"/>
        <v>1</v>
      </c>
      <c r="T16" s="10">
        <v>114290</v>
      </c>
      <c r="U16" s="10">
        <f t="shared" si="8"/>
        <v>5690</v>
      </c>
      <c r="V16" s="10">
        <v>13548</v>
      </c>
      <c r="W16" s="11">
        <f t="shared" si="9"/>
        <v>8.4359315028048414</v>
      </c>
      <c r="X16" s="442">
        <v>0</v>
      </c>
      <c r="Y16" s="21">
        <f>12+6.5/11</f>
        <v>12.590909090909092</v>
      </c>
      <c r="Z16" s="442">
        <f>9+1/7</f>
        <v>9.1428571428571423</v>
      </c>
      <c r="AA16" s="21">
        <v>4</v>
      </c>
      <c r="AB16" s="442">
        <f>8+5/6</f>
        <v>8.8333333333333339</v>
      </c>
      <c r="AC16" s="21">
        <v>4</v>
      </c>
      <c r="AD16" s="442">
        <v>20</v>
      </c>
      <c r="AE16" s="12">
        <f>Planning!V11</f>
        <v>158</v>
      </c>
      <c r="AF16" s="12">
        <v>1558</v>
      </c>
      <c r="AG16" s="12">
        <v>1840</v>
      </c>
      <c r="AH16" s="11">
        <f t="shared" ca="1" si="10"/>
        <v>4.4853417540492728</v>
      </c>
      <c r="AI16" s="22">
        <f t="shared" ca="1" si="11"/>
        <v>14.465961849181898</v>
      </c>
      <c r="AJ16" s="22">
        <f t="shared" ca="1" si="12"/>
        <v>14.465961849181898</v>
      </c>
      <c r="AK16" s="22">
        <f t="shared" ca="1" si="13"/>
        <v>11.017909901129949</v>
      </c>
      <c r="AL16" s="22">
        <f t="shared" ca="1" si="14"/>
        <v>11.017909901129949</v>
      </c>
      <c r="AM16" s="22">
        <f t="shared" ca="1" si="15"/>
        <v>22.875052758272808</v>
      </c>
      <c r="AN16" s="22">
        <f t="shared" ca="1" si="16"/>
        <v>22.875052758272808</v>
      </c>
      <c r="AO16" s="11">
        <f t="shared" ca="1" si="17"/>
        <v>17.075052758272808</v>
      </c>
      <c r="AP16" s="20">
        <v>0</v>
      </c>
      <c r="AQ16" s="20">
        <v>3</v>
      </c>
      <c r="AR16" s="20">
        <v>2</v>
      </c>
      <c r="AS16" s="57">
        <f t="shared" si="18"/>
        <v>0.1158</v>
      </c>
      <c r="AT16" s="10">
        <v>108600</v>
      </c>
    </row>
    <row r="17" spans="1:46" x14ac:dyDescent="0.25">
      <c r="A17" s="407" t="s">
        <v>176</v>
      </c>
      <c r="B17" s="49" t="s">
        <v>174</v>
      </c>
      <c r="C17" s="359">
        <f t="shared" ca="1" si="0"/>
        <v>5.3482142857142856</v>
      </c>
      <c r="D17" s="345" t="s">
        <v>177</v>
      </c>
      <c r="E17" s="4">
        <v>30</v>
      </c>
      <c r="F17" s="5">
        <f ca="1">$D$2-$D$1-1600-16-112</f>
        <v>73</v>
      </c>
      <c r="G17" s="6" t="s">
        <v>178</v>
      </c>
      <c r="H17" s="7">
        <v>1</v>
      </c>
      <c r="I17" s="8">
        <v>8.1</v>
      </c>
      <c r="J17" s="21">
        <f t="shared" si="1"/>
        <v>1.2113133585048663</v>
      </c>
      <c r="K17" s="9">
        <f t="shared" si="2"/>
        <v>8.1</v>
      </c>
      <c r="L17" s="9">
        <f t="shared" si="3"/>
        <v>32.4</v>
      </c>
      <c r="M17" s="62">
        <v>43415</v>
      </c>
      <c r="N17" s="63">
        <f t="shared" ca="1" si="19"/>
        <v>1</v>
      </c>
      <c r="O17" s="19">
        <v>5.8</v>
      </c>
      <c r="P17" s="20">
        <f t="shared" si="5"/>
        <v>77</v>
      </c>
      <c r="Q17" s="20">
        <v>6</v>
      </c>
      <c r="R17" s="57">
        <f t="shared" si="6"/>
        <v>0.92582009977255142</v>
      </c>
      <c r="S17" s="57">
        <f t="shared" si="7"/>
        <v>0.99928545900129484</v>
      </c>
      <c r="T17" s="10">
        <v>134680</v>
      </c>
      <c r="U17" s="10">
        <f t="shared" si="8"/>
        <v>-2450</v>
      </c>
      <c r="V17" s="10">
        <v>16236</v>
      </c>
      <c r="W17" s="11">
        <f t="shared" si="9"/>
        <v>8.2951465878295139</v>
      </c>
      <c r="X17" s="442">
        <v>0</v>
      </c>
      <c r="Y17" s="21">
        <v>11</v>
      </c>
      <c r="Z17" s="442">
        <v>10</v>
      </c>
      <c r="AA17" s="21">
        <v>5</v>
      </c>
      <c r="AB17" s="442">
        <v>13</v>
      </c>
      <c r="AC17" s="21">
        <v>5</v>
      </c>
      <c r="AD17" s="442">
        <v>15</v>
      </c>
      <c r="AE17" s="12">
        <f>46+33+5.5+52+8+18</f>
        <v>162.5</v>
      </c>
      <c r="AF17" s="12">
        <v>1720</v>
      </c>
      <c r="AG17" s="12"/>
      <c r="AH17" s="11">
        <f t="shared" ca="1" si="10"/>
        <v>5.0496473442728069</v>
      </c>
      <c r="AI17" s="22">
        <f t="shared" ca="1" si="11"/>
        <v>12.231299451697417</v>
      </c>
      <c r="AJ17" s="22">
        <f t="shared" ca="1" si="12"/>
        <v>13.211313358504867</v>
      </c>
      <c r="AK17" s="22">
        <f t="shared" ca="1" si="13"/>
        <v>11.305479351924866</v>
      </c>
      <c r="AL17" s="22">
        <f t="shared" ca="1" si="14"/>
        <v>12.211313358504867</v>
      </c>
      <c r="AM17" s="22">
        <f t="shared" ca="1" si="15"/>
        <v>16.860399950560176</v>
      </c>
      <c r="AN17" s="22">
        <f t="shared" ca="1" si="16"/>
        <v>18.211313358504867</v>
      </c>
      <c r="AO17" s="11">
        <f t="shared" ca="1" si="17"/>
        <v>14.211313358504867</v>
      </c>
      <c r="AP17" s="20">
        <v>2</v>
      </c>
      <c r="AQ17" s="20">
        <v>3</v>
      </c>
      <c r="AR17" s="20">
        <v>0</v>
      </c>
      <c r="AS17" s="57">
        <f t="shared" si="18"/>
        <v>0.16549999999999998</v>
      </c>
      <c r="AT17" s="10">
        <v>137130</v>
      </c>
    </row>
    <row r="18" spans="1:46" x14ac:dyDescent="0.25">
      <c r="A18" s="407" t="s">
        <v>494</v>
      </c>
      <c r="B18" s="49" t="s">
        <v>180</v>
      </c>
      <c r="C18" s="359">
        <f t="shared" ca="1" si="0"/>
        <v>7</v>
      </c>
      <c r="D18" s="345" t="s">
        <v>181</v>
      </c>
      <c r="E18" s="4">
        <v>29</v>
      </c>
      <c r="F18" s="5">
        <f ca="1">$D$2-$D$1-1700+11-112</f>
        <v>0</v>
      </c>
      <c r="G18" s="6" t="s">
        <v>168</v>
      </c>
      <c r="H18" s="7">
        <v>1</v>
      </c>
      <c r="I18" s="8">
        <v>7.5</v>
      </c>
      <c r="J18" s="21">
        <f t="shared" si="1"/>
        <v>1.1667483511889334</v>
      </c>
      <c r="K18" s="9">
        <f t="shared" si="2"/>
        <v>7.5</v>
      </c>
      <c r="L18" s="9">
        <f t="shared" si="3"/>
        <v>30</v>
      </c>
      <c r="M18" s="62">
        <v>43687</v>
      </c>
      <c r="N18" s="63">
        <f t="shared" ca="1" si="19"/>
        <v>1</v>
      </c>
      <c r="O18" s="19">
        <v>6</v>
      </c>
      <c r="P18" s="20">
        <f t="shared" si="5"/>
        <v>79</v>
      </c>
      <c r="Q18" s="20">
        <v>6</v>
      </c>
      <c r="R18" s="57">
        <f t="shared" si="6"/>
        <v>0.92582009977255142</v>
      </c>
      <c r="S18" s="57">
        <f t="shared" si="7"/>
        <v>0.99928545900129484</v>
      </c>
      <c r="T18" s="10">
        <v>81280</v>
      </c>
      <c r="U18" s="10">
        <f t="shared" si="8"/>
        <v>3100</v>
      </c>
      <c r="V18" s="10">
        <v>21444</v>
      </c>
      <c r="W18" s="11">
        <f t="shared" si="9"/>
        <v>3.7903376235776909</v>
      </c>
      <c r="X18" s="442">
        <v>0</v>
      </c>
      <c r="Y18" s="21">
        <v>2</v>
      </c>
      <c r="Z18" s="442">
        <v>5</v>
      </c>
      <c r="AA18" s="21">
        <v>8</v>
      </c>
      <c r="AB18" s="442">
        <v>7</v>
      </c>
      <c r="AC18" s="21">
        <v>13</v>
      </c>
      <c r="AD18" s="442">
        <v>12</v>
      </c>
      <c r="AE18" s="12">
        <f>9+14.5+14+59+12</f>
        <v>108.5</v>
      </c>
      <c r="AF18" s="12">
        <v>1191</v>
      </c>
      <c r="AG18" s="12"/>
      <c r="AH18" s="11">
        <f t="shared" ca="1" si="10"/>
        <v>2.6038973900500091</v>
      </c>
      <c r="AI18" s="22">
        <f t="shared" ca="1" si="11"/>
        <v>3.8576593742248524</v>
      </c>
      <c r="AJ18" s="22">
        <f t="shared" ca="1" si="12"/>
        <v>4.1667483511889332</v>
      </c>
      <c r="AK18" s="22">
        <f t="shared" ca="1" si="13"/>
        <v>6.6351196735425066</v>
      </c>
      <c r="AL18" s="22">
        <f t="shared" ca="1" si="14"/>
        <v>7.1667483511889332</v>
      </c>
      <c r="AM18" s="22">
        <f t="shared" ca="1" si="15"/>
        <v>14.041680471722918</v>
      </c>
      <c r="AN18" s="22">
        <f t="shared" ca="1" si="16"/>
        <v>15.166748351188934</v>
      </c>
      <c r="AO18" s="11">
        <f t="shared" ca="1" si="17"/>
        <v>14.466748351188933</v>
      </c>
      <c r="AP18" s="20">
        <v>2</v>
      </c>
      <c r="AQ18" s="20">
        <v>1</v>
      </c>
      <c r="AR18" s="20">
        <v>1</v>
      </c>
      <c r="AS18" s="57">
        <f t="shared" si="18"/>
        <v>4.9399999999999999E-2</v>
      </c>
      <c r="AT18" s="10">
        <v>78180</v>
      </c>
    </row>
    <row r="19" spans="1:46" x14ac:dyDescent="0.25">
      <c r="A19" s="407" t="s">
        <v>179</v>
      </c>
      <c r="B19" s="49" t="s">
        <v>180</v>
      </c>
      <c r="C19" s="359">
        <f t="shared" ca="1" si="0"/>
        <v>7.4642857142857144</v>
      </c>
      <c r="D19" s="345" t="s">
        <v>975</v>
      </c>
      <c r="E19" s="4">
        <v>28</v>
      </c>
      <c r="F19" s="5">
        <f ca="1">$D$2-$D$1-1741</f>
        <v>60</v>
      </c>
      <c r="G19" s="6" t="s">
        <v>168</v>
      </c>
      <c r="H19" s="7">
        <v>2</v>
      </c>
      <c r="I19" s="8">
        <v>13.2</v>
      </c>
      <c r="J19" s="21">
        <f t="shared" si="1"/>
        <v>1.4940985749411331</v>
      </c>
      <c r="K19" s="9">
        <f t="shared" si="2"/>
        <v>52.8</v>
      </c>
      <c r="L19" s="9">
        <f t="shared" si="3"/>
        <v>118.8</v>
      </c>
      <c r="M19" s="62">
        <v>44069</v>
      </c>
      <c r="N19" s="63">
        <f t="shared" ca="1" si="19"/>
        <v>0</v>
      </c>
      <c r="O19" s="19">
        <v>6.3</v>
      </c>
      <c r="P19" s="20">
        <f t="shared" si="5"/>
        <v>82</v>
      </c>
      <c r="Q19" s="20">
        <v>4</v>
      </c>
      <c r="R19" s="57">
        <f t="shared" si="6"/>
        <v>0.7559289460184544</v>
      </c>
      <c r="S19" s="57">
        <f t="shared" si="7"/>
        <v>0.84430867747355465</v>
      </c>
      <c r="T19" s="10">
        <v>175230</v>
      </c>
      <c r="U19" s="10">
        <f t="shared" si="8"/>
        <v>0</v>
      </c>
      <c r="V19" s="10">
        <v>20796</v>
      </c>
      <c r="W19" s="11">
        <f t="shared" si="9"/>
        <v>8.4261396422388923</v>
      </c>
      <c r="X19" s="442">
        <v>0</v>
      </c>
      <c r="Y19" s="21">
        <v>1</v>
      </c>
      <c r="Z19" s="442">
        <v>9</v>
      </c>
      <c r="AA19" s="21">
        <v>14</v>
      </c>
      <c r="AB19" s="442">
        <v>11</v>
      </c>
      <c r="AC19" s="21">
        <v>11</v>
      </c>
      <c r="AD19" s="442">
        <v>8</v>
      </c>
      <c r="AE19" s="12">
        <f>26+46.5+36+40+6</f>
        <v>154.5</v>
      </c>
      <c r="AF19" s="12">
        <v>1633</v>
      </c>
      <c r="AG19" s="12"/>
      <c r="AH19" s="11">
        <f t="shared" ca="1" si="10"/>
        <v>2.5968328551791537</v>
      </c>
      <c r="AI19" s="22">
        <f t="shared" ca="1" si="11"/>
        <v>1.8853613070213797</v>
      </c>
      <c r="AJ19" s="22">
        <f t="shared" ca="1" si="12"/>
        <v>2.1078980223238286</v>
      </c>
      <c r="AK19" s="22">
        <f t="shared" ca="1" si="13"/>
        <v>7.9327928751690155</v>
      </c>
      <c r="AL19" s="22">
        <f t="shared" ca="1" si="14"/>
        <v>8.8691320601519621</v>
      </c>
      <c r="AM19" s="22">
        <f t="shared" ca="1" si="15"/>
        <v>7.9327928751690155</v>
      </c>
      <c r="AN19" s="22">
        <f t="shared" ca="1" si="16"/>
        <v>8.8691320601519621</v>
      </c>
      <c r="AO19" s="11">
        <f t="shared" ca="1" si="17"/>
        <v>10.394098574941133</v>
      </c>
      <c r="AP19" s="20">
        <v>1</v>
      </c>
      <c r="AQ19" s="20">
        <v>1</v>
      </c>
      <c r="AR19" s="20">
        <v>1</v>
      </c>
      <c r="AS19" s="57">
        <f t="shared" si="18"/>
        <v>4.9399999999999999E-2</v>
      </c>
      <c r="AT19" s="10">
        <v>175230</v>
      </c>
    </row>
    <row r="20" spans="1:46" x14ac:dyDescent="0.25">
      <c r="A20" s="407" t="s">
        <v>183</v>
      </c>
      <c r="B20" s="49" t="s">
        <v>180</v>
      </c>
      <c r="C20" s="359">
        <f t="shared" ca="1" si="0"/>
        <v>9.6071428571428577</v>
      </c>
      <c r="D20" s="345" t="s">
        <v>917</v>
      </c>
      <c r="E20" s="4">
        <v>26</v>
      </c>
      <c r="F20" s="5">
        <f ca="1">$D$2-$D$1-1600-45-112</f>
        <v>44</v>
      </c>
      <c r="G20" s="6" t="s">
        <v>168</v>
      </c>
      <c r="H20" s="7">
        <v>1</v>
      </c>
      <c r="I20" s="8">
        <v>5.0999999999999996</v>
      </c>
      <c r="J20" s="21">
        <f t="shared" si="1"/>
        <v>0.94342690146391517</v>
      </c>
      <c r="K20" s="9">
        <f t="shared" si="2"/>
        <v>5.0999999999999996</v>
      </c>
      <c r="L20" s="9">
        <f t="shared" si="3"/>
        <v>20.399999999999999</v>
      </c>
      <c r="M20" s="62">
        <v>43590</v>
      </c>
      <c r="N20" s="63">
        <f t="shared" ca="1" si="19"/>
        <v>1</v>
      </c>
      <c r="O20" s="19">
        <v>6.9</v>
      </c>
      <c r="P20" s="20">
        <f t="shared" si="5"/>
        <v>88</v>
      </c>
      <c r="Q20" s="20">
        <v>5</v>
      </c>
      <c r="R20" s="57">
        <f t="shared" si="6"/>
        <v>0.84515425472851657</v>
      </c>
      <c r="S20" s="57">
        <f t="shared" si="7"/>
        <v>0.92504826128926143</v>
      </c>
      <c r="T20" s="10">
        <v>232550</v>
      </c>
      <c r="U20" s="10">
        <f t="shared" si="8"/>
        <v>-9480</v>
      </c>
      <c r="V20" s="10">
        <v>29508</v>
      </c>
      <c r="W20" s="11">
        <f t="shared" si="9"/>
        <v>7.8809136505354482</v>
      </c>
      <c r="X20" s="442">
        <v>0</v>
      </c>
      <c r="Y20" s="21">
        <v>3</v>
      </c>
      <c r="Z20" s="442">
        <f>7+1/5</f>
        <v>7.2</v>
      </c>
      <c r="AA20" s="21">
        <v>10</v>
      </c>
      <c r="AB20" s="442">
        <f>12+3/9</f>
        <v>12.333333333333334</v>
      </c>
      <c r="AC20" s="21">
        <v>14</v>
      </c>
      <c r="AD20" s="442">
        <v>11</v>
      </c>
      <c r="AE20" s="12">
        <f>3+16+22.5+45+70+7+1+2+1+1</f>
        <v>168.5</v>
      </c>
      <c r="AF20" s="12">
        <v>1756</v>
      </c>
      <c r="AG20" s="12">
        <v>2008</v>
      </c>
      <c r="AH20" s="11">
        <f t="shared" ca="1" si="10"/>
        <v>3.5387609488834015</v>
      </c>
      <c r="AI20" s="22">
        <f t="shared" ca="1" si="11"/>
        <v>4.1779582787116354</v>
      </c>
      <c r="AJ20" s="22">
        <f t="shared" ca="1" si="12"/>
        <v>4.5767239871316372</v>
      </c>
      <c r="AK20" s="22">
        <f t="shared" ca="1" si="13"/>
        <v>7.7276061485714047</v>
      </c>
      <c r="AL20" s="22">
        <f t="shared" ca="1" si="14"/>
        <v>8.4651684061763532</v>
      </c>
      <c r="AM20" s="22">
        <f t="shared" ca="1" si="15"/>
        <v>11.784346571268285</v>
      </c>
      <c r="AN20" s="22">
        <f t="shared" ca="1" si="16"/>
        <v>12.9091048850846</v>
      </c>
      <c r="AO20" s="11">
        <f t="shared" ca="1" si="17"/>
        <v>13.843426901463914</v>
      </c>
      <c r="AP20" s="20">
        <v>1</v>
      </c>
      <c r="AQ20" s="20">
        <v>0</v>
      </c>
      <c r="AR20" s="20">
        <v>1</v>
      </c>
      <c r="AS20" s="57">
        <f t="shared" si="18"/>
        <v>2.63E-2</v>
      </c>
      <c r="AT20" s="10">
        <v>242030</v>
      </c>
    </row>
    <row r="21" spans="1:46" x14ac:dyDescent="0.25">
      <c r="V21" s="44"/>
    </row>
    <row r="23" spans="1:46" x14ac:dyDescent="0.25">
      <c r="D23" s="23"/>
      <c r="T23" s="44"/>
      <c r="V23" s="44"/>
    </row>
    <row r="24" spans="1:46" x14ac:dyDescent="0.25">
      <c r="D24" s="23"/>
      <c r="AG24" s="44"/>
    </row>
    <row r="25" spans="1:46" x14ac:dyDescent="0.25">
      <c r="D25" s="61"/>
    </row>
    <row r="26" spans="1:46" x14ac:dyDescent="0.25">
      <c r="D26" s="1"/>
    </row>
    <row r="27" spans="1:46" x14ac:dyDescent="0.25">
      <c r="M27" s="23"/>
      <c r="T27" s="44"/>
      <c r="V27" s="44"/>
    </row>
    <row r="28" spans="1:46" x14ac:dyDescent="0.25">
      <c r="M28" s="23"/>
    </row>
  </sheetData>
  <conditionalFormatting sqref="X4:AD20">
    <cfRule type="colorScale" priority="3">
      <colorScale>
        <cfvo type="min"/>
        <cfvo type="max"/>
        <color rgb="FFFCFCFF"/>
        <color rgb="FFF8696B"/>
      </colorScale>
    </cfRule>
  </conditionalFormatting>
  <conditionalFormatting sqref="X4:AD20">
    <cfRule type="cellIs" dxfId="56" priority="4" operator="greaterThan">
      <formula>10</formula>
    </cfRule>
  </conditionalFormatting>
  <conditionalFormatting sqref="W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5 W7:W2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0">
    <cfRule type="colorScale" priority="8">
      <colorScale>
        <cfvo type="min"/>
        <cfvo type="max"/>
        <color rgb="FFFFEF9C"/>
        <color rgb="FF63BE7B"/>
      </colorScale>
    </cfRule>
  </conditionalFormatting>
  <conditionalFormatting sqref="T4:T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M4:AN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14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L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AE4:AE20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{4B6A5C48-4AA2-E361-7E28-EC20F9CFF761}</x14:id>
        </ext>
      </extLst>
    </cfRule>
  </conditionalFormatting>
  <conditionalFormatting sqref="AS4:AS20">
    <cfRule type="colorScale" priority="23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{58FEA6ED-664E-4CC6-AC5D-2613DD7D7403}</x14:id>
        </ext>
      </extLst>
    </cfRule>
  </conditionalFormatting>
  <pageMargins left="0.7" right="0.7" top="0.75" bottom="0.75" header="0.3" footer="0.3"/>
  <pageSetup paperSize="9" fitToWidth="0"/>
  <ignoredErrors>
    <ignoredError sqref="F12" formula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W4:W5 W7:W20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AF4:AG20</xm:sqref>
        </x14:conditionalFormatting>
        <x14:conditionalFormatting xmlns:xm="http://schemas.microsoft.com/office/excel/2006/main">
          <x14:cfRule type="dataBar" id="{4B6A5C48-4AA2-E361-7E28-EC20F9CFF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58FEA6ED-664E-4CC6-AC5D-2613DD7D74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F120"/>
  <sheetViews>
    <sheetView workbookViewId="0">
      <selection activeCell="S7" sqref="S7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5" customWidth="1"/>
    <col min="6" max="6" width="11.85546875" customWidth="1"/>
    <col min="7" max="7" width="6.140625" customWidth="1"/>
    <col min="8" max="8" width="6.28515625" customWidth="1"/>
    <col min="9" max="9" width="6.140625" customWidth="1"/>
    <col min="10" max="10" width="6.7109375" customWidth="1"/>
    <col min="11" max="11" width="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" customWidth="1"/>
    <col min="17" max="17" width="5.5703125" customWidth="1"/>
    <col min="18" max="18" width="5.140625" customWidth="1"/>
    <col min="19" max="21" width="5.5703125" customWidth="1"/>
    <col min="22" max="22" width="4" customWidth="1"/>
    <col min="23" max="23" width="5" customWidth="1"/>
    <col min="24" max="24" width="5.42578125" customWidth="1"/>
    <col min="25" max="25" width="5.5703125" customWidth="1"/>
    <col min="26" max="26" width="5" customWidth="1"/>
    <col min="27" max="27" width="4" customWidth="1"/>
    <col min="28" max="28" width="7.28515625" customWidth="1"/>
    <col min="29" max="29" width="6" customWidth="1"/>
    <col min="30" max="32" width="4" customWidth="1"/>
    <col min="33" max="33" width="4.7109375" customWidth="1"/>
    <col min="34" max="34" width="4" customWidth="1"/>
    <col min="35" max="35" width="18.42578125" customWidth="1"/>
    <col min="37" max="37" width="28.42578125" customWidth="1"/>
    <col min="38" max="38" width="5.28515625" customWidth="1"/>
    <col min="39" max="39" width="6.28515625" customWidth="1"/>
    <col min="40" max="40" width="5.5703125" style="41" customWidth="1"/>
    <col min="41" max="41" width="5" customWidth="1"/>
    <col min="42" max="42" width="5.5703125" customWidth="1"/>
    <col min="43" max="43" width="5" customWidth="1"/>
    <col min="44" max="44" width="7.5703125" customWidth="1"/>
    <col min="45" max="45" width="7.42578125" customWidth="1"/>
    <col min="46" max="46" width="7.28515625" customWidth="1"/>
    <col min="47" max="47" width="5" customWidth="1"/>
    <col min="48" max="48" width="7" customWidth="1"/>
    <col min="49" max="49" width="5.140625" customWidth="1"/>
    <col min="50" max="50" width="8" customWidth="1"/>
    <col min="51" max="52" width="7.42578125" customWidth="1"/>
    <col min="53" max="53" width="5" customWidth="1"/>
    <col min="54" max="54" width="5.5703125" customWidth="1"/>
    <col min="55" max="55" width="11.5703125" customWidth="1"/>
  </cols>
  <sheetData>
    <row r="1" spans="1:56" x14ac:dyDescent="0.25">
      <c r="A1" s="114" t="s">
        <v>184</v>
      </c>
      <c r="B1" s="114"/>
      <c r="C1" s="114"/>
      <c r="D1" s="115"/>
      <c r="E1" s="114"/>
      <c r="F1" s="115"/>
      <c r="G1" s="116"/>
      <c r="H1" s="115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5"/>
      <c r="Z1" s="115"/>
      <c r="AA1" s="115"/>
      <c r="AB1" s="115"/>
      <c r="AC1" s="117"/>
      <c r="AD1" s="117"/>
      <c r="AE1" s="117"/>
      <c r="AF1" s="117"/>
      <c r="AG1" s="117"/>
      <c r="AH1" s="117"/>
      <c r="AI1" s="116"/>
      <c r="AK1" s="226" t="s">
        <v>185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6" x14ac:dyDescent="0.25">
      <c r="A2" s="118" t="s">
        <v>186</v>
      </c>
      <c r="B2" s="118" t="s">
        <v>187</v>
      </c>
      <c r="C2" s="118" t="s">
        <v>113</v>
      </c>
      <c r="D2" s="119" t="s">
        <v>188</v>
      </c>
      <c r="E2" s="118" t="s">
        <v>189</v>
      </c>
      <c r="F2" s="119" t="s">
        <v>190</v>
      </c>
      <c r="G2" s="120" t="s">
        <v>191</v>
      </c>
      <c r="H2" s="119" t="s">
        <v>192</v>
      </c>
      <c r="I2" s="119" t="s">
        <v>115</v>
      </c>
      <c r="J2" s="118" t="s">
        <v>154</v>
      </c>
      <c r="K2" s="118" t="s">
        <v>193</v>
      </c>
      <c r="L2" s="121" t="s">
        <v>194</v>
      </c>
      <c r="M2" s="121" t="s">
        <v>193</v>
      </c>
      <c r="N2" s="118" t="s">
        <v>195</v>
      </c>
      <c r="O2" s="118" t="s">
        <v>193</v>
      </c>
      <c r="P2" s="121" t="s">
        <v>196</v>
      </c>
      <c r="Q2" s="121" t="s">
        <v>193</v>
      </c>
      <c r="R2" s="118" t="s">
        <v>197</v>
      </c>
      <c r="S2" s="118" t="s">
        <v>193</v>
      </c>
      <c r="T2" s="121" t="s">
        <v>198</v>
      </c>
      <c r="U2" s="121" t="s">
        <v>193</v>
      </c>
      <c r="V2" s="118" t="s">
        <v>199</v>
      </c>
      <c r="W2" s="118" t="s">
        <v>193</v>
      </c>
      <c r="X2" s="122" t="s">
        <v>200</v>
      </c>
      <c r="Y2" s="122" t="s">
        <v>201</v>
      </c>
      <c r="Z2" s="119" t="s">
        <v>202</v>
      </c>
      <c r="AA2" s="119" t="s">
        <v>199</v>
      </c>
      <c r="AB2" s="119" t="s">
        <v>203</v>
      </c>
      <c r="AC2" s="123" t="s">
        <v>204</v>
      </c>
      <c r="AD2" s="123" t="s">
        <v>205</v>
      </c>
      <c r="AE2" s="123" t="s">
        <v>206</v>
      </c>
      <c r="AF2" s="123" t="s">
        <v>207</v>
      </c>
      <c r="AG2" s="123" t="s">
        <v>208</v>
      </c>
      <c r="AH2" s="123" t="s">
        <v>209</v>
      </c>
      <c r="AI2" s="120" t="s">
        <v>210</v>
      </c>
      <c r="AK2" s="203" t="s">
        <v>186</v>
      </c>
      <c r="AL2" s="203" t="s">
        <v>187</v>
      </c>
      <c r="AM2" s="203" t="s">
        <v>113</v>
      </c>
      <c r="AN2" s="228" t="s">
        <v>188</v>
      </c>
      <c r="AO2" s="230" t="s">
        <v>154</v>
      </c>
      <c r="AP2" s="230" t="s">
        <v>211</v>
      </c>
      <c r="AQ2" s="230" t="s">
        <v>194</v>
      </c>
      <c r="AR2" s="230" t="s">
        <v>212</v>
      </c>
      <c r="AS2" s="230" t="s">
        <v>195</v>
      </c>
      <c r="AT2" s="230" t="s">
        <v>213</v>
      </c>
      <c r="AU2" s="230" t="s">
        <v>196</v>
      </c>
      <c r="AV2" s="230" t="s">
        <v>214</v>
      </c>
      <c r="AW2" s="230" t="s">
        <v>198</v>
      </c>
      <c r="AX2" s="230" t="s">
        <v>215</v>
      </c>
      <c r="AY2" s="230" t="s">
        <v>197</v>
      </c>
      <c r="AZ2" s="230" t="s">
        <v>216</v>
      </c>
      <c r="BA2" s="230" t="s">
        <v>199</v>
      </c>
      <c r="BB2" s="230" t="s">
        <v>217</v>
      </c>
      <c r="BC2" s="230" t="s">
        <v>218</v>
      </c>
    </row>
    <row r="3" spans="1:56" x14ac:dyDescent="0.25">
      <c r="A3" s="124" t="s">
        <v>219</v>
      </c>
      <c r="B3" s="125">
        <v>16</v>
      </c>
      <c r="C3" s="126">
        <f ca="1">A33-2100-6-93-112+6-36-112-112-12-112</f>
        <v>382</v>
      </c>
      <c r="D3" s="127" t="s">
        <v>165</v>
      </c>
      <c r="E3" s="128">
        <f ca="1">F3-TODAY()</f>
        <v>-270</v>
      </c>
      <c r="F3" s="129">
        <v>43799</v>
      </c>
      <c r="G3" s="180" t="s">
        <v>220</v>
      </c>
      <c r="H3" s="157" t="s">
        <v>221</v>
      </c>
      <c r="I3" s="130" t="s">
        <v>222</v>
      </c>
      <c r="J3" s="125"/>
      <c r="K3" s="136">
        <v>1.99</v>
      </c>
      <c r="L3" s="125"/>
      <c r="M3" s="136">
        <v>3.99</v>
      </c>
      <c r="N3" s="132">
        <v>3</v>
      </c>
      <c r="O3" s="133">
        <v>3.99</v>
      </c>
      <c r="P3" s="132">
        <v>5</v>
      </c>
      <c r="Q3" s="357">
        <v>5.99</v>
      </c>
      <c r="R3" s="132">
        <v>4</v>
      </c>
      <c r="S3" s="133">
        <v>4.99</v>
      </c>
      <c r="T3" s="132">
        <v>6</v>
      </c>
      <c r="U3" s="357">
        <v>6.99</v>
      </c>
      <c r="V3" s="125"/>
      <c r="W3" s="125"/>
      <c r="X3" s="137">
        <f>7-(COUNTBLANK(J3)+COUNTBLANK(L3)+COUNTBLANK(N3)+COUNTBLANK(P3)+COUNTBLANK(R3)+COUNTBLANK(T3)+COUNTBLANK(V3))</f>
        <v>4</v>
      </c>
      <c r="Y3" s="130">
        <f>COUNT(W3,S3,U3,Q3,O3,M3,K3)</f>
        <v>6</v>
      </c>
      <c r="Z3" s="130"/>
      <c r="AA3" s="130"/>
      <c r="AB3" s="130"/>
      <c r="AC3" s="138"/>
      <c r="AD3" s="138"/>
      <c r="AE3" s="138"/>
      <c r="AF3" s="138"/>
      <c r="AG3" s="138"/>
      <c r="AH3" s="138">
        <v>7.5</v>
      </c>
      <c r="AI3" s="138" t="s">
        <v>223</v>
      </c>
      <c r="AK3" s="209" t="s">
        <v>224</v>
      </c>
      <c r="AL3" s="209">
        <v>17</v>
      </c>
      <c r="AM3" s="211">
        <v>0</v>
      </c>
      <c r="AN3" s="229"/>
      <c r="AO3" s="204"/>
      <c r="AP3" s="204"/>
      <c r="AQ3" s="205">
        <v>4</v>
      </c>
      <c r="AR3" s="205">
        <v>4.99</v>
      </c>
      <c r="AS3" s="205">
        <v>5</v>
      </c>
      <c r="AT3" s="206">
        <v>5.99</v>
      </c>
      <c r="AU3" s="205">
        <v>2</v>
      </c>
      <c r="AV3" s="205">
        <v>2.99</v>
      </c>
      <c r="AW3" s="204"/>
      <c r="AX3" s="207">
        <v>3.99</v>
      </c>
      <c r="AY3" s="205">
        <v>5</v>
      </c>
      <c r="AZ3" s="206">
        <v>5.99</v>
      </c>
      <c r="BA3" s="205">
        <v>0</v>
      </c>
      <c r="BB3" s="205">
        <v>0.99</v>
      </c>
      <c r="BC3" s="208">
        <v>41367</v>
      </c>
    </row>
    <row r="4" spans="1:56" x14ac:dyDescent="0.25">
      <c r="A4" s="139" t="s">
        <v>225</v>
      </c>
      <c r="B4" s="139"/>
      <c r="C4" s="139"/>
      <c r="D4" s="140"/>
      <c r="E4" s="139"/>
      <c r="F4" s="140"/>
      <c r="G4" s="141"/>
      <c r="H4" s="140"/>
      <c r="I4" s="140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  <c r="Y4" s="140"/>
      <c r="Z4" s="140"/>
      <c r="AA4" s="140"/>
      <c r="AB4" s="140"/>
      <c r="AC4" s="142"/>
      <c r="AD4" s="142"/>
      <c r="AE4" s="142"/>
      <c r="AF4" s="142"/>
      <c r="AG4" s="142"/>
      <c r="AH4" s="142"/>
      <c r="AI4" s="141"/>
      <c r="AK4" s="209" t="s">
        <v>226</v>
      </c>
      <c r="AL4" s="209">
        <v>17</v>
      </c>
      <c r="AM4" s="211">
        <v>0</v>
      </c>
      <c r="AN4" s="229"/>
      <c r="AO4" s="204"/>
      <c r="AP4" s="204"/>
      <c r="AQ4" s="207">
        <v>2</v>
      </c>
      <c r="AR4" s="207">
        <v>3.99</v>
      </c>
      <c r="AS4" s="206">
        <v>7</v>
      </c>
      <c r="AT4" s="206">
        <v>7</v>
      </c>
      <c r="AU4" s="205">
        <v>3</v>
      </c>
      <c r="AV4" s="205">
        <v>3.99</v>
      </c>
      <c r="AW4" s="210">
        <v>3</v>
      </c>
      <c r="AX4" s="210">
        <v>3.99</v>
      </c>
      <c r="AY4" s="205">
        <v>4</v>
      </c>
      <c r="AZ4" s="205">
        <v>4.99</v>
      </c>
      <c r="BA4" s="204"/>
      <c r="BB4" s="204"/>
      <c r="BC4" s="208">
        <v>41371</v>
      </c>
      <c r="BD4" s="3"/>
    </row>
    <row r="5" spans="1:56" x14ac:dyDescent="0.25">
      <c r="A5" s="143" t="s">
        <v>227</v>
      </c>
      <c r="B5" s="143"/>
      <c r="C5" s="143"/>
      <c r="D5" s="144"/>
      <c r="E5" s="143"/>
      <c r="F5" s="145"/>
      <c r="G5" s="146"/>
      <c r="H5" s="145"/>
      <c r="I5" s="145"/>
      <c r="J5" s="147" t="s">
        <v>228</v>
      </c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5"/>
      <c r="Y5" s="145"/>
      <c r="Z5" s="145"/>
      <c r="AA5" s="145"/>
      <c r="AB5" s="145"/>
      <c r="AC5" s="148" t="s">
        <v>229</v>
      </c>
      <c r="AD5" s="148"/>
      <c r="AE5" s="148"/>
      <c r="AF5" s="148"/>
      <c r="AG5" s="148"/>
      <c r="AH5" s="148"/>
      <c r="AI5" s="149"/>
      <c r="AK5" s="209" t="s">
        <v>230</v>
      </c>
      <c r="AL5" s="209">
        <v>19</v>
      </c>
      <c r="AM5" s="211">
        <v>1709</v>
      </c>
      <c r="AN5" s="229"/>
      <c r="AO5" s="204"/>
      <c r="AP5" s="204"/>
      <c r="AQ5" s="204"/>
      <c r="AR5" s="207">
        <v>2.99</v>
      </c>
      <c r="AS5" s="205">
        <v>6</v>
      </c>
      <c r="AT5" s="206">
        <v>6.1</v>
      </c>
      <c r="AU5" s="204"/>
      <c r="AV5" s="207">
        <v>2.99</v>
      </c>
      <c r="AW5" s="207">
        <v>2</v>
      </c>
      <c r="AX5" s="207">
        <v>3.99</v>
      </c>
      <c r="AY5" s="205">
        <v>3</v>
      </c>
      <c r="AZ5" s="205">
        <v>3.99</v>
      </c>
      <c r="BA5" s="205">
        <v>1</v>
      </c>
      <c r="BB5" s="205">
        <v>1.99</v>
      </c>
      <c r="BC5" s="208">
        <v>41391</v>
      </c>
      <c r="BD5" s="3"/>
    </row>
    <row r="6" spans="1:56" x14ac:dyDescent="0.25">
      <c r="A6" s="150" t="s">
        <v>186</v>
      </c>
      <c r="B6" s="150" t="s">
        <v>187</v>
      </c>
      <c r="C6" s="150" t="s">
        <v>113</v>
      </c>
      <c r="D6" s="151" t="s">
        <v>188</v>
      </c>
      <c r="E6" s="150" t="s">
        <v>189</v>
      </c>
      <c r="F6" s="151" t="str">
        <f>F2</f>
        <v>Promoción</v>
      </c>
      <c r="G6" s="152" t="str">
        <f>G2</f>
        <v>Gen</v>
      </c>
      <c r="H6" s="151" t="str">
        <f>H2</f>
        <v>u20</v>
      </c>
      <c r="I6" s="151" t="str">
        <f>I2</f>
        <v>Lid</v>
      </c>
      <c r="J6" s="150" t="s">
        <v>154</v>
      </c>
      <c r="K6" s="150" t="str">
        <f t="shared" ref="K6:Z6" si="0">K2</f>
        <v>Pot</v>
      </c>
      <c r="L6" s="153" t="str">
        <f t="shared" si="0"/>
        <v>DEF</v>
      </c>
      <c r="M6" s="153" t="str">
        <f t="shared" si="0"/>
        <v>Pot</v>
      </c>
      <c r="N6" s="150" t="str">
        <f t="shared" si="0"/>
        <v>JUG</v>
      </c>
      <c r="O6" s="150" t="str">
        <f t="shared" si="0"/>
        <v>Pot</v>
      </c>
      <c r="P6" s="153" t="str">
        <f t="shared" si="0"/>
        <v>LAT</v>
      </c>
      <c r="Q6" s="153" t="str">
        <f t="shared" si="0"/>
        <v>Pot</v>
      </c>
      <c r="R6" s="150" t="str">
        <f t="shared" si="0"/>
        <v>PAS</v>
      </c>
      <c r="S6" s="150" t="str">
        <f t="shared" si="0"/>
        <v>Pot</v>
      </c>
      <c r="T6" s="153" t="str">
        <f t="shared" si="0"/>
        <v>ANO</v>
      </c>
      <c r="U6" s="153" t="str">
        <f t="shared" si="0"/>
        <v>Pot</v>
      </c>
      <c r="V6" s="150" t="str">
        <f t="shared" si="0"/>
        <v>BP</v>
      </c>
      <c r="W6" s="150" t="str">
        <f t="shared" si="0"/>
        <v>Pot</v>
      </c>
      <c r="X6" s="154" t="str">
        <f t="shared" si="0"/>
        <v>HAB</v>
      </c>
      <c r="Y6" s="154" t="str">
        <f t="shared" si="0"/>
        <v>POT</v>
      </c>
      <c r="Z6" s="151" t="str">
        <f t="shared" si="0"/>
        <v>Cap</v>
      </c>
      <c r="AA6" s="151" t="s">
        <v>199</v>
      </c>
      <c r="AB6" s="151" t="str">
        <f t="shared" ref="AB6:AI6" si="1">AB2</f>
        <v>HTMS</v>
      </c>
      <c r="AC6" s="155" t="str">
        <f t="shared" si="1"/>
        <v>PR</v>
      </c>
      <c r="AD6" s="155" t="str">
        <f t="shared" si="1"/>
        <v>DL</v>
      </c>
      <c r="AE6" s="155" t="str">
        <f t="shared" si="1"/>
        <v>DC</v>
      </c>
      <c r="AF6" s="155" t="str">
        <f t="shared" si="1"/>
        <v>In</v>
      </c>
      <c r="AG6" s="155" t="str">
        <f t="shared" si="1"/>
        <v>ExO</v>
      </c>
      <c r="AH6" s="155" t="str">
        <f t="shared" si="1"/>
        <v>DV</v>
      </c>
      <c r="AI6" s="152" t="str">
        <f t="shared" si="1"/>
        <v>Atributs</v>
      </c>
      <c r="AK6" s="209" t="s">
        <v>231</v>
      </c>
      <c r="AL6" s="209">
        <v>17</v>
      </c>
      <c r="AM6" s="211">
        <v>1799</v>
      </c>
      <c r="AN6" s="229"/>
      <c r="AO6" s="212"/>
      <c r="AP6" s="213">
        <v>1.99</v>
      </c>
      <c r="AQ6" s="212"/>
      <c r="AR6" s="213">
        <v>2.99</v>
      </c>
      <c r="AS6" s="214">
        <v>4</v>
      </c>
      <c r="AT6" s="214">
        <v>4.99</v>
      </c>
      <c r="AU6" s="214">
        <v>5</v>
      </c>
      <c r="AV6" s="215">
        <v>5.99</v>
      </c>
      <c r="AW6" s="216">
        <v>3</v>
      </c>
      <c r="AX6" s="216">
        <v>3.99</v>
      </c>
      <c r="AY6" s="214">
        <v>3</v>
      </c>
      <c r="AZ6" s="214">
        <v>3.99</v>
      </c>
      <c r="BA6" s="212"/>
      <c r="BB6" s="212"/>
      <c r="BC6" s="232"/>
      <c r="BD6" s="3"/>
    </row>
    <row r="7" spans="1:56" x14ac:dyDescent="0.25">
      <c r="A7" s="161" t="s">
        <v>232</v>
      </c>
      <c r="B7" s="125">
        <v>16</v>
      </c>
      <c r="C7" s="126">
        <f ca="1">A33-2700+25</f>
        <v>396</v>
      </c>
      <c r="D7" s="127"/>
      <c r="E7" s="128">
        <f ca="1">F7-TODAY()</f>
        <v>-242</v>
      </c>
      <c r="F7" s="129">
        <v>43827</v>
      </c>
      <c r="G7" s="130"/>
      <c r="H7" s="130"/>
      <c r="I7" s="130" t="s">
        <v>222</v>
      </c>
      <c r="J7" s="125"/>
      <c r="K7" s="136">
        <v>1.99</v>
      </c>
      <c r="L7" s="125"/>
      <c r="M7" s="136">
        <v>2.99</v>
      </c>
      <c r="N7" s="158">
        <v>4</v>
      </c>
      <c r="O7" s="160">
        <v>6.99</v>
      </c>
      <c r="P7" s="125"/>
      <c r="Q7" s="136">
        <v>4.99</v>
      </c>
      <c r="R7" s="158">
        <v>2</v>
      </c>
      <c r="S7" s="136">
        <v>3.99</v>
      </c>
      <c r="T7" s="125"/>
      <c r="U7" s="136">
        <v>3.99</v>
      </c>
      <c r="V7" s="125"/>
      <c r="W7" s="136">
        <v>4.99</v>
      </c>
      <c r="X7" s="137">
        <f>7-(COUNTBLANK(J7)+COUNTBLANK(L7)+COUNTBLANK(N7)+COUNTBLANK(P7)+COUNTBLANK(R7)+COUNTBLANK(T7)+COUNTBLANK(V7))</f>
        <v>2</v>
      </c>
      <c r="Y7" s="130">
        <f>COUNT(W7,S7,U7,Q7,O7,M7,K7)</f>
        <v>7</v>
      </c>
      <c r="Z7" s="130"/>
      <c r="AA7" s="130"/>
      <c r="AB7" s="130"/>
      <c r="AC7" s="138"/>
      <c r="AD7" s="138"/>
      <c r="AE7" s="138"/>
      <c r="AF7" s="138"/>
      <c r="AG7" s="138"/>
      <c r="AH7" s="138"/>
      <c r="AI7" s="138" t="s">
        <v>233</v>
      </c>
      <c r="AK7" s="209" t="s">
        <v>234</v>
      </c>
      <c r="AL7" s="209">
        <v>17</v>
      </c>
      <c r="AM7" s="211">
        <v>1723</v>
      </c>
      <c r="AN7" s="229" t="s">
        <v>235</v>
      </c>
      <c r="AO7" s="212"/>
      <c r="AP7" s="212"/>
      <c r="AQ7" s="214">
        <v>2</v>
      </c>
      <c r="AR7" s="214">
        <v>2.99</v>
      </c>
      <c r="AS7" s="214">
        <v>5</v>
      </c>
      <c r="AT7" s="215">
        <v>5.99</v>
      </c>
      <c r="AU7" s="214">
        <v>5</v>
      </c>
      <c r="AV7" s="215">
        <v>5.99</v>
      </c>
      <c r="AW7" s="212"/>
      <c r="AX7" s="213">
        <v>2.99</v>
      </c>
      <c r="AY7" s="214">
        <v>5</v>
      </c>
      <c r="AZ7" s="215">
        <v>5.99</v>
      </c>
      <c r="BA7" s="212"/>
      <c r="BB7" s="213">
        <v>3.99</v>
      </c>
      <c r="BC7" s="232"/>
      <c r="BD7" s="3"/>
    </row>
    <row r="8" spans="1:56" x14ac:dyDescent="0.25">
      <c r="A8" s="124" t="s">
        <v>236</v>
      </c>
      <c r="B8" s="125">
        <v>16</v>
      </c>
      <c r="C8" s="126">
        <f ca="1">A32-43375-230-112</f>
        <v>352</v>
      </c>
      <c r="D8" s="127"/>
      <c r="E8" s="128">
        <f ca="1">F8-TODAY()</f>
        <v>-240</v>
      </c>
      <c r="F8" s="129">
        <v>43829</v>
      </c>
      <c r="G8" s="180" t="s">
        <v>220</v>
      </c>
      <c r="H8" s="130" t="s">
        <v>221</v>
      </c>
      <c r="I8" s="130" t="s">
        <v>222</v>
      </c>
      <c r="J8" s="125"/>
      <c r="K8" s="125"/>
      <c r="L8" s="125"/>
      <c r="M8" s="136">
        <v>2.99</v>
      </c>
      <c r="N8" s="125"/>
      <c r="O8" s="136">
        <v>2.99</v>
      </c>
      <c r="P8" s="158">
        <v>3</v>
      </c>
      <c r="Q8" s="160">
        <v>6.99</v>
      </c>
      <c r="R8" s="421">
        <v>5</v>
      </c>
      <c r="S8" s="357">
        <v>5.99</v>
      </c>
      <c r="T8" s="158">
        <v>3</v>
      </c>
      <c r="U8" s="159">
        <v>5.99</v>
      </c>
      <c r="V8" s="125"/>
      <c r="W8" s="125"/>
      <c r="X8" s="137">
        <f>7-(COUNTBLANK(J8)+COUNTBLANK(L8)+COUNTBLANK(N8)+COUNTBLANK(P8)+COUNTBLANK(R8)+COUNTBLANK(T8)+COUNTBLANK(V8))</f>
        <v>3</v>
      </c>
      <c r="Y8" s="130">
        <f>COUNT(W8,S8,U8,Q8,O8,M8,K8)</f>
        <v>5</v>
      </c>
      <c r="Z8" s="130"/>
      <c r="AA8" s="130"/>
      <c r="AB8" s="130"/>
      <c r="AC8" s="138"/>
      <c r="AD8" s="138"/>
      <c r="AE8" s="138"/>
      <c r="AF8" s="138"/>
      <c r="AG8" s="138"/>
      <c r="AH8" s="138">
        <v>6.5</v>
      </c>
      <c r="AI8" s="138" t="s">
        <v>223</v>
      </c>
      <c r="AK8" s="209" t="s">
        <v>237</v>
      </c>
      <c r="AL8" s="209">
        <v>17</v>
      </c>
      <c r="AM8" s="211">
        <v>1795</v>
      </c>
      <c r="AN8" s="229"/>
      <c r="AO8" s="212"/>
      <c r="AP8" s="212"/>
      <c r="AQ8" s="214">
        <v>4</v>
      </c>
      <c r="AR8" s="214">
        <v>4.99</v>
      </c>
      <c r="AS8" s="216">
        <v>6</v>
      </c>
      <c r="AT8" s="217">
        <v>6.99</v>
      </c>
      <c r="AU8" s="216">
        <v>3</v>
      </c>
      <c r="AV8" s="216">
        <v>3.99</v>
      </c>
      <c r="AW8" s="212"/>
      <c r="AX8" s="212"/>
      <c r="AY8" s="214">
        <v>2</v>
      </c>
      <c r="AZ8" s="214">
        <v>2.99</v>
      </c>
      <c r="BA8" s="212"/>
      <c r="BB8" s="218"/>
      <c r="BC8" s="232"/>
      <c r="BD8" s="3"/>
    </row>
    <row r="9" spans="1:56" x14ac:dyDescent="0.25">
      <c r="A9" s="163" t="s">
        <v>238</v>
      </c>
      <c r="B9" s="163"/>
      <c r="C9" s="163"/>
      <c r="D9" s="164"/>
      <c r="E9" s="163"/>
      <c r="F9" s="164"/>
      <c r="G9" s="165"/>
      <c r="H9" s="164"/>
      <c r="I9" s="164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6"/>
      <c r="AD9" s="166"/>
      <c r="AE9" s="166"/>
      <c r="AF9" s="166"/>
      <c r="AG9" s="166"/>
      <c r="AH9" s="166"/>
      <c r="AI9" s="165"/>
      <c r="AK9" s="209" t="s">
        <v>239</v>
      </c>
      <c r="AL9" s="209">
        <v>17</v>
      </c>
      <c r="AM9" s="211">
        <v>1729</v>
      </c>
      <c r="AN9" s="229" t="s">
        <v>193</v>
      </c>
      <c r="AO9" s="212"/>
      <c r="AP9" s="212"/>
      <c r="AQ9" s="214">
        <v>6</v>
      </c>
      <c r="AR9" s="215">
        <v>6.99</v>
      </c>
      <c r="AS9" s="214">
        <v>5</v>
      </c>
      <c r="AT9" s="215">
        <v>5.99</v>
      </c>
      <c r="AU9" s="214">
        <v>3</v>
      </c>
      <c r="AV9" s="214">
        <v>3.99</v>
      </c>
      <c r="AW9" s="212"/>
      <c r="AX9" s="213">
        <v>2.99</v>
      </c>
      <c r="AY9" s="212"/>
      <c r="AZ9" s="213">
        <v>2.99</v>
      </c>
      <c r="BA9" s="212"/>
      <c r="BB9" s="213">
        <v>3.99</v>
      </c>
      <c r="BC9" s="232"/>
      <c r="BD9" s="3"/>
    </row>
    <row r="10" spans="1:56" x14ac:dyDescent="0.25">
      <c r="A10" s="167" t="s">
        <v>227</v>
      </c>
      <c r="B10" s="167"/>
      <c r="C10" s="167"/>
      <c r="D10" s="168"/>
      <c r="E10" s="167"/>
      <c r="F10" s="169"/>
      <c r="G10" s="170"/>
      <c r="H10" s="169"/>
      <c r="I10" s="169"/>
      <c r="J10" s="171" t="s">
        <v>228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9"/>
      <c r="Y10" s="169"/>
      <c r="Z10" s="169"/>
      <c r="AA10" s="169"/>
      <c r="AB10" s="169"/>
      <c r="AC10" s="172" t="s">
        <v>229</v>
      </c>
      <c r="AD10" s="172"/>
      <c r="AE10" s="172"/>
      <c r="AF10" s="172"/>
      <c r="AG10" s="172"/>
      <c r="AH10" s="172"/>
      <c r="AI10" s="173"/>
      <c r="AK10" s="209" t="s">
        <v>240</v>
      </c>
      <c r="AL10" s="209">
        <v>17</v>
      </c>
      <c r="AM10" s="211">
        <v>1764</v>
      </c>
      <c r="AN10" s="229" t="s">
        <v>241</v>
      </c>
      <c r="AO10" s="212"/>
      <c r="AP10" s="212"/>
      <c r="AQ10" s="214">
        <v>3</v>
      </c>
      <c r="AR10" s="214">
        <v>3.99</v>
      </c>
      <c r="AS10" s="216">
        <v>5</v>
      </c>
      <c r="AT10" s="217">
        <v>5.99</v>
      </c>
      <c r="AU10" s="214">
        <v>2</v>
      </c>
      <c r="AV10" s="214">
        <v>2.99</v>
      </c>
      <c r="AW10" s="212"/>
      <c r="AX10" s="213">
        <v>3.99</v>
      </c>
      <c r="AY10" s="216">
        <v>4</v>
      </c>
      <c r="AZ10" s="216">
        <v>4.99</v>
      </c>
      <c r="BA10" s="212"/>
      <c r="BB10" s="212"/>
      <c r="BC10" s="221"/>
      <c r="BD10" s="3"/>
    </row>
    <row r="11" spans="1:56" x14ac:dyDescent="0.25">
      <c r="A11" s="174" t="s">
        <v>186</v>
      </c>
      <c r="B11" s="174" t="s">
        <v>187</v>
      </c>
      <c r="C11" s="174" t="s">
        <v>113</v>
      </c>
      <c r="D11" s="175" t="s">
        <v>188</v>
      </c>
      <c r="E11" s="174" t="s">
        <v>189</v>
      </c>
      <c r="F11" s="175" t="str">
        <f>F6</f>
        <v>Promoción</v>
      </c>
      <c r="G11" s="176" t="str">
        <f>G6</f>
        <v>Gen</v>
      </c>
      <c r="H11" s="175" t="str">
        <f>H6</f>
        <v>u20</v>
      </c>
      <c r="I11" s="175" t="str">
        <f>I6</f>
        <v>Lid</v>
      </c>
      <c r="J11" s="174" t="s">
        <v>154</v>
      </c>
      <c r="K11" s="174" t="str">
        <f t="shared" ref="K11:Z11" si="2">K6</f>
        <v>Pot</v>
      </c>
      <c r="L11" s="177" t="str">
        <f t="shared" si="2"/>
        <v>DEF</v>
      </c>
      <c r="M11" s="177" t="str">
        <f t="shared" si="2"/>
        <v>Pot</v>
      </c>
      <c r="N11" s="174" t="str">
        <f t="shared" si="2"/>
        <v>JUG</v>
      </c>
      <c r="O11" s="174" t="str">
        <f t="shared" si="2"/>
        <v>Pot</v>
      </c>
      <c r="P11" s="177" t="str">
        <f t="shared" si="2"/>
        <v>LAT</v>
      </c>
      <c r="Q11" s="177" t="str">
        <f t="shared" si="2"/>
        <v>Pot</v>
      </c>
      <c r="R11" s="174" t="str">
        <f t="shared" si="2"/>
        <v>PAS</v>
      </c>
      <c r="S11" s="174" t="str">
        <f t="shared" si="2"/>
        <v>Pot</v>
      </c>
      <c r="T11" s="177" t="str">
        <f t="shared" si="2"/>
        <v>ANO</v>
      </c>
      <c r="U11" s="177" t="str">
        <f t="shared" si="2"/>
        <v>Pot</v>
      </c>
      <c r="V11" s="174" t="str">
        <f t="shared" si="2"/>
        <v>BP</v>
      </c>
      <c r="W11" s="174" t="str">
        <f t="shared" si="2"/>
        <v>Pot</v>
      </c>
      <c r="X11" s="178" t="str">
        <f t="shared" si="2"/>
        <v>HAB</v>
      </c>
      <c r="Y11" s="178" t="str">
        <f t="shared" si="2"/>
        <v>POT</v>
      </c>
      <c r="Z11" s="175" t="str">
        <f t="shared" si="2"/>
        <v>Cap</v>
      </c>
      <c r="AA11" s="175" t="s">
        <v>199</v>
      </c>
      <c r="AB11" s="175" t="str">
        <f t="shared" ref="AB11:AI11" si="3">AB6</f>
        <v>HTMS</v>
      </c>
      <c r="AC11" s="179" t="str">
        <f t="shared" si="3"/>
        <v>PR</v>
      </c>
      <c r="AD11" s="179" t="str">
        <f t="shared" si="3"/>
        <v>DL</v>
      </c>
      <c r="AE11" s="179" t="str">
        <f t="shared" si="3"/>
        <v>DC</v>
      </c>
      <c r="AF11" s="179" t="str">
        <f t="shared" si="3"/>
        <v>In</v>
      </c>
      <c r="AG11" s="179" t="str">
        <f t="shared" si="3"/>
        <v>ExO</v>
      </c>
      <c r="AH11" s="179" t="str">
        <f t="shared" si="3"/>
        <v>DV</v>
      </c>
      <c r="AI11" s="176" t="str">
        <f t="shared" si="3"/>
        <v>Atributs</v>
      </c>
      <c r="AK11" s="209" t="s">
        <v>242</v>
      </c>
      <c r="AL11" s="209">
        <v>17</v>
      </c>
      <c r="AM11" s="211">
        <v>1789</v>
      </c>
      <c r="AN11" s="229" t="s">
        <v>243</v>
      </c>
      <c r="AO11" s="212"/>
      <c r="AP11" s="213">
        <v>1.99</v>
      </c>
      <c r="AQ11" s="212"/>
      <c r="AR11" s="213">
        <v>3.99</v>
      </c>
      <c r="AS11" s="216">
        <v>5</v>
      </c>
      <c r="AT11" s="217">
        <v>5.99</v>
      </c>
      <c r="AU11" s="214">
        <v>4</v>
      </c>
      <c r="AV11" s="214">
        <v>4.99</v>
      </c>
      <c r="AW11" s="212"/>
      <c r="AX11" s="213">
        <v>3.99</v>
      </c>
      <c r="AY11" s="212"/>
      <c r="AZ11" s="213">
        <v>2.99</v>
      </c>
      <c r="BA11" s="212"/>
      <c r="BB11" s="213">
        <v>3.99</v>
      </c>
      <c r="BC11" s="232"/>
      <c r="BD11" s="3"/>
    </row>
    <row r="12" spans="1:56" x14ac:dyDescent="0.25">
      <c r="A12" s="124" t="s">
        <v>244</v>
      </c>
      <c r="B12" s="125">
        <v>16</v>
      </c>
      <c r="C12" s="126">
        <f ca="1">86+A33-2516-112-112</f>
        <v>417</v>
      </c>
      <c r="D12" s="127" t="s">
        <v>165</v>
      </c>
      <c r="E12" s="128">
        <f t="shared" ref="E12:E17" ca="1" si="4">F12-TODAY()</f>
        <v>-305</v>
      </c>
      <c r="F12" s="129">
        <v>43764</v>
      </c>
      <c r="G12" s="162" t="s">
        <v>245</v>
      </c>
      <c r="H12" s="131" t="s">
        <v>246</v>
      </c>
      <c r="I12" s="130" t="s">
        <v>222</v>
      </c>
      <c r="J12" s="130"/>
      <c r="K12" s="136">
        <v>0.99</v>
      </c>
      <c r="L12" s="130"/>
      <c r="M12" s="136">
        <v>3.99</v>
      </c>
      <c r="N12" s="158">
        <v>5</v>
      </c>
      <c r="O12" s="160">
        <v>6.99</v>
      </c>
      <c r="P12" s="132">
        <v>4</v>
      </c>
      <c r="Q12" s="133">
        <v>4.99</v>
      </c>
      <c r="R12" s="134">
        <v>2</v>
      </c>
      <c r="S12" s="135">
        <v>2.99</v>
      </c>
      <c r="T12" s="134">
        <v>2</v>
      </c>
      <c r="U12" s="135">
        <v>2.99</v>
      </c>
      <c r="V12" s="130"/>
      <c r="W12" s="160">
        <v>6.99</v>
      </c>
      <c r="X12" s="137">
        <f t="shared" ref="X12:X17" si="5">7-(COUNTBLANK(J12)+COUNTBLANK(L12)+COUNTBLANK(N12)+COUNTBLANK(P12)+COUNTBLANK(R12)+COUNTBLANK(T12)+COUNTBLANK(V12))</f>
        <v>4</v>
      </c>
      <c r="Y12" s="130">
        <f t="shared" ref="Y12:Y17" si="6">COUNT(W12,S12,U12,Q12,O12,M12,K12)</f>
        <v>7</v>
      </c>
      <c r="Z12" s="130"/>
      <c r="AA12" s="130"/>
      <c r="AB12" s="130"/>
      <c r="AC12" s="138"/>
      <c r="AD12" s="138"/>
      <c r="AE12" s="138"/>
      <c r="AF12" s="138">
        <v>4.5</v>
      </c>
      <c r="AG12" s="138">
        <v>4</v>
      </c>
      <c r="AH12" s="138">
        <v>3.5</v>
      </c>
      <c r="AI12" s="138" t="s">
        <v>223</v>
      </c>
      <c r="AK12" s="209" t="s">
        <v>247</v>
      </c>
      <c r="AL12" s="209">
        <v>17</v>
      </c>
      <c r="AM12" s="211">
        <v>0</v>
      </c>
      <c r="AN12" s="229" t="s">
        <v>243</v>
      </c>
      <c r="AO12" s="204"/>
      <c r="AP12" s="207">
        <v>1.99</v>
      </c>
      <c r="AQ12" s="204"/>
      <c r="AR12" s="207">
        <v>2.99</v>
      </c>
      <c r="AS12" s="205">
        <v>4</v>
      </c>
      <c r="AT12" s="205">
        <v>4.99</v>
      </c>
      <c r="AU12" s="210">
        <v>5</v>
      </c>
      <c r="AV12" s="231">
        <v>5.99</v>
      </c>
      <c r="AW12" s="204"/>
      <c r="AX12" s="207">
        <v>1.99</v>
      </c>
      <c r="AY12" s="210">
        <v>5</v>
      </c>
      <c r="AZ12" s="231">
        <v>5.99</v>
      </c>
      <c r="BA12" s="204"/>
      <c r="BB12" s="204"/>
      <c r="BC12" s="208">
        <v>41412</v>
      </c>
      <c r="BD12" s="3"/>
    </row>
    <row r="13" spans="1:56" x14ac:dyDescent="0.25">
      <c r="A13" s="124" t="s">
        <v>248</v>
      </c>
      <c r="B13" s="125">
        <v>16</v>
      </c>
      <c r="C13" s="126">
        <f ca="1">A32-43400+6-112-110-112</f>
        <v>341</v>
      </c>
      <c r="D13" s="127" t="s">
        <v>165</v>
      </c>
      <c r="E13" s="128">
        <f t="shared" ca="1" si="4"/>
        <v>-229</v>
      </c>
      <c r="F13" s="129">
        <v>43840</v>
      </c>
      <c r="G13" s="162" t="s">
        <v>245</v>
      </c>
      <c r="H13" s="157" t="s">
        <v>221</v>
      </c>
      <c r="I13" s="130" t="s">
        <v>222</v>
      </c>
      <c r="J13" s="125"/>
      <c r="K13" s="136">
        <v>1.99</v>
      </c>
      <c r="L13" s="125"/>
      <c r="M13" s="136">
        <v>4.99</v>
      </c>
      <c r="N13" s="132">
        <v>3</v>
      </c>
      <c r="O13" s="133">
        <v>3.99</v>
      </c>
      <c r="P13" s="158">
        <v>3</v>
      </c>
      <c r="Q13" s="159">
        <v>5.99</v>
      </c>
      <c r="R13" s="134">
        <v>3</v>
      </c>
      <c r="S13" s="135">
        <v>3.99</v>
      </c>
      <c r="T13" s="125"/>
      <c r="U13" s="136">
        <v>3.99</v>
      </c>
      <c r="V13" s="125"/>
      <c r="W13" s="125"/>
      <c r="X13" s="137">
        <f t="shared" si="5"/>
        <v>3</v>
      </c>
      <c r="Y13" s="130">
        <f t="shared" si="6"/>
        <v>6</v>
      </c>
      <c r="Z13" s="130"/>
      <c r="AA13" s="130"/>
      <c r="AB13" s="130"/>
      <c r="AC13" s="138"/>
      <c r="AD13" s="138"/>
      <c r="AE13" s="138"/>
      <c r="AF13" s="138"/>
      <c r="AG13" s="138">
        <v>5</v>
      </c>
      <c r="AH13" s="138">
        <v>5.5</v>
      </c>
      <c r="AI13" s="138" t="s">
        <v>223</v>
      </c>
      <c r="AK13" s="209" t="s">
        <v>249</v>
      </c>
      <c r="AL13" s="209">
        <v>18</v>
      </c>
      <c r="AM13" s="211">
        <v>1781</v>
      </c>
      <c r="AN13" s="229"/>
      <c r="AO13" s="212"/>
      <c r="AP13" s="212"/>
      <c r="AQ13" s="216">
        <v>6</v>
      </c>
      <c r="AR13" s="217">
        <v>6.99</v>
      </c>
      <c r="AS13" s="214">
        <v>3</v>
      </c>
      <c r="AT13" s="214">
        <v>3.99</v>
      </c>
      <c r="AU13" s="216">
        <v>5</v>
      </c>
      <c r="AV13" s="217">
        <v>5.99</v>
      </c>
      <c r="AW13" s="213">
        <v>4</v>
      </c>
      <c r="AX13" s="219">
        <v>5.99</v>
      </c>
      <c r="AY13" s="212"/>
      <c r="AZ13" s="213">
        <v>3.99</v>
      </c>
      <c r="BA13" s="212"/>
      <c r="BB13" s="212"/>
      <c r="BC13" s="232"/>
      <c r="BD13" s="3"/>
    </row>
    <row r="14" spans="1:56" x14ac:dyDescent="0.25">
      <c r="A14" s="161" t="s">
        <v>250</v>
      </c>
      <c r="B14" s="125">
        <v>15</v>
      </c>
      <c r="C14" s="126">
        <f ca="1">-2679+A33</f>
        <v>392</v>
      </c>
      <c r="D14" s="127"/>
      <c r="E14" s="128">
        <f t="shared" ca="1" si="4"/>
        <v>-168</v>
      </c>
      <c r="F14" s="129">
        <v>43901</v>
      </c>
      <c r="G14" s="162" t="s">
        <v>245</v>
      </c>
      <c r="H14" s="131" t="s">
        <v>251</v>
      </c>
      <c r="I14" s="130" t="s">
        <v>222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32">
        <v>3</v>
      </c>
      <c r="U14" s="133">
        <v>3.99</v>
      </c>
      <c r="V14" s="125"/>
      <c r="W14" s="160">
        <v>6.99</v>
      </c>
      <c r="X14" s="137">
        <f t="shared" si="5"/>
        <v>1</v>
      </c>
      <c r="Y14" s="130">
        <f t="shared" si="6"/>
        <v>2</v>
      </c>
      <c r="Z14" s="130"/>
      <c r="AA14" s="130"/>
      <c r="AB14" s="130"/>
      <c r="AC14" s="138"/>
      <c r="AD14" s="138"/>
      <c r="AE14" s="138"/>
      <c r="AF14" s="138"/>
      <c r="AG14" s="138"/>
      <c r="AH14" s="138"/>
      <c r="AI14" s="138"/>
      <c r="AK14" s="209" t="s">
        <v>252</v>
      </c>
      <c r="AL14" s="209">
        <v>16</v>
      </c>
      <c r="AM14" s="211">
        <v>1807</v>
      </c>
      <c r="AN14" s="229" t="s">
        <v>243</v>
      </c>
      <c r="AO14" s="212"/>
      <c r="AP14" s="212"/>
      <c r="AQ14" s="220">
        <v>3</v>
      </c>
      <c r="AR14" s="214">
        <v>3.99</v>
      </c>
      <c r="AS14" s="216">
        <v>5</v>
      </c>
      <c r="AT14" s="217">
        <v>5.99</v>
      </c>
      <c r="AU14" s="214">
        <v>7</v>
      </c>
      <c r="AV14" s="215">
        <v>7</v>
      </c>
      <c r="AW14" s="212"/>
      <c r="AX14" s="213">
        <v>1.99</v>
      </c>
      <c r="AY14" s="216">
        <v>3</v>
      </c>
      <c r="AZ14" s="216">
        <v>3.99</v>
      </c>
      <c r="BA14" s="212"/>
      <c r="BB14" s="212"/>
      <c r="BC14" s="221"/>
      <c r="BD14" s="3"/>
    </row>
    <row r="15" spans="1:56" x14ac:dyDescent="0.25">
      <c r="A15" s="124" t="s">
        <v>253</v>
      </c>
      <c r="B15" s="125">
        <v>17</v>
      </c>
      <c r="C15" s="126">
        <f ca="1">A33-2100-6-93-112+2-62-112-112-112</f>
        <v>364</v>
      </c>
      <c r="D15" s="127" t="s">
        <v>178</v>
      </c>
      <c r="E15" s="128">
        <f t="shared" ca="1" si="4"/>
        <v>-364</v>
      </c>
      <c r="F15" s="129">
        <v>43705</v>
      </c>
      <c r="G15" s="180"/>
      <c r="H15" s="131" t="s">
        <v>254</v>
      </c>
      <c r="I15" s="130" t="s">
        <v>222</v>
      </c>
      <c r="J15" s="125"/>
      <c r="K15" s="125"/>
      <c r="L15" s="134">
        <v>3</v>
      </c>
      <c r="M15" s="135">
        <v>3.99</v>
      </c>
      <c r="N15" s="132">
        <v>4</v>
      </c>
      <c r="O15" s="133">
        <v>4.99</v>
      </c>
      <c r="P15" s="125"/>
      <c r="Q15" s="159">
        <v>5.99</v>
      </c>
      <c r="R15" s="134">
        <v>4</v>
      </c>
      <c r="S15" s="135">
        <v>4.99</v>
      </c>
      <c r="T15" s="125"/>
      <c r="U15" s="136">
        <v>3.99</v>
      </c>
      <c r="V15" s="125"/>
      <c r="W15" s="136">
        <v>3.99</v>
      </c>
      <c r="X15" s="137">
        <f t="shared" si="5"/>
        <v>3</v>
      </c>
      <c r="Y15" s="130">
        <f t="shared" si="6"/>
        <v>6</v>
      </c>
      <c r="Z15" s="130"/>
      <c r="AA15" s="130"/>
      <c r="AB15" s="130"/>
      <c r="AC15" s="138"/>
      <c r="AD15" s="138"/>
      <c r="AE15" s="138"/>
      <c r="AF15" s="138"/>
      <c r="AG15" s="138"/>
      <c r="AH15" s="138"/>
      <c r="AI15" s="138" t="s">
        <v>233</v>
      </c>
      <c r="AK15" s="209" t="s">
        <v>255</v>
      </c>
      <c r="AL15" s="209">
        <v>18</v>
      </c>
      <c r="AM15" s="211">
        <v>1778</v>
      </c>
      <c r="AN15" s="229" t="s">
        <v>193</v>
      </c>
      <c r="AO15" s="212"/>
      <c r="AP15" s="213">
        <v>1.99</v>
      </c>
      <c r="AQ15" s="214">
        <v>2</v>
      </c>
      <c r="AR15" s="214">
        <v>2.99</v>
      </c>
      <c r="AS15" s="214">
        <v>1</v>
      </c>
      <c r="AT15" s="214">
        <v>1.99</v>
      </c>
      <c r="AU15" s="212"/>
      <c r="AV15" s="213">
        <v>1.99</v>
      </c>
      <c r="AW15" s="212"/>
      <c r="AX15" s="219">
        <v>5.99</v>
      </c>
      <c r="AY15" s="214">
        <v>4</v>
      </c>
      <c r="AZ15" s="214">
        <v>4.99</v>
      </c>
      <c r="BA15" s="214">
        <v>5</v>
      </c>
      <c r="BB15" s="215">
        <v>5.99</v>
      </c>
      <c r="BC15" s="232"/>
      <c r="BD15" s="3"/>
    </row>
    <row r="16" spans="1:56" x14ac:dyDescent="0.25">
      <c r="A16" s="161" t="s">
        <v>256</v>
      </c>
      <c r="B16" s="125">
        <v>17</v>
      </c>
      <c r="C16" s="126">
        <f ca="1">A33-2100-5-93-112+6-36-112-112-12-112</f>
        <v>383</v>
      </c>
      <c r="D16" s="127"/>
      <c r="E16" s="128">
        <f t="shared" ca="1" si="4"/>
        <v>-383</v>
      </c>
      <c r="F16" s="129">
        <v>43686</v>
      </c>
      <c r="G16" s="130"/>
      <c r="H16" s="131" t="s">
        <v>251</v>
      </c>
      <c r="I16" s="130" t="s">
        <v>222</v>
      </c>
      <c r="J16" s="125"/>
      <c r="K16" s="125"/>
      <c r="L16" s="134">
        <v>4</v>
      </c>
      <c r="M16" s="135">
        <v>4.99</v>
      </c>
      <c r="N16" s="132">
        <v>2</v>
      </c>
      <c r="O16" s="133">
        <v>2.99</v>
      </c>
      <c r="P16" s="125"/>
      <c r="Q16" s="136">
        <v>3.99</v>
      </c>
      <c r="R16" s="125"/>
      <c r="S16" s="136">
        <v>2.99</v>
      </c>
      <c r="T16" s="125"/>
      <c r="U16" s="159">
        <v>5.99</v>
      </c>
      <c r="V16" s="125"/>
      <c r="W16" s="125"/>
      <c r="X16" s="137">
        <f t="shared" si="5"/>
        <v>2</v>
      </c>
      <c r="Y16" s="130">
        <f t="shared" si="6"/>
        <v>5</v>
      </c>
      <c r="Z16" s="130"/>
      <c r="AA16" s="130"/>
      <c r="AB16" s="130"/>
      <c r="AC16" s="138"/>
      <c r="AD16" s="138"/>
      <c r="AE16" s="138"/>
      <c r="AF16" s="138">
        <v>3.5</v>
      </c>
      <c r="AG16" s="138"/>
      <c r="AH16" s="138"/>
      <c r="AI16" s="138" t="s">
        <v>233</v>
      </c>
      <c r="AK16" s="209" t="s">
        <v>257</v>
      </c>
      <c r="AL16" s="209">
        <v>17</v>
      </c>
      <c r="AM16" s="211">
        <v>1683</v>
      </c>
      <c r="AN16" s="229"/>
      <c r="AO16" s="212"/>
      <c r="AP16" s="212"/>
      <c r="AQ16" s="216">
        <v>6</v>
      </c>
      <c r="AR16" s="217">
        <v>6.99</v>
      </c>
      <c r="AS16" s="214">
        <v>1</v>
      </c>
      <c r="AT16" s="214">
        <v>1.99</v>
      </c>
      <c r="AU16" s="214">
        <v>2</v>
      </c>
      <c r="AV16" s="214">
        <v>2.99</v>
      </c>
      <c r="AW16" s="213">
        <v>3</v>
      </c>
      <c r="AX16" s="213">
        <v>4.99</v>
      </c>
      <c r="AY16" s="212"/>
      <c r="AZ16" s="213">
        <v>2.99</v>
      </c>
      <c r="BA16" s="214">
        <v>4</v>
      </c>
      <c r="BB16" s="214">
        <v>4.99</v>
      </c>
      <c r="BC16" s="232"/>
      <c r="BD16" s="3"/>
    </row>
    <row r="17" spans="1:56" x14ac:dyDescent="0.25">
      <c r="A17" s="161" t="s">
        <v>258</v>
      </c>
      <c r="B17" s="125">
        <v>17</v>
      </c>
      <c r="C17" s="126">
        <f ca="1">A33-2100-6-116+4-112-112-6-112-112</f>
        <v>399</v>
      </c>
      <c r="D17" s="127"/>
      <c r="E17" s="128">
        <f t="shared" ca="1" si="4"/>
        <v>-399</v>
      </c>
      <c r="F17" s="129">
        <v>43670</v>
      </c>
      <c r="G17" s="162" t="s">
        <v>245</v>
      </c>
      <c r="H17" s="131" t="s">
        <v>251</v>
      </c>
      <c r="I17" s="130" t="s">
        <v>222</v>
      </c>
      <c r="J17" s="125"/>
      <c r="K17" s="136">
        <v>1.99</v>
      </c>
      <c r="L17" s="125"/>
      <c r="M17" s="136">
        <v>2.99</v>
      </c>
      <c r="N17" s="132">
        <v>4</v>
      </c>
      <c r="O17" s="133">
        <v>4.99</v>
      </c>
      <c r="P17" s="125"/>
      <c r="Q17" s="136">
        <v>4.99</v>
      </c>
      <c r="R17" s="158">
        <v>4</v>
      </c>
      <c r="S17" s="159">
        <v>5.99</v>
      </c>
      <c r="T17" s="134">
        <v>2</v>
      </c>
      <c r="U17" s="135">
        <v>2.99</v>
      </c>
      <c r="V17" s="125"/>
      <c r="W17" s="160">
        <v>6.99</v>
      </c>
      <c r="X17" s="137">
        <f t="shared" si="5"/>
        <v>3</v>
      </c>
      <c r="Y17" s="130">
        <f t="shared" si="6"/>
        <v>7</v>
      </c>
      <c r="Z17" s="130"/>
      <c r="AA17" s="130">
        <v>11</v>
      </c>
      <c r="AB17" s="130"/>
      <c r="AC17" s="138"/>
      <c r="AD17" s="138"/>
      <c r="AE17" s="138"/>
      <c r="AF17" s="138">
        <v>4.5</v>
      </c>
      <c r="AG17" s="138">
        <v>4.5</v>
      </c>
      <c r="AH17" s="138"/>
      <c r="AI17" s="138" t="s">
        <v>233</v>
      </c>
      <c r="AK17" s="209" t="s">
        <v>259</v>
      </c>
      <c r="AL17" s="209">
        <v>16</v>
      </c>
      <c r="AM17" s="211">
        <v>1772</v>
      </c>
      <c r="AN17" s="229"/>
      <c r="AO17" s="212"/>
      <c r="AP17" s="213">
        <v>1.99</v>
      </c>
      <c r="AQ17" s="220">
        <v>3</v>
      </c>
      <c r="AR17" s="214">
        <v>3.99</v>
      </c>
      <c r="AS17" s="216">
        <v>4</v>
      </c>
      <c r="AT17" s="216">
        <v>4.99</v>
      </c>
      <c r="AU17" s="214">
        <v>5</v>
      </c>
      <c r="AV17" s="215">
        <v>5.99</v>
      </c>
      <c r="AW17" s="212"/>
      <c r="AX17" s="213">
        <v>4.99</v>
      </c>
      <c r="AY17" s="214">
        <v>2</v>
      </c>
      <c r="AZ17" s="214">
        <v>2.99</v>
      </c>
      <c r="BA17" s="214">
        <v>4</v>
      </c>
      <c r="BB17" s="214">
        <v>4.99</v>
      </c>
      <c r="BC17" s="232"/>
      <c r="BD17" s="3"/>
    </row>
    <row r="18" spans="1:56" x14ac:dyDescent="0.25">
      <c r="A18" s="181" t="s">
        <v>227</v>
      </c>
      <c r="B18" s="181"/>
      <c r="C18" s="181"/>
      <c r="D18" s="182"/>
      <c r="E18" s="181"/>
      <c r="F18" s="183"/>
      <c r="G18" s="184"/>
      <c r="H18" s="183"/>
      <c r="I18" s="183"/>
      <c r="J18" s="185" t="s">
        <v>228</v>
      </c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3"/>
      <c r="Y18" s="183"/>
      <c r="Z18" s="183"/>
      <c r="AA18" s="183"/>
      <c r="AB18" s="183"/>
      <c r="AC18" s="186" t="s">
        <v>229</v>
      </c>
      <c r="AD18" s="186"/>
      <c r="AE18" s="186"/>
      <c r="AF18" s="186"/>
      <c r="AG18" s="186"/>
      <c r="AH18" s="186"/>
      <c r="AI18" s="187"/>
      <c r="AK18" s="209" t="s">
        <v>260</v>
      </c>
      <c r="AL18" s="209">
        <v>17</v>
      </c>
      <c r="AM18" s="211">
        <v>1733</v>
      </c>
      <c r="AN18" s="229" t="s">
        <v>261</v>
      </c>
      <c r="AO18" s="212"/>
      <c r="AP18" s="213">
        <v>1.99</v>
      </c>
      <c r="AQ18" s="216">
        <v>4</v>
      </c>
      <c r="AR18" s="216">
        <v>4.99</v>
      </c>
      <c r="AS18" s="216">
        <v>3</v>
      </c>
      <c r="AT18" s="216">
        <v>3.99</v>
      </c>
      <c r="AU18" s="216">
        <v>6</v>
      </c>
      <c r="AV18" s="217">
        <v>6.99</v>
      </c>
      <c r="AW18" s="212"/>
      <c r="AX18" s="213">
        <v>4.99</v>
      </c>
      <c r="AY18" s="212"/>
      <c r="AZ18" s="213">
        <v>2.99</v>
      </c>
      <c r="BA18" s="212"/>
      <c r="BB18" s="213">
        <v>4.99</v>
      </c>
      <c r="BC18" s="232"/>
      <c r="BD18" s="3"/>
    </row>
    <row r="19" spans="1:56" x14ac:dyDescent="0.25">
      <c r="A19" s="188" t="s">
        <v>186</v>
      </c>
      <c r="B19" s="188" t="s">
        <v>187</v>
      </c>
      <c r="C19" s="188" t="s">
        <v>113</v>
      </c>
      <c r="D19" s="189" t="s">
        <v>188</v>
      </c>
      <c r="E19" s="188" t="s">
        <v>189</v>
      </c>
      <c r="F19" s="189" t="str">
        <f>F11</f>
        <v>Promoción</v>
      </c>
      <c r="G19" s="190" t="str">
        <f>G11</f>
        <v>Gen</v>
      </c>
      <c r="H19" s="189" t="str">
        <f>H11</f>
        <v>u20</v>
      </c>
      <c r="I19" s="189" t="str">
        <f>I11</f>
        <v>Lid</v>
      </c>
      <c r="J19" s="188" t="s">
        <v>154</v>
      </c>
      <c r="K19" s="188" t="str">
        <f t="shared" ref="K19:Z19" si="7">K11</f>
        <v>Pot</v>
      </c>
      <c r="L19" s="191" t="str">
        <f t="shared" si="7"/>
        <v>DEF</v>
      </c>
      <c r="M19" s="191" t="str">
        <f t="shared" si="7"/>
        <v>Pot</v>
      </c>
      <c r="N19" s="188" t="str">
        <f t="shared" si="7"/>
        <v>JUG</v>
      </c>
      <c r="O19" s="188" t="str">
        <f t="shared" si="7"/>
        <v>Pot</v>
      </c>
      <c r="P19" s="191" t="str">
        <f t="shared" si="7"/>
        <v>LAT</v>
      </c>
      <c r="Q19" s="191" t="str">
        <f t="shared" si="7"/>
        <v>Pot</v>
      </c>
      <c r="R19" s="188" t="str">
        <f t="shared" si="7"/>
        <v>PAS</v>
      </c>
      <c r="S19" s="188" t="str">
        <f t="shared" si="7"/>
        <v>Pot</v>
      </c>
      <c r="T19" s="191" t="str">
        <f t="shared" si="7"/>
        <v>ANO</v>
      </c>
      <c r="U19" s="191" t="str">
        <f t="shared" si="7"/>
        <v>Pot</v>
      </c>
      <c r="V19" s="188" t="str">
        <f t="shared" si="7"/>
        <v>BP</v>
      </c>
      <c r="W19" s="188" t="str">
        <f t="shared" si="7"/>
        <v>Pot</v>
      </c>
      <c r="X19" s="192" t="str">
        <f t="shared" si="7"/>
        <v>HAB</v>
      </c>
      <c r="Y19" s="192" t="str">
        <f t="shared" si="7"/>
        <v>POT</v>
      </c>
      <c r="Z19" s="189" t="str">
        <f t="shared" si="7"/>
        <v>Cap</v>
      </c>
      <c r="AA19" s="189" t="s">
        <v>199</v>
      </c>
      <c r="AB19" s="189" t="str">
        <f t="shared" ref="AB19:AI19" si="8">AB11</f>
        <v>HTMS</v>
      </c>
      <c r="AC19" s="193" t="str">
        <f t="shared" si="8"/>
        <v>PR</v>
      </c>
      <c r="AD19" s="193" t="str">
        <f t="shared" si="8"/>
        <v>DL</v>
      </c>
      <c r="AE19" s="193" t="str">
        <f t="shared" si="8"/>
        <v>DC</v>
      </c>
      <c r="AF19" s="193" t="str">
        <f t="shared" si="8"/>
        <v>In</v>
      </c>
      <c r="AG19" s="193" t="str">
        <f t="shared" si="8"/>
        <v>ExO</v>
      </c>
      <c r="AH19" s="193" t="str">
        <f t="shared" si="8"/>
        <v>DV</v>
      </c>
      <c r="AI19" s="190" t="str">
        <f t="shared" si="8"/>
        <v>Atributs</v>
      </c>
      <c r="AK19" s="209" t="s">
        <v>262</v>
      </c>
      <c r="AL19" s="209">
        <v>17</v>
      </c>
      <c r="AM19" s="211">
        <v>1665</v>
      </c>
      <c r="AN19" s="229"/>
      <c r="AO19" s="216">
        <v>1</v>
      </c>
      <c r="AP19" s="216">
        <v>1.99</v>
      </c>
      <c r="AQ19" s="216">
        <v>2</v>
      </c>
      <c r="AR19" s="216">
        <v>2.99</v>
      </c>
      <c r="AS19" s="214">
        <v>5</v>
      </c>
      <c r="AT19" s="215">
        <v>5.99</v>
      </c>
      <c r="AU19" s="214">
        <v>3</v>
      </c>
      <c r="AV19" s="214">
        <v>3.99</v>
      </c>
      <c r="AW19" s="212"/>
      <c r="AX19" s="213">
        <v>4.99</v>
      </c>
      <c r="AY19" s="214">
        <v>2</v>
      </c>
      <c r="AZ19" s="214">
        <v>2.99</v>
      </c>
      <c r="BA19" s="212"/>
      <c r="BB19" s="213">
        <v>2.99</v>
      </c>
      <c r="BC19" s="232"/>
      <c r="BD19" s="3"/>
    </row>
    <row r="20" spans="1:56" x14ac:dyDescent="0.25">
      <c r="A20" s="124"/>
      <c r="B20" s="125">
        <v>17</v>
      </c>
      <c r="C20" s="156">
        <f ca="1">A33-2100-6-93+31-112-29-112-112-87-112</f>
        <v>339</v>
      </c>
      <c r="D20" s="127"/>
      <c r="E20" s="128">
        <f t="shared" ref="E20:E25" ca="1" si="9">F20-TODAY()</f>
        <v>-44069</v>
      </c>
      <c r="F20" s="129"/>
      <c r="G20" s="157"/>
      <c r="H20" s="130" t="s">
        <v>221</v>
      </c>
      <c r="I20" s="130" t="s">
        <v>222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37">
        <f t="shared" ref="X20:X28" si="10">7-(COUNTBLANK(J20)+COUNTBLANK(L20)+COUNTBLANK(N20)+COUNTBLANK(P20)+COUNTBLANK(R20)+COUNTBLANK(T20)+COUNTBLANK(V20))</f>
        <v>0</v>
      </c>
      <c r="Y20" s="130">
        <f t="shared" ref="Y20:Y28" si="11">COUNT(W20,S20,U20,Q20,O20,M20,K20)</f>
        <v>0</v>
      </c>
      <c r="Z20" s="130"/>
      <c r="AA20" s="130"/>
      <c r="AB20" s="130"/>
      <c r="AC20" s="138"/>
      <c r="AD20" s="138"/>
      <c r="AE20" s="138"/>
      <c r="AF20" s="138"/>
      <c r="AG20" s="138"/>
      <c r="AH20" s="138"/>
      <c r="AI20" s="138"/>
      <c r="AK20" s="209" t="s">
        <v>263</v>
      </c>
      <c r="AL20" s="209">
        <v>17</v>
      </c>
      <c r="AM20" s="211">
        <v>1585</v>
      </c>
      <c r="AN20" s="229" t="s">
        <v>241</v>
      </c>
      <c r="AO20" s="221"/>
      <c r="AP20" s="221"/>
      <c r="AQ20" s="214">
        <v>4</v>
      </c>
      <c r="AR20" s="214">
        <v>4.99</v>
      </c>
      <c r="AS20" s="221"/>
      <c r="AT20" s="213">
        <v>2.99</v>
      </c>
      <c r="AU20" s="216">
        <v>5</v>
      </c>
      <c r="AV20" s="217">
        <v>5.99</v>
      </c>
      <c r="AW20" s="221"/>
      <c r="AX20" s="213">
        <v>1.99</v>
      </c>
      <c r="AY20" s="221"/>
      <c r="AZ20" s="213">
        <v>3.99</v>
      </c>
      <c r="BA20" s="221"/>
      <c r="BB20" s="213">
        <v>2.99</v>
      </c>
      <c r="BC20" s="221"/>
      <c r="BD20" s="3"/>
    </row>
    <row r="21" spans="1:56" x14ac:dyDescent="0.25">
      <c r="A21" s="161" t="s">
        <v>264</v>
      </c>
      <c r="B21" s="125">
        <v>16</v>
      </c>
      <c r="C21" s="156">
        <f ca="1">A33-2700</f>
        <v>371</v>
      </c>
      <c r="D21" s="127"/>
      <c r="E21" s="128">
        <f t="shared" ca="1" si="9"/>
        <v>-214</v>
      </c>
      <c r="F21" s="129">
        <v>43855</v>
      </c>
      <c r="G21" s="157"/>
      <c r="H21" s="130" t="s">
        <v>221</v>
      </c>
      <c r="I21" s="130" t="s">
        <v>222</v>
      </c>
      <c r="J21" s="125"/>
      <c r="K21" s="125"/>
      <c r="L21" s="125"/>
      <c r="M21" s="125"/>
      <c r="N21" s="125"/>
      <c r="O21" s="125"/>
      <c r="P21" s="158">
        <v>1</v>
      </c>
      <c r="Q21" s="125"/>
      <c r="R21" s="125"/>
      <c r="S21" s="125"/>
      <c r="T21" s="125"/>
      <c r="U21" s="159">
        <v>5.99</v>
      </c>
      <c r="V21" s="125"/>
      <c r="W21" s="125"/>
      <c r="X21" s="137">
        <f t="shared" si="10"/>
        <v>1</v>
      </c>
      <c r="Y21" s="130">
        <f t="shared" si="11"/>
        <v>1</v>
      </c>
      <c r="Z21" s="130"/>
      <c r="AA21" s="130"/>
      <c r="AB21" s="130"/>
      <c r="AC21" s="138"/>
      <c r="AD21" s="138"/>
      <c r="AE21" s="138"/>
      <c r="AF21" s="138"/>
      <c r="AG21" s="138"/>
      <c r="AH21" s="138"/>
      <c r="AI21" s="138"/>
      <c r="AK21" s="209" t="s">
        <v>265</v>
      </c>
      <c r="AL21" s="209">
        <v>16</v>
      </c>
      <c r="AM21" s="211">
        <v>1687</v>
      </c>
      <c r="AN21" s="229" t="s">
        <v>235</v>
      </c>
      <c r="AO21" s="221"/>
      <c r="AP21" s="213">
        <v>1.99</v>
      </c>
      <c r="AQ21" s="216">
        <v>5</v>
      </c>
      <c r="AR21" s="217">
        <v>5.99</v>
      </c>
      <c r="AS21" s="214">
        <v>5</v>
      </c>
      <c r="AT21" s="215">
        <v>5.99</v>
      </c>
      <c r="AU21" s="221"/>
      <c r="AV21" s="213">
        <v>3.99</v>
      </c>
      <c r="AW21" s="221"/>
      <c r="AX21" s="213">
        <v>4.99</v>
      </c>
      <c r="AY21" s="214">
        <v>2</v>
      </c>
      <c r="AZ21" s="214">
        <v>2.99</v>
      </c>
      <c r="BA21" s="221"/>
      <c r="BB21" s="213">
        <v>4.99</v>
      </c>
      <c r="BC21" s="221"/>
      <c r="BD21" s="3"/>
    </row>
    <row r="22" spans="1:56" x14ac:dyDescent="0.25">
      <c r="A22" s="161" t="s">
        <v>266</v>
      </c>
      <c r="B22" s="125">
        <v>16</v>
      </c>
      <c r="C22" s="126">
        <f ca="1">A33-2679</f>
        <v>392</v>
      </c>
      <c r="D22" s="127"/>
      <c r="E22" s="128">
        <f t="shared" ca="1" si="9"/>
        <v>-249</v>
      </c>
      <c r="F22" s="129">
        <v>43820</v>
      </c>
      <c r="G22" s="130"/>
      <c r="H22" s="157" t="s">
        <v>221</v>
      </c>
      <c r="I22" s="130" t="s">
        <v>222</v>
      </c>
      <c r="J22" s="125"/>
      <c r="K22" s="125"/>
      <c r="L22" s="158">
        <v>4</v>
      </c>
      <c r="M22" s="125"/>
      <c r="N22" s="125"/>
      <c r="O22" s="125"/>
      <c r="P22" s="125"/>
      <c r="Q22" s="125"/>
      <c r="R22" s="125"/>
      <c r="S22" s="136">
        <v>3.99</v>
      </c>
      <c r="T22" s="125"/>
      <c r="U22" s="125"/>
      <c r="V22" s="125"/>
      <c r="W22" s="125"/>
      <c r="X22" s="137">
        <f t="shared" si="10"/>
        <v>1</v>
      </c>
      <c r="Y22" s="130">
        <f t="shared" si="11"/>
        <v>1</v>
      </c>
      <c r="Z22" s="130"/>
      <c r="AA22" s="130"/>
      <c r="AB22" s="130"/>
      <c r="AC22" s="138"/>
      <c r="AD22" s="138"/>
      <c r="AE22" s="138"/>
      <c r="AF22" s="138"/>
      <c r="AG22" s="138"/>
      <c r="AH22" s="138"/>
      <c r="AI22" s="138" t="s">
        <v>223</v>
      </c>
      <c r="AK22" s="209" t="s">
        <v>267</v>
      </c>
      <c r="AL22" s="209">
        <v>16</v>
      </c>
      <c r="AM22" s="211">
        <v>1596</v>
      </c>
      <c r="AN22" s="229"/>
      <c r="AO22" s="221"/>
      <c r="AP22" s="221"/>
      <c r="AQ22" s="216">
        <v>1</v>
      </c>
      <c r="AR22" s="216">
        <v>1.99</v>
      </c>
      <c r="AS22" s="214">
        <v>6</v>
      </c>
      <c r="AT22" s="215">
        <v>6.99</v>
      </c>
      <c r="AU22" s="214">
        <v>3</v>
      </c>
      <c r="AV22" s="214">
        <v>3.99</v>
      </c>
      <c r="AW22" s="214">
        <v>3</v>
      </c>
      <c r="AX22" s="214">
        <v>3.99</v>
      </c>
      <c r="AY22" s="214">
        <v>4</v>
      </c>
      <c r="AZ22" s="214">
        <v>4.99</v>
      </c>
      <c r="BA22" s="221"/>
      <c r="BB22" s="213">
        <v>4.99</v>
      </c>
      <c r="BC22" s="221"/>
      <c r="BD22" s="3"/>
    </row>
    <row r="23" spans="1:56" x14ac:dyDescent="0.25">
      <c r="A23" s="124" t="s">
        <v>268</v>
      </c>
      <c r="B23" s="125">
        <v>16</v>
      </c>
      <c r="C23" s="126">
        <f ca="1">A33-2100-6-116+4-112-112-113-112</f>
        <v>404</v>
      </c>
      <c r="D23" s="127" t="s">
        <v>269</v>
      </c>
      <c r="E23" s="128">
        <f t="shared" ca="1" si="9"/>
        <v>-292</v>
      </c>
      <c r="F23" s="129">
        <v>43777</v>
      </c>
      <c r="G23" s="157"/>
      <c r="H23" s="131" t="s">
        <v>246</v>
      </c>
      <c r="I23" s="130" t="s">
        <v>222</v>
      </c>
      <c r="J23" s="125"/>
      <c r="K23" s="125"/>
      <c r="L23" s="158">
        <v>3</v>
      </c>
      <c r="M23" s="125"/>
      <c r="N23" s="125"/>
      <c r="O23" s="136">
        <v>2.99</v>
      </c>
      <c r="P23" s="125"/>
      <c r="Q23" s="136">
        <v>4.99</v>
      </c>
      <c r="R23" s="125"/>
      <c r="S23" s="136">
        <v>4.99</v>
      </c>
      <c r="T23" s="134">
        <v>2</v>
      </c>
      <c r="U23" s="135">
        <v>2.99</v>
      </c>
      <c r="V23" s="125"/>
      <c r="W23" s="125"/>
      <c r="X23" s="137">
        <f t="shared" si="10"/>
        <v>2</v>
      </c>
      <c r="Y23" s="130">
        <f t="shared" si="11"/>
        <v>4</v>
      </c>
      <c r="Z23" s="130"/>
      <c r="AA23" s="130"/>
      <c r="AB23" s="130"/>
      <c r="AC23" s="138"/>
      <c r="AD23" s="138"/>
      <c r="AE23" s="138"/>
      <c r="AF23" s="138"/>
      <c r="AG23" s="138">
        <v>4.5</v>
      </c>
      <c r="AH23" s="138"/>
      <c r="AI23" s="138" t="s">
        <v>233</v>
      </c>
      <c r="AK23" s="209" t="s">
        <v>270</v>
      </c>
      <c r="AL23" s="209">
        <v>18</v>
      </c>
      <c r="AM23" s="211">
        <v>1648</v>
      </c>
      <c r="AN23" s="229" t="s">
        <v>243</v>
      </c>
      <c r="AO23" s="221"/>
      <c r="AP23" s="213">
        <v>2.99</v>
      </c>
      <c r="AQ23" s="216">
        <v>4</v>
      </c>
      <c r="AR23" s="216">
        <v>4.99</v>
      </c>
      <c r="AS23" s="213">
        <v>3</v>
      </c>
      <c r="AT23" s="213">
        <v>4.99</v>
      </c>
      <c r="AU23" s="214">
        <v>1</v>
      </c>
      <c r="AV23" s="214">
        <v>1.99</v>
      </c>
      <c r="AW23" s="221"/>
      <c r="AX23" s="213">
        <v>1.99</v>
      </c>
      <c r="AY23" s="221"/>
      <c r="AZ23" s="213">
        <v>4.99</v>
      </c>
      <c r="BA23" s="214">
        <v>4</v>
      </c>
      <c r="BB23" s="214">
        <v>4.99</v>
      </c>
      <c r="BC23" s="221"/>
      <c r="BD23" s="3"/>
    </row>
    <row r="24" spans="1:56" x14ac:dyDescent="0.25">
      <c r="A24" s="161" t="s">
        <v>271</v>
      </c>
      <c r="B24" s="125">
        <v>18</v>
      </c>
      <c r="C24" s="126">
        <f ca="1">A33-2150+2-112+7-112-78-112-112</f>
        <v>404</v>
      </c>
      <c r="D24" s="127" t="s">
        <v>201</v>
      </c>
      <c r="E24" s="128">
        <f t="shared" ca="1" si="9"/>
        <v>0</v>
      </c>
      <c r="F24" s="129">
        <f ca="1">TODAY()</f>
        <v>44069</v>
      </c>
      <c r="G24" s="162" t="s">
        <v>245</v>
      </c>
      <c r="H24" s="157" t="s">
        <v>221</v>
      </c>
      <c r="I24" s="130" t="s">
        <v>222</v>
      </c>
      <c r="J24" s="125"/>
      <c r="K24" s="136">
        <v>1.99</v>
      </c>
      <c r="L24" s="125"/>
      <c r="M24" s="136">
        <v>3.99</v>
      </c>
      <c r="N24" s="134">
        <v>2</v>
      </c>
      <c r="O24" s="135">
        <v>2.99</v>
      </c>
      <c r="P24" s="158">
        <v>4</v>
      </c>
      <c r="Q24" s="160">
        <v>6.99</v>
      </c>
      <c r="R24" s="132">
        <v>4</v>
      </c>
      <c r="S24" s="133">
        <v>4.99</v>
      </c>
      <c r="T24" s="125"/>
      <c r="U24" s="136">
        <v>3.99</v>
      </c>
      <c r="V24" s="125"/>
      <c r="W24" s="159">
        <v>5.99</v>
      </c>
      <c r="X24" s="137">
        <f t="shared" si="10"/>
        <v>3</v>
      </c>
      <c r="Y24" s="130">
        <f t="shared" si="11"/>
        <v>7</v>
      </c>
      <c r="Z24" s="130"/>
      <c r="AA24" s="130"/>
      <c r="AB24" s="130"/>
      <c r="AC24" s="138"/>
      <c r="AD24" s="138">
        <v>3.5</v>
      </c>
      <c r="AE24" s="138"/>
      <c r="AF24" s="138"/>
      <c r="AG24" s="138"/>
      <c r="AH24" s="138"/>
      <c r="AI24" s="138" t="s">
        <v>233</v>
      </c>
      <c r="AK24" s="209" t="s">
        <v>272</v>
      </c>
      <c r="AL24" s="209">
        <v>19</v>
      </c>
      <c r="AM24" s="211">
        <v>1525</v>
      </c>
      <c r="AN24" s="229"/>
      <c r="AO24" s="212"/>
      <c r="AP24" s="213">
        <v>0.99</v>
      </c>
      <c r="AQ24" s="214">
        <v>4</v>
      </c>
      <c r="AR24" s="214">
        <v>4.99</v>
      </c>
      <c r="AS24" s="212"/>
      <c r="AT24" s="213">
        <v>2.99</v>
      </c>
      <c r="AU24" s="216">
        <v>4</v>
      </c>
      <c r="AV24" s="216">
        <v>4.99</v>
      </c>
      <c r="AW24" s="212"/>
      <c r="AX24" s="213">
        <v>2.99</v>
      </c>
      <c r="AY24" s="212"/>
      <c r="AZ24" s="213">
        <v>4.99</v>
      </c>
      <c r="BA24" s="214">
        <v>4</v>
      </c>
      <c r="BB24" s="214">
        <v>4.99</v>
      </c>
      <c r="BC24" s="221"/>
      <c r="BD24" s="3"/>
    </row>
    <row r="25" spans="1:56" x14ac:dyDescent="0.25">
      <c r="A25" s="161" t="s">
        <v>273</v>
      </c>
      <c r="B25" s="125">
        <v>18</v>
      </c>
      <c r="C25" s="126">
        <f ca="1">A33-2150+2-112+7-112-72-112-112</f>
        <v>410</v>
      </c>
      <c r="D25" s="127"/>
      <c r="E25" s="128">
        <f t="shared" ca="1" si="9"/>
        <v>0</v>
      </c>
      <c r="F25" s="129">
        <f ca="1">TODAY()</f>
        <v>44069</v>
      </c>
      <c r="G25" s="180" t="s">
        <v>220</v>
      </c>
      <c r="H25" s="157" t="s">
        <v>221</v>
      </c>
      <c r="I25" s="130" t="s">
        <v>222</v>
      </c>
      <c r="J25" s="125"/>
      <c r="K25" s="136">
        <v>1.99</v>
      </c>
      <c r="L25" s="134">
        <v>2</v>
      </c>
      <c r="M25" s="135">
        <v>2.99</v>
      </c>
      <c r="N25" s="132">
        <v>3</v>
      </c>
      <c r="O25" s="133">
        <v>3.99</v>
      </c>
      <c r="P25" s="134">
        <v>4</v>
      </c>
      <c r="Q25" s="135">
        <v>4.99</v>
      </c>
      <c r="R25" s="125"/>
      <c r="S25" s="160">
        <v>6.99</v>
      </c>
      <c r="T25" s="134">
        <v>2</v>
      </c>
      <c r="U25" s="135">
        <v>2.99</v>
      </c>
      <c r="V25" s="125"/>
      <c r="W25" s="125"/>
      <c r="X25" s="137">
        <f t="shared" si="10"/>
        <v>4</v>
      </c>
      <c r="Y25" s="130">
        <f t="shared" si="11"/>
        <v>6</v>
      </c>
      <c r="Z25" s="130"/>
      <c r="AA25" s="130"/>
      <c r="AB25" s="130"/>
      <c r="AC25" s="138"/>
      <c r="AD25" s="138">
        <v>2</v>
      </c>
      <c r="AE25" s="138">
        <v>3</v>
      </c>
      <c r="AF25" s="138">
        <v>5</v>
      </c>
      <c r="AG25" s="138">
        <v>5.5</v>
      </c>
      <c r="AH25" s="138">
        <v>4.5</v>
      </c>
      <c r="AI25" s="138" t="s">
        <v>223</v>
      </c>
      <c r="AK25" s="209" t="s">
        <v>274</v>
      </c>
      <c r="AL25" s="209">
        <v>16</v>
      </c>
      <c r="AM25" s="211">
        <v>-624</v>
      </c>
      <c r="AN25" s="229"/>
      <c r="AO25" s="221"/>
      <c r="AP25" s="221"/>
      <c r="AQ25" s="214">
        <v>2</v>
      </c>
      <c r="AR25" s="214">
        <v>2.99</v>
      </c>
      <c r="AS25" s="214">
        <v>5</v>
      </c>
      <c r="AT25" s="215">
        <v>5.99</v>
      </c>
      <c r="AU25" s="216">
        <v>6</v>
      </c>
      <c r="AV25" s="217">
        <v>6.99</v>
      </c>
      <c r="AW25" s="216">
        <v>4</v>
      </c>
      <c r="AX25" s="216">
        <v>4.99</v>
      </c>
      <c r="AY25" s="214">
        <v>4</v>
      </c>
      <c r="AZ25" s="214">
        <v>4.99</v>
      </c>
      <c r="BA25" s="214">
        <v>3</v>
      </c>
      <c r="BB25" s="214">
        <v>3.99</v>
      </c>
      <c r="BC25" s="221"/>
      <c r="BD25" s="3"/>
    </row>
    <row r="26" spans="1:56" x14ac:dyDescent="0.25">
      <c r="A26" s="161" t="s">
        <v>275</v>
      </c>
      <c r="B26" s="125">
        <v>17</v>
      </c>
      <c r="C26" s="126">
        <f ca="1">88+A33-2516-112-112</f>
        <v>419</v>
      </c>
      <c r="D26" s="127"/>
      <c r="E26" s="128">
        <v>0</v>
      </c>
      <c r="F26" s="129">
        <v>43650</v>
      </c>
      <c r="G26" s="162" t="s">
        <v>245</v>
      </c>
      <c r="H26" s="131" t="s">
        <v>251</v>
      </c>
      <c r="I26" s="130" t="s">
        <v>222</v>
      </c>
      <c r="J26" s="158">
        <v>3</v>
      </c>
      <c r="K26" s="136">
        <v>4.99</v>
      </c>
      <c r="L26" s="158">
        <v>3</v>
      </c>
      <c r="M26" s="136">
        <v>4.99</v>
      </c>
      <c r="N26" s="125"/>
      <c r="O26" s="136">
        <v>0.99</v>
      </c>
      <c r="P26" s="125"/>
      <c r="Q26" s="136">
        <v>1.99</v>
      </c>
      <c r="R26" s="125"/>
      <c r="S26" s="136">
        <v>1.99</v>
      </c>
      <c r="T26" s="134">
        <v>0</v>
      </c>
      <c r="U26" s="135">
        <v>0.99</v>
      </c>
      <c r="V26" s="125"/>
      <c r="W26" s="136">
        <v>1.99</v>
      </c>
      <c r="X26" s="137">
        <f t="shared" si="10"/>
        <v>3</v>
      </c>
      <c r="Y26" s="130">
        <f t="shared" si="11"/>
        <v>7</v>
      </c>
      <c r="Z26" s="130">
        <v>1</v>
      </c>
      <c r="AA26" s="130"/>
      <c r="AB26" s="130"/>
      <c r="AC26" s="138">
        <v>4</v>
      </c>
      <c r="AD26" s="138"/>
      <c r="AE26" s="138"/>
      <c r="AF26" s="138"/>
      <c r="AG26" s="138"/>
      <c r="AH26" s="138">
        <v>6.5</v>
      </c>
      <c r="AI26" s="138" t="s">
        <v>233</v>
      </c>
      <c r="AK26" s="209" t="s">
        <v>276</v>
      </c>
      <c r="AL26" s="209">
        <v>16</v>
      </c>
      <c r="AM26" s="211">
        <v>1566</v>
      </c>
      <c r="AN26" s="229" t="s">
        <v>243</v>
      </c>
      <c r="AO26" s="221"/>
      <c r="AP26" s="221"/>
      <c r="AQ26" s="213">
        <v>2</v>
      </c>
      <c r="AR26" s="221"/>
      <c r="AS26" s="216">
        <v>4</v>
      </c>
      <c r="AT26" s="216">
        <v>4.99</v>
      </c>
      <c r="AU26" s="214">
        <v>4</v>
      </c>
      <c r="AV26" s="214">
        <v>4.99</v>
      </c>
      <c r="AW26" s="216">
        <v>6</v>
      </c>
      <c r="AX26" s="217">
        <v>6.99</v>
      </c>
      <c r="AY26" s="214">
        <v>4</v>
      </c>
      <c r="AZ26" s="214">
        <v>4.99</v>
      </c>
      <c r="BA26" s="221"/>
      <c r="BB26" s="213">
        <v>3.99</v>
      </c>
      <c r="BC26" s="221"/>
      <c r="BD26" s="3"/>
    </row>
    <row r="27" spans="1:56" x14ac:dyDescent="0.25">
      <c r="A27" s="161" t="s">
        <v>277</v>
      </c>
      <c r="B27" s="125">
        <v>18</v>
      </c>
      <c r="C27" s="126">
        <f ca="1">A32-43400+6-112-112-112</f>
        <v>339</v>
      </c>
      <c r="D27" s="127"/>
      <c r="E27" s="128">
        <f ca="1">F27-TODAY()</f>
        <v>0</v>
      </c>
      <c r="F27" s="129">
        <f ca="1">TODAY()</f>
        <v>44069</v>
      </c>
      <c r="G27" s="157" t="s">
        <v>245</v>
      </c>
      <c r="H27" s="130" t="s">
        <v>221</v>
      </c>
      <c r="I27" s="130" t="s">
        <v>222</v>
      </c>
      <c r="J27" s="125"/>
      <c r="K27" s="136">
        <v>1.99</v>
      </c>
      <c r="L27" s="134">
        <v>2</v>
      </c>
      <c r="M27" s="135">
        <v>2.99</v>
      </c>
      <c r="N27" s="125"/>
      <c r="O27" s="136">
        <v>4.99</v>
      </c>
      <c r="P27" s="134">
        <v>4</v>
      </c>
      <c r="Q27" s="135">
        <v>4.99</v>
      </c>
      <c r="R27" s="125"/>
      <c r="S27" s="136">
        <v>4.99</v>
      </c>
      <c r="T27" s="125"/>
      <c r="U27" s="136">
        <v>3.99</v>
      </c>
      <c r="V27" s="125"/>
      <c r="W27" s="125"/>
      <c r="X27" s="137">
        <f t="shared" si="10"/>
        <v>2</v>
      </c>
      <c r="Y27" s="130">
        <f t="shared" si="11"/>
        <v>6</v>
      </c>
      <c r="Z27" s="130"/>
      <c r="AA27" s="130"/>
      <c r="AB27" s="130"/>
      <c r="AC27" s="138"/>
      <c r="AD27" s="138"/>
      <c r="AE27" s="138">
        <v>3</v>
      </c>
      <c r="AF27" s="138">
        <v>4.5</v>
      </c>
      <c r="AG27" s="138">
        <v>4.5</v>
      </c>
      <c r="AH27" s="138">
        <v>5</v>
      </c>
      <c r="AI27" s="138" t="s">
        <v>223</v>
      </c>
      <c r="AK27" s="209" t="s">
        <v>278</v>
      </c>
      <c r="AL27" s="209">
        <v>19</v>
      </c>
      <c r="AM27" s="211">
        <v>1449</v>
      </c>
      <c r="AN27" s="229" t="s">
        <v>235</v>
      </c>
      <c r="AO27" s="212"/>
      <c r="AP27" s="213">
        <v>1.99</v>
      </c>
      <c r="AQ27" s="214">
        <v>4</v>
      </c>
      <c r="AR27" s="214">
        <v>4.99</v>
      </c>
      <c r="AS27" s="214">
        <v>2</v>
      </c>
      <c r="AT27" s="214">
        <v>2.99</v>
      </c>
      <c r="AU27" s="214">
        <v>4</v>
      </c>
      <c r="AV27" s="214">
        <v>4.99</v>
      </c>
      <c r="AW27" s="216">
        <v>3</v>
      </c>
      <c r="AX27" s="216">
        <v>3.99</v>
      </c>
      <c r="AY27" s="213">
        <v>5</v>
      </c>
      <c r="AZ27" s="222">
        <v>6.99</v>
      </c>
      <c r="BA27" s="220">
        <v>0</v>
      </c>
      <c r="BB27" s="214">
        <v>0.99</v>
      </c>
      <c r="BC27" s="232"/>
      <c r="BD27" s="3"/>
    </row>
    <row r="28" spans="1:56" x14ac:dyDescent="0.25">
      <c r="A28" s="161" t="s">
        <v>279</v>
      </c>
      <c r="B28" s="125">
        <v>18</v>
      </c>
      <c r="C28" s="126">
        <f ca="1">A33-2100-6-93-112+6-36-112-112-112</f>
        <v>394</v>
      </c>
      <c r="D28" s="127"/>
      <c r="E28" s="128">
        <f ca="1">F28-TODAY()</f>
        <v>0</v>
      </c>
      <c r="F28" s="129">
        <f ca="1">TODAY()</f>
        <v>44069</v>
      </c>
      <c r="G28" s="157" t="s">
        <v>280</v>
      </c>
      <c r="H28" s="130" t="s">
        <v>221</v>
      </c>
      <c r="I28" s="130" t="s">
        <v>222</v>
      </c>
      <c r="J28" s="125"/>
      <c r="K28" s="125"/>
      <c r="L28" s="125"/>
      <c r="M28" s="136">
        <v>2.99</v>
      </c>
      <c r="N28" s="125"/>
      <c r="O28" s="136">
        <v>3.99</v>
      </c>
      <c r="P28" s="132">
        <v>4</v>
      </c>
      <c r="Q28" s="133">
        <v>4.99</v>
      </c>
      <c r="R28" s="134">
        <v>2</v>
      </c>
      <c r="S28" s="135">
        <v>2.99</v>
      </c>
      <c r="T28" s="125"/>
      <c r="U28" s="136">
        <v>2.99</v>
      </c>
      <c r="V28" s="125"/>
      <c r="W28" s="125"/>
      <c r="X28" s="137">
        <f t="shared" si="10"/>
        <v>2</v>
      </c>
      <c r="Y28" s="130">
        <f t="shared" si="11"/>
        <v>5</v>
      </c>
      <c r="Z28" s="130"/>
      <c r="AA28" s="130"/>
      <c r="AB28" s="130"/>
      <c r="AC28" s="138">
        <v>1</v>
      </c>
      <c r="AD28" s="138"/>
      <c r="AE28" s="138">
        <v>3.5</v>
      </c>
      <c r="AF28" s="138">
        <v>4</v>
      </c>
      <c r="AG28" s="138">
        <v>4</v>
      </c>
      <c r="AH28" s="138"/>
      <c r="AI28" s="138" t="s">
        <v>233</v>
      </c>
      <c r="AK28" s="209" t="s">
        <v>281</v>
      </c>
      <c r="AL28" s="209">
        <v>16</v>
      </c>
      <c r="AM28" s="211">
        <v>1524</v>
      </c>
      <c r="AN28" s="229"/>
      <c r="AO28" s="212"/>
      <c r="AP28" s="213">
        <v>1.99</v>
      </c>
      <c r="AQ28" s="212"/>
      <c r="AR28" s="213">
        <v>2.99</v>
      </c>
      <c r="AS28" s="214">
        <v>4</v>
      </c>
      <c r="AT28" s="214">
        <v>4.99</v>
      </c>
      <c r="AU28" s="214">
        <v>1</v>
      </c>
      <c r="AV28" s="214">
        <v>1.99</v>
      </c>
      <c r="AW28" s="216">
        <v>6</v>
      </c>
      <c r="AX28" s="217">
        <v>6.99</v>
      </c>
      <c r="AY28" s="214">
        <v>3</v>
      </c>
      <c r="AZ28" s="214">
        <v>3.99</v>
      </c>
      <c r="BA28" s="212"/>
      <c r="BB28" s="212"/>
      <c r="BC28" s="232"/>
      <c r="BD28" s="3"/>
    </row>
    <row r="29" spans="1:56" x14ac:dyDescent="0.25">
      <c r="A29" s="125"/>
      <c r="B29" s="125"/>
      <c r="C29" s="125"/>
      <c r="D29" s="130"/>
      <c r="E29" s="125"/>
      <c r="F29" s="130"/>
      <c r="G29" s="162"/>
      <c r="H29" s="130"/>
      <c r="I29" s="130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30"/>
      <c r="Y29" s="130"/>
      <c r="Z29" s="130"/>
      <c r="AA29" s="130"/>
      <c r="AB29" s="130"/>
      <c r="AC29" s="194"/>
      <c r="AD29" s="194"/>
      <c r="AE29" s="194"/>
      <c r="AF29" s="194"/>
      <c r="AG29" s="194"/>
      <c r="AH29" s="194"/>
      <c r="AI29" s="162"/>
      <c r="AK29" s="209" t="s">
        <v>282</v>
      </c>
      <c r="AL29" s="209">
        <v>18</v>
      </c>
      <c r="AM29" s="211">
        <v>1507</v>
      </c>
      <c r="AN29" s="229" t="s">
        <v>193</v>
      </c>
      <c r="AO29" s="212"/>
      <c r="AP29" s="213">
        <v>1.99</v>
      </c>
      <c r="AQ29" s="212"/>
      <c r="AR29" s="213">
        <v>1.99</v>
      </c>
      <c r="AS29" s="213">
        <v>5</v>
      </c>
      <c r="AT29" s="222">
        <v>6.99</v>
      </c>
      <c r="AU29" s="214">
        <v>2</v>
      </c>
      <c r="AV29" s="214">
        <v>2.99</v>
      </c>
      <c r="AW29" s="214">
        <v>2</v>
      </c>
      <c r="AX29" s="214">
        <v>2.99</v>
      </c>
      <c r="AY29" s="214">
        <v>4</v>
      </c>
      <c r="AZ29" s="214">
        <v>4.99</v>
      </c>
      <c r="BA29" s="214">
        <v>4</v>
      </c>
      <c r="BB29" s="214">
        <v>4.99</v>
      </c>
      <c r="BC29" s="221"/>
      <c r="BD29" s="3"/>
    </row>
    <row r="30" spans="1:56" x14ac:dyDescent="0.25">
      <c r="A30" s="125"/>
      <c r="B30" s="125"/>
      <c r="C30" s="156"/>
      <c r="D30" s="130"/>
      <c r="E30" s="125"/>
      <c r="F30" s="130"/>
      <c r="G30" s="162"/>
      <c r="H30" s="130"/>
      <c r="I30" s="130"/>
      <c r="J30" s="3"/>
      <c r="K30" s="3"/>
      <c r="L30" s="3"/>
      <c r="M30" s="3"/>
      <c r="N30" s="3"/>
      <c r="O30" s="3"/>
      <c r="P30" s="125"/>
      <c r="Q30" s="125"/>
      <c r="R30" s="125"/>
      <c r="S30" s="125"/>
      <c r="T30" s="125"/>
      <c r="U30" s="125"/>
      <c r="V30" s="125"/>
      <c r="W30" s="125"/>
      <c r="X30" s="130"/>
      <c r="Y30" s="130"/>
      <c r="Z30" s="130"/>
      <c r="AA30" s="130"/>
      <c r="AB30" s="130"/>
      <c r="AC30" s="194"/>
      <c r="AD30" s="194"/>
      <c r="AE30" s="194"/>
      <c r="AF30" s="194"/>
      <c r="AG30" s="195"/>
      <c r="AH30" s="195"/>
      <c r="AI30" s="196"/>
      <c r="AK30" s="209" t="s">
        <v>283</v>
      </c>
      <c r="AL30" s="209">
        <v>19</v>
      </c>
      <c r="AM30" s="211">
        <v>1392</v>
      </c>
      <c r="AN30" s="229" t="s">
        <v>284</v>
      </c>
      <c r="AO30" s="221"/>
      <c r="AP30" s="213">
        <v>1.99</v>
      </c>
      <c r="AQ30" s="213">
        <v>4</v>
      </c>
      <c r="AR30" s="219">
        <v>5.99</v>
      </c>
      <c r="AS30" s="216">
        <v>4</v>
      </c>
      <c r="AT30" s="216">
        <v>4.99</v>
      </c>
      <c r="AU30" s="214">
        <v>1</v>
      </c>
      <c r="AV30" s="214">
        <v>1.99</v>
      </c>
      <c r="AW30" s="214">
        <v>5</v>
      </c>
      <c r="AX30" s="214">
        <v>5.99</v>
      </c>
      <c r="AY30" s="214">
        <v>2</v>
      </c>
      <c r="AZ30" s="214">
        <v>2.99</v>
      </c>
      <c r="BA30" s="221"/>
      <c r="BB30" s="221"/>
      <c r="BC30" s="221"/>
      <c r="BD30" s="3"/>
    </row>
    <row r="31" spans="1:56" x14ac:dyDescent="0.25">
      <c r="A31" s="197" t="s">
        <v>285</v>
      </c>
      <c r="B31" s="125"/>
      <c r="C31" s="125"/>
      <c r="D31" s="130"/>
      <c r="E31" s="125"/>
      <c r="F31" s="130"/>
      <c r="G31" s="464"/>
      <c r="H31" s="464"/>
      <c r="I31" s="464"/>
      <c r="J31" s="464"/>
      <c r="K31" s="464"/>
      <c r="L31" s="464"/>
      <c r="M31" s="464"/>
      <c r="N31" s="464"/>
      <c r="O31" s="3"/>
      <c r="P31" s="125"/>
      <c r="Q31" s="125"/>
      <c r="R31" s="125"/>
      <c r="S31" s="125"/>
      <c r="T31" s="125"/>
      <c r="U31" s="125"/>
      <c r="V31" s="125"/>
      <c r="W31" s="125"/>
      <c r="X31" s="130"/>
      <c r="Y31" s="130"/>
      <c r="Z31" s="130"/>
      <c r="AA31" s="130"/>
      <c r="AB31" s="130"/>
      <c r="AC31" s="194"/>
      <c r="AD31" s="194"/>
      <c r="AE31" s="194"/>
      <c r="AF31" s="194"/>
      <c r="AG31" s="194"/>
      <c r="AH31" s="194"/>
      <c r="AI31" s="162"/>
      <c r="AK31" s="209" t="s">
        <v>286</v>
      </c>
      <c r="AL31" s="209">
        <v>18</v>
      </c>
      <c r="AM31" s="211">
        <v>1470</v>
      </c>
      <c r="AN31" s="229"/>
      <c r="AO31" s="221"/>
      <c r="AP31" s="213">
        <v>1.99</v>
      </c>
      <c r="AQ31" s="214">
        <v>3</v>
      </c>
      <c r="AR31" s="214">
        <v>3.99</v>
      </c>
      <c r="AS31" s="214">
        <v>3</v>
      </c>
      <c r="AT31" s="214">
        <v>3.99</v>
      </c>
      <c r="AU31" s="216">
        <v>6</v>
      </c>
      <c r="AV31" s="217">
        <v>6.99</v>
      </c>
      <c r="AW31" s="214">
        <v>2</v>
      </c>
      <c r="AX31" s="214">
        <v>2.99</v>
      </c>
      <c r="AY31" s="214">
        <v>4</v>
      </c>
      <c r="AZ31" s="214">
        <v>4.99</v>
      </c>
      <c r="BA31" s="221"/>
      <c r="BB31" s="213">
        <v>3.99</v>
      </c>
      <c r="BC31" s="223" t="s">
        <v>287</v>
      </c>
    </row>
    <row r="32" spans="1:56" x14ac:dyDescent="0.25">
      <c r="A32" s="198">
        <f ca="1">TODAY()</f>
        <v>44069</v>
      </c>
      <c r="B32" s="125"/>
      <c r="C32" s="125"/>
      <c r="D32" s="137"/>
      <c r="E32" s="125"/>
      <c r="F32" s="199"/>
      <c r="G32" s="200"/>
      <c r="H32" s="199"/>
      <c r="I32" s="19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99"/>
      <c r="W32" s="199"/>
      <c r="X32" s="199"/>
      <c r="Y32" s="199"/>
      <c r="Z32" s="199"/>
      <c r="AA32" s="199"/>
      <c r="AB32" s="199"/>
      <c r="AC32" s="194"/>
      <c r="AD32" s="194"/>
      <c r="AE32" s="194"/>
      <c r="AF32" s="194"/>
      <c r="AG32" s="194"/>
      <c r="AH32" s="194"/>
      <c r="AI32" s="162"/>
      <c r="AK32" s="209" t="s">
        <v>288</v>
      </c>
      <c r="AL32" s="209">
        <v>17</v>
      </c>
      <c r="AM32" s="211">
        <v>1357</v>
      </c>
      <c r="AN32" s="229" t="s">
        <v>241</v>
      </c>
      <c r="AO32" s="221"/>
      <c r="AP32" s="221"/>
      <c r="AQ32" s="221"/>
      <c r="AR32" s="213">
        <v>2.99</v>
      </c>
      <c r="AS32" s="216">
        <v>5</v>
      </c>
      <c r="AT32" s="217">
        <v>5.99</v>
      </c>
      <c r="AU32" s="216">
        <v>6</v>
      </c>
      <c r="AV32" s="217">
        <v>6.99</v>
      </c>
      <c r="AW32" s="214">
        <v>3</v>
      </c>
      <c r="AX32" s="214">
        <v>3.99</v>
      </c>
      <c r="AY32" s="214">
        <v>3</v>
      </c>
      <c r="AZ32" s="214">
        <v>3.99</v>
      </c>
      <c r="BA32" s="221"/>
      <c r="BB32" s="213">
        <v>2.99</v>
      </c>
      <c r="BC32" s="223">
        <v>42287</v>
      </c>
    </row>
    <row r="33" spans="1:55" x14ac:dyDescent="0.25">
      <c r="A33" s="156">
        <f ca="1">411+A36</f>
        <v>3071</v>
      </c>
      <c r="B33" s="125"/>
      <c r="C33" s="125"/>
      <c r="D33" s="130"/>
      <c r="E33" s="125"/>
      <c r="F33" s="199"/>
      <c r="G33" s="200"/>
      <c r="H33" s="199"/>
      <c r="I33" s="19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99"/>
      <c r="X33" s="199"/>
      <c r="Y33" s="199"/>
      <c r="Z33" s="199"/>
      <c r="AA33" s="199"/>
      <c r="AB33" s="199"/>
      <c r="AC33" s="201"/>
      <c r="AD33" s="201"/>
      <c r="AE33" s="194"/>
      <c r="AF33" s="194"/>
      <c r="AG33" s="194"/>
      <c r="AH33" s="194"/>
      <c r="AI33" s="162"/>
      <c r="AK33" s="209" t="s">
        <v>289</v>
      </c>
      <c r="AL33" s="209">
        <v>17</v>
      </c>
      <c r="AM33" s="211">
        <v>1358</v>
      </c>
      <c r="AN33" s="229" t="s">
        <v>235</v>
      </c>
      <c r="AO33" s="221"/>
      <c r="AP33" s="221"/>
      <c r="AQ33" s="216">
        <v>4</v>
      </c>
      <c r="AR33" s="216">
        <v>4.99</v>
      </c>
      <c r="AS33" s="216">
        <v>5</v>
      </c>
      <c r="AT33" s="217">
        <v>5.99</v>
      </c>
      <c r="AU33" s="214">
        <v>2</v>
      </c>
      <c r="AV33" s="214">
        <v>2.99</v>
      </c>
      <c r="AW33" s="214">
        <v>3</v>
      </c>
      <c r="AX33" s="214">
        <v>3.99</v>
      </c>
      <c r="AY33" s="214">
        <v>3</v>
      </c>
      <c r="AZ33" s="214">
        <v>3.99</v>
      </c>
      <c r="BA33" s="214">
        <v>3</v>
      </c>
      <c r="BB33" s="214">
        <v>3.99</v>
      </c>
      <c r="BC33" s="223" t="s">
        <v>287</v>
      </c>
    </row>
    <row r="34" spans="1:55" x14ac:dyDescent="0.25">
      <c r="A34" s="125"/>
      <c r="B34" s="125"/>
      <c r="C34" s="125"/>
      <c r="D34" s="130"/>
      <c r="E34" s="125"/>
      <c r="F34" s="130"/>
      <c r="G34" s="162"/>
      <c r="H34" s="130"/>
      <c r="I34" s="130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30"/>
      <c r="Y34" s="130"/>
      <c r="Z34" s="130"/>
      <c r="AA34" s="130"/>
      <c r="AB34" s="130"/>
      <c r="AC34" s="194"/>
      <c r="AD34" s="194"/>
      <c r="AE34" s="194"/>
      <c r="AF34" s="194"/>
      <c r="AG34" s="194"/>
      <c r="AH34" s="194"/>
      <c r="AI34" s="162"/>
      <c r="AK34" s="209" t="s">
        <v>290</v>
      </c>
      <c r="AL34" s="209">
        <v>17</v>
      </c>
      <c r="AM34" s="211">
        <v>1417</v>
      </c>
      <c r="AN34" s="229" t="s">
        <v>261</v>
      </c>
      <c r="AO34" s="212"/>
      <c r="AP34" s="212"/>
      <c r="AQ34" s="212"/>
      <c r="AR34" s="213">
        <v>2.99</v>
      </c>
      <c r="AS34" s="216">
        <v>5</v>
      </c>
      <c r="AT34" s="217">
        <v>5.99</v>
      </c>
      <c r="AU34" s="214">
        <v>3</v>
      </c>
      <c r="AV34" s="214">
        <v>3.99</v>
      </c>
      <c r="AW34" s="214">
        <v>3</v>
      </c>
      <c r="AX34" s="214">
        <v>3.99</v>
      </c>
      <c r="AY34" s="212"/>
      <c r="AZ34" s="213">
        <v>4.99</v>
      </c>
      <c r="BA34" s="212"/>
      <c r="BB34" s="213">
        <v>3.99</v>
      </c>
      <c r="BC34" s="223" t="s">
        <v>287</v>
      </c>
    </row>
    <row r="35" spans="1:55" x14ac:dyDescent="0.25">
      <c r="A35" s="202">
        <v>41409</v>
      </c>
      <c r="B35" s="125"/>
      <c r="C35" s="125"/>
      <c r="D35" s="130"/>
      <c r="E35" s="125"/>
      <c r="F35" s="130"/>
      <c r="G35" s="162"/>
      <c r="H35" s="130"/>
      <c r="I35" s="130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0"/>
      <c r="Y35" s="130"/>
      <c r="Z35" s="130"/>
      <c r="AA35" s="130"/>
      <c r="AB35" s="130"/>
      <c r="AC35" s="194"/>
      <c r="AD35" s="194"/>
      <c r="AE35" s="194"/>
      <c r="AF35" s="194"/>
      <c r="AG35" s="194"/>
      <c r="AH35" s="194"/>
      <c r="AI35" s="162"/>
      <c r="AK35" s="209" t="s">
        <v>291</v>
      </c>
      <c r="AL35" s="209">
        <v>17</v>
      </c>
      <c r="AM35" s="211">
        <v>1296</v>
      </c>
      <c r="AN35" s="229"/>
      <c r="AO35" s="221"/>
      <c r="AP35" s="213">
        <v>1.99</v>
      </c>
      <c r="AQ35" s="221"/>
      <c r="AR35" s="213">
        <v>2.99</v>
      </c>
      <c r="AS35" s="214">
        <v>6</v>
      </c>
      <c r="AT35" s="215">
        <v>6.99</v>
      </c>
      <c r="AU35" s="214">
        <v>3</v>
      </c>
      <c r="AV35" s="214">
        <v>3.99</v>
      </c>
      <c r="AW35" s="216">
        <v>5</v>
      </c>
      <c r="AX35" s="217">
        <v>5.99</v>
      </c>
      <c r="AY35" s="214">
        <v>4</v>
      </c>
      <c r="AZ35" s="214">
        <v>4.99</v>
      </c>
      <c r="BA35" s="214">
        <v>1</v>
      </c>
      <c r="BB35" s="214">
        <v>1.99</v>
      </c>
      <c r="BC35" s="223">
        <v>42348</v>
      </c>
    </row>
    <row r="36" spans="1:55" x14ac:dyDescent="0.25">
      <c r="A36" s="202">
        <f ca="1">A32-A35</f>
        <v>2660</v>
      </c>
      <c r="B36" s="125"/>
      <c r="C36" s="156"/>
      <c r="D36" s="130"/>
      <c r="E36" s="125"/>
      <c r="F36" s="129"/>
      <c r="G36" s="162"/>
      <c r="H36" s="130"/>
      <c r="I36" s="13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30"/>
      <c r="Y36" s="130"/>
      <c r="Z36" s="130"/>
      <c r="AA36" s="130"/>
      <c r="AB36" s="130"/>
      <c r="AC36" s="194"/>
      <c r="AD36" s="194"/>
      <c r="AE36" s="194"/>
      <c r="AF36" s="194"/>
      <c r="AG36" s="194"/>
      <c r="AH36" s="194"/>
      <c r="AI36" s="162"/>
      <c r="AK36" s="209" t="s">
        <v>292</v>
      </c>
      <c r="AL36" s="209">
        <v>17</v>
      </c>
      <c r="AM36" s="211">
        <v>1312</v>
      </c>
      <c r="AN36" s="229" t="s">
        <v>284</v>
      </c>
      <c r="AO36" s="221"/>
      <c r="AP36" s="213">
        <v>1.99</v>
      </c>
      <c r="AQ36" s="216">
        <v>2</v>
      </c>
      <c r="AR36" s="216">
        <v>2.99</v>
      </c>
      <c r="AS36" s="216">
        <v>6</v>
      </c>
      <c r="AT36" s="217">
        <v>6.99</v>
      </c>
      <c r="AU36" s="221"/>
      <c r="AV36" s="221">
        <v>2.99</v>
      </c>
      <c r="AW36" s="213">
        <v>3</v>
      </c>
      <c r="AX36" s="221">
        <v>3.99</v>
      </c>
      <c r="AY36" s="214">
        <v>4</v>
      </c>
      <c r="AZ36" s="214">
        <v>4.99</v>
      </c>
      <c r="BA36" s="221"/>
      <c r="BB36" s="221"/>
      <c r="BC36" s="223">
        <v>42358</v>
      </c>
    </row>
    <row r="37" spans="1:55" x14ac:dyDescent="0.25">
      <c r="A37" s="125"/>
      <c r="B37" s="125"/>
      <c r="C37" s="125"/>
      <c r="D37" s="130"/>
      <c r="E37" s="125"/>
      <c r="F37" s="130"/>
      <c r="G37" s="162"/>
      <c r="H37" s="130"/>
      <c r="I37" s="130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30"/>
      <c r="Y37" s="130"/>
      <c r="Z37" s="130"/>
      <c r="AA37" s="130"/>
      <c r="AB37" s="130"/>
      <c r="AC37" s="194"/>
      <c r="AD37" s="194"/>
      <c r="AE37" s="194"/>
      <c r="AF37" s="194"/>
      <c r="AG37" s="194"/>
      <c r="AH37" s="194"/>
      <c r="AI37" s="162"/>
      <c r="AK37" s="209" t="s">
        <v>293</v>
      </c>
      <c r="AL37" s="209">
        <v>17</v>
      </c>
      <c r="AM37" s="211">
        <v>1277</v>
      </c>
      <c r="AN37" s="229"/>
      <c r="AO37" s="221"/>
      <c r="AP37" s="221"/>
      <c r="AQ37" s="221"/>
      <c r="AR37" s="213">
        <v>2.99</v>
      </c>
      <c r="AS37" s="216">
        <v>5</v>
      </c>
      <c r="AT37" s="217">
        <v>5.99</v>
      </c>
      <c r="AU37" s="221"/>
      <c r="AV37" s="213">
        <v>3.99</v>
      </c>
      <c r="AW37" s="216">
        <v>5</v>
      </c>
      <c r="AX37" s="217">
        <v>5.99</v>
      </c>
      <c r="AY37" s="216">
        <v>5</v>
      </c>
      <c r="AZ37" s="217">
        <v>5.99</v>
      </c>
      <c r="BA37" s="221"/>
      <c r="BB37" s="221"/>
      <c r="BC37" s="223">
        <v>42369</v>
      </c>
    </row>
    <row r="38" spans="1:55" x14ac:dyDescent="0.25">
      <c r="A38" s="125"/>
      <c r="B38" s="125"/>
      <c r="C38" s="125"/>
      <c r="D38" s="130"/>
      <c r="E38" s="125"/>
      <c r="F38" s="130"/>
      <c r="G38" s="162"/>
      <c r="H38" s="130"/>
      <c r="I38" s="130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30"/>
      <c r="Y38" s="130"/>
      <c r="Z38" s="130"/>
      <c r="AA38" s="130"/>
      <c r="AB38" s="130"/>
      <c r="AC38" s="194"/>
      <c r="AD38" s="194"/>
      <c r="AE38" s="194"/>
      <c r="AF38" s="194"/>
      <c r="AG38" s="194"/>
      <c r="AH38" s="194"/>
      <c r="AI38" s="162"/>
      <c r="AK38" s="209" t="s">
        <v>294</v>
      </c>
      <c r="AL38" s="209">
        <v>18</v>
      </c>
      <c r="AM38" s="211">
        <v>1366</v>
      </c>
      <c r="AN38" s="229"/>
      <c r="AO38" s="212"/>
      <c r="AP38" s="213">
        <v>0.99</v>
      </c>
      <c r="AQ38" s="213">
        <v>4</v>
      </c>
      <c r="AR38" s="222">
        <v>6.99</v>
      </c>
      <c r="AS38" s="216">
        <v>5</v>
      </c>
      <c r="AT38" s="217">
        <v>5.99</v>
      </c>
      <c r="AU38" s="212"/>
      <c r="AV38" s="213">
        <v>3.99</v>
      </c>
      <c r="AW38" s="214">
        <v>3</v>
      </c>
      <c r="AX38" s="214">
        <v>3.99</v>
      </c>
      <c r="AY38" s="214">
        <v>6</v>
      </c>
      <c r="AZ38" s="215">
        <v>6.99</v>
      </c>
      <c r="BA38" s="212"/>
      <c r="BB38" s="213">
        <v>4.99</v>
      </c>
      <c r="BC38" s="223" t="s">
        <v>287</v>
      </c>
    </row>
    <row r="39" spans="1:55" x14ac:dyDescent="0.25">
      <c r="A39" s="125"/>
      <c r="B39" s="125"/>
      <c r="C39" s="125"/>
      <c r="D39" s="130"/>
      <c r="E39" s="125"/>
      <c r="F39" s="130"/>
      <c r="G39" s="162"/>
      <c r="H39" s="130"/>
      <c r="I39" s="130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30"/>
      <c r="Y39" s="130"/>
      <c r="Z39" s="130"/>
      <c r="AA39" s="130"/>
      <c r="AB39" s="130"/>
      <c r="AC39" s="194"/>
      <c r="AD39" s="194"/>
      <c r="AE39" s="194"/>
      <c r="AF39" s="194"/>
      <c r="AG39" s="194"/>
      <c r="AH39" s="194"/>
      <c r="AI39" s="162"/>
      <c r="AK39" s="209" t="s">
        <v>295</v>
      </c>
      <c r="AL39" s="209">
        <v>17</v>
      </c>
      <c r="AM39" s="211">
        <v>1283</v>
      </c>
      <c r="AN39" s="229"/>
      <c r="AO39" s="221"/>
      <c r="AP39" s="213">
        <v>1.99</v>
      </c>
      <c r="AQ39" s="216">
        <v>4</v>
      </c>
      <c r="AR39" s="216">
        <v>4.99</v>
      </c>
      <c r="AS39" s="214">
        <v>2</v>
      </c>
      <c r="AT39" s="214">
        <v>2.99</v>
      </c>
      <c r="AU39" s="214">
        <v>3</v>
      </c>
      <c r="AV39" s="214">
        <v>3.99</v>
      </c>
      <c r="AW39" s="216">
        <v>6</v>
      </c>
      <c r="AX39" s="217">
        <v>6.99</v>
      </c>
      <c r="AY39" s="214">
        <v>3</v>
      </c>
      <c r="AZ39" s="214">
        <v>3.99</v>
      </c>
      <c r="BA39" s="221"/>
      <c r="BB39" s="213">
        <v>2.99</v>
      </c>
      <c r="BC39" s="223">
        <v>42361</v>
      </c>
    </row>
    <row r="40" spans="1:55" x14ac:dyDescent="0.25">
      <c r="AK40" s="209" t="s">
        <v>296</v>
      </c>
      <c r="AL40" s="209">
        <v>16</v>
      </c>
      <c r="AM40" s="211">
        <v>1347</v>
      </c>
      <c r="AN40" s="229"/>
      <c r="AO40" s="221"/>
      <c r="AP40" s="221"/>
      <c r="AQ40" s="213">
        <v>4</v>
      </c>
      <c r="AR40" s="219">
        <v>5.99</v>
      </c>
      <c r="AS40" s="216">
        <v>2</v>
      </c>
      <c r="AT40" s="216">
        <v>2.99</v>
      </c>
      <c r="AU40" s="214">
        <v>4</v>
      </c>
      <c r="AV40" s="214">
        <v>4.99</v>
      </c>
      <c r="AW40" s="216">
        <v>6</v>
      </c>
      <c r="AX40" s="217">
        <v>6.99</v>
      </c>
      <c r="AY40" s="214">
        <v>4</v>
      </c>
      <c r="AZ40" s="214">
        <v>4.99</v>
      </c>
      <c r="BA40" s="221"/>
      <c r="BB40" s="221"/>
      <c r="BC40" s="223">
        <v>42409</v>
      </c>
    </row>
    <row r="41" spans="1:55" x14ac:dyDescent="0.25">
      <c r="AK41" s="209" t="s">
        <v>297</v>
      </c>
      <c r="AL41" s="209">
        <v>17</v>
      </c>
      <c r="AM41" s="211">
        <v>1269</v>
      </c>
      <c r="AN41" s="229" t="s">
        <v>235</v>
      </c>
      <c r="AO41" s="212"/>
      <c r="AP41" s="213">
        <v>1.99</v>
      </c>
      <c r="AQ41" s="216">
        <v>5</v>
      </c>
      <c r="AR41" s="217">
        <v>5.99</v>
      </c>
      <c r="AS41" s="214">
        <v>5</v>
      </c>
      <c r="AT41" s="215">
        <v>5.99</v>
      </c>
      <c r="AU41" s="216">
        <v>3</v>
      </c>
      <c r="AV41" s="216">
        <v>3.99</v>
      </c>
      <c r="AW41" s="214">
        <v>2</v>
      </c>
      <c r="AX41" s="214">
        <v>2.99</v>
      </c>
      <c r="AY41" s="214">
        <v>2</v>
      </c>
      <c r="AZ41" s="214">
        <v>2.99</v>
      </c>
      <c r="BA41" s="212"/>
      <c r="BB41" s="212"/>
      <c r="BC41" s="223">
        <v>42375</v>
      </c>
    </row>
    <row r="42" spans="1:55" x14ac:dyDescent="0.25">
      <c r="AK42" s="209" t="s">
        <v>298</v>
      </c>
      <c r="AL42" s="209">
        <v>17</v>
      </c>
      <c r="AM42" s="211">
        <v>1213</v>
      </c>
      <c r="AN42" s="229" t="s">
        <v>235</v>
      </c>
      <c r="AO42" s="221"/>
      <c r="AP42" s="221"/>
      <c r="AQ42" s="221"/>
      <c r="AR42" s="213">
        <v>2.99</v>
      </c>
      <c r="AS42" s="216">
        <v>5</v>
      </c>
      <c r="AT42" s="217">
        <v>5.99</v>
      </c>
      <c r="AU42" s="221"/>
      <c r="AV42" s="213">
        <v>2.99</v>
      </c>
      <c r="AW42" s="216">
        <v>3</v>
      </c>
      <c r="AX42" s="221">
        <v>3.99</v>
      </c>
      <c r="AY42" s="216">
        <v>6</v>
      </c>
      <c r="AZ42" s="217">
        <v>6.99</v>
      </c>
      <c r="BA42" s="214">
        <v>2</v>
      </c>
      <c r="BB42" s="214">
        <v>2.99</v>
      </c>
      <c r="BC42" s="223">
        <v>42431</v>
      </c>
    </row>
    <row r="43" spans="1:55" x14ac:dyDescent="0.25">
      <c r="AK43" s="209" t="s">
        <v>299</v>
      </c>
      <c r="AL43" s="209">
        <v>17</v>
      </c>
      <c r="AM43" s="211">
        <v>1214</v>
      </c>
      <c r="AN43" s="229"/>
      <c r="AO43" s="221"/>
      <c r="AP43" s="213">
        <v>1.99</v>
      </c>
      <c r="AQ43" s="216">
        <v>4</v>
      </c>
      <c r="AR43" s="216">
        <v>4.99</v>
      </c>
      <c r="AS43" s="214">
        <v>5</v>
      </c>
      <c r="AT43" s="215">
        <v>5.99</v>
      </c>
      <c r="AU43" s="221"/>
      <c r="AV43" s="213">
        <v>4.99</v>
      </c>
      <c r="AW43" s="216">
        <v>5</v>
      </c>
      <c r="AX43" s="217">
        <v>5.99</v>
      </c>
      <c r="AY43" s="214">
        <v>3</v>
      </c>
      <c r="AZ43" s="214">
        <v>3.99</v>
      </c>
      <c r="BA43" s="214">
        <v>2</v>
      </c>
      <c r="BB43" s="214">
        <v>2.99</v>
      </c>
      <c r="BC43" s="223">
        <v>42430</v>
      </c>
    </row>
    <row r="44" spans="1:55" x14ac:dyDescent="0.25">
      <c r="AK44" s="209" t="s">
        <v>300</v>
      </c>
      <c r="AL44" s="209">
        <v>17</v>
      </c>
      <c r="AM44" s="211">
        <v>1221</v>
      </c>
      <c r="AN44" s="229"/>
      <c r="AO44" s="221"/>
      <c r="AP44" s="221"/>
      <c r="AQ44" s="214">
        <v>3</v>
      </c>
      <c r="AR44" s="214">
        <v>3.99</v>
      </c>
      <c r="AS44" s="216">
        <v>4</v>
      </c>
      <c r="AT44" s="216">
        <v>4.99</v>
      </c>
      <c r="AU44" s="216">
        <v>4</v>
      </c>
      <c r="AV44" s="216">
        <v>4.99</v>
      </c>
      <c r="AW44" s="221"/>
      <c r="AX44" s="213">
        <v>4.99</v>
      </c>
      <c r="AY44" s="216">
        <v>5</v>
      </c>
      <c r="AZ44" s="217">
        <v>5.99</v>
      </c>
      <c r="BA44" s="214">
        <v>1</v>
      </c>
      <c r="BB44" s="214">
        <v>1.99</v>
      </c>
      <c r="BC44" s="223">
        <v>42516</v>
      </c>
    </row>
    <row r="45" spans="1:55" x14ac:dyDescent="0.25">
      <c r="AK45" s="209" t="s">
        <v>301</v>
      </c>
      <c r="AL45" s="209">
        <v>16</v>
      </c>
      <c r="AM45" s="211">
        <v>1228</v>
      </c>
      <c r="AN45" s="229" t="s">
        <v>241</v>
      </c>
      <c r="AO45" s="221"/>
      <c r="AP45" s="213">
        <v>1.99</v>
      </c>
      <c r="AQ45" s="216">
        <v>5</v>
      </c>
      <c r="AR45" s="217">
        <v>5.99</v>
      </c>
      <c r="AS45" s="216">
        <v>5</v>
      </c>
      <c r="AT45" s="217">
        <v>5.99</v>
      </c>
      <c r="AU45" s="216">
        <v>3</v>
      </c>
      <c r="AV45" s="216">
        <v>3.99</v>
      </c>
      <c r="AW45" s="216">
        <v>3</v>
      </c>
      <c r="AX45" s="216">
        <v>3.99</v>
      </c>
      <c r="AY45" s="214">
        <v>1</v>
      </c>
      <c r="AZ45" s="214">
        <v>1.99</v>
      </c>
      <c r="BA45" s="221"/>
      <c r="BB45" s="221"/>
      <c r="BC45" s="223">
        <v>42528</v>
      </c>
    </row>
    <row r="46" spans="1:55" x14ac:dyDescent="0.25">
      <c r="AK46" s="209" t="s">
        <v>302</v>
      </c>
      <c r="AL46" s="209">
        <v>18</v>
      </c>
      <c r="AM46" s="211">
        <v>1205</v>
      </c>
      <c r="AN46" s="229"/>
      <c r="AO46" s="221"/>
      <c r="AP46" s="221"/>
      <c r="AQ46" s="216">
        <v>6</v>
      </c>
      <c r="AR46" s="217">
        <v>6.99</v>
      </c>
      <c r="AS46" s="214">
        <v>4</v>
      </c>
      <c r="AT46" s="214">
        <v>4.99</v>
      </c>
      <c r="AU46" s="221"/>
      <c r="AV46" s="213">
        <v>2.99</v>
      </c>
      <c r="AW46" s="216">
        <v>3</v>
      </c>
      <c r="AX46" s="216">
        <v>3.99</v>
      </c>
      <c r="AY46" s="214">
        <v>2</v>
      </c>
      <c r="AZ46" s="214">
        <v>2.99</v>
      </c>
      <c r="BA46" s="214">
        <v>2</v>
      </c>
      <c r="BB46" s="214">
        <v>2.99</v>
      </c>
      <c r="BC46" s="223">
        <v>42327</v>
      </c>
    </row>
    <row r="47" spans="1:55" x14ac:dyDescent="0.25">
      <c r="AK47" s="209" t="s">
        <v>303</v>
      </c>
      <c r="AL47" s="209">
        <v>17</v>
      </c>
      <c r="AM47" s="211">
        <v>1042</v>
      </c>
      <c r="AN47" s="229"/>
      <c r="AO47" s="221"/>
      <c r="AP47" s="221"/>
      <c r="AQ47" s="214">
        <v>4</v>
      </c>
      <c r="AR47" s="214">
        <v>4.99</v>
      </c>
      <c r="AS47" s="214">
        <v>5</v>
      </c>
      <c r="AT47" s="215">
        <v>5.99</v>
      </c>
      <c r="AU47" s="221"/>
      <c r="AV47" s="213">
        <v>2.99</v>
      </c>
      <c r="AW47" s="221"/>
      <c r="AX47" s="213">
        <v>3.99</v>
      </c>
      <c r="AY47" s="214">
        <v>3</v>
      </c>
      <c r="AZ47" s="214">
        <v>3.99</v>
      </c>
      <c r="BA47" s="221"/>
      <c r="BB47" s="221"/>
      <c r="BC47" s="223">
        <v>42602</v>
      </c>
    </row>
    <row r="48" spans="1:55" x14ac:dyDescent="0.25">
      <c r="AK48" s="209" t="s">
        <v>304</v>
      </c>
      <c r="AL48" s="209">
        <v>19</v>
      </c>
      <c r="AM48" s="211">
        <v>1021</v>
      </c>
      <c r="AN48" s="229"/>
      <c r="AO48" s="221"/>
      <c r="AP48" s="221"/>
      <c r="AQ48" s="214">
        <v>4</v>
      </c>
      <c r="AR48" s="214">
        <v>4.99</v>
      </c>
      <c r="AS48" s="216">
        <v>4</v>
      </c>
      <c r="AT48" s="216">
        <v>4.99</v>
      </c>
      <c r="AU48" s="221"/>
      <c r="AV48" s="213">
        <v>4.99</v>
      </c>
      <c r="AW48" s="213">
        <v>3</v>
      </c>
      <c r="AX48" s="213">
        <v>4.99</v>
      </c>
      <c r="AY48" s="214">
        <v>2</v>
      </c>
      <c r="AZ48" s="214">
        <v>2.99</v>
      </c>
      <c r="BA48" s="221"/>
      <c r="BB48" s="213">
        <v>2.99</v>
      </c>
      <c r="BC48" s="223">
        <v>42429</v>
      </c>
    </row>
    <row r="49" spans="37:55" x14ac:dyDescent="0.25">
      <c r="AK49" s="209" t="s">
        <v>305</v>
      </c>
      <c r="AL49" s="209">
        <v>18</v>
      </c>
      <c r="AM49" s="211">
        <v>1127</v>
      </c>
      <c r="AN49" s="229"/>
      <c r="AO49" s="221"/>
      <c r="AP49" s="221"/>
      <c r="AQ49" s="214">
        <v>4</v>
      </c>
      <c r="AR49" s="214">
        <v>4.99</v>
      </c>
      <c r="AS49" s="214">
        <v>4</v>
      </c>
      <c r="AT49" s="214">
        <v>4.99</v>
      </c>
      <c r="AU49" s="221"/>
      <c r="AV49" s="213">
        <v>3.99</v>
      </c>
      <c r="AW49" s="213">
        <v>4</v>
      </c>
      <c r="AX49" s="219">
        <v>5.99</v>
      </c>
      <c r="AY49" s="214">
        <v>4</v>
      </c>
      <c r="AZ49" s="214">
        <v>4.99</v>
      </c>
      <c r="BA49" s="221"/>
      <c r="BB49" s="222">
        <v>6.99</v>
      </c>
      <c r="BC49" s="223">
        <v>42405</v>
      </c>
    </row>
    <row r="50" spans="37:55" x14ac:dyDescent="0.25">
      <c r="AK50" s="209" t="s">
        <v>306</v>
      </c>
      <c r="AL50" s="209">
        <v>17</v>
      </c>
      <c r="AM50" s="211">
        <v>1013</v>
      </c>
      <c r="AN50" s="229"/>
      <c r="AO50" s="221"/>
      <c r="AP50" s="213">
        <v>1.99</v>
      </c>
      <c r="AQ50" s="214">
        <v>6</v>
      </c>
      <c r="AR50" s="215">
        <v>6.99</v>
      </c>
      <c r="AS50" s="216">
        <v>4</v>
      </c>
      <c r="AT50" s="216">
        <v>4.99</v>
      </c>
      <c r="AU50" s="214">
        <v>3</v>
      </c>
      <c r="AV50" s="214">
        <v>3.99</v>
      </c>
      <c r="AW50" s="221"/>
      <c r="AX50" s="221"/>
      <c r="AY50" s="214">
        <v>4</v>
      </c>
      <c r="AZ50" s="214">
        <v>4.99</v>
      </c>
      <c r="BA50" s="221"/>
      <c r="BB50" s="213">
        <v>3.99</v>
      </c>
      <c r="BC50" s="223">
        <v>42631</v>
      </c>
    </row>
    <row r="51" spans="37:55" x14ac:dyDescent="0.25">
      <c r="AK51" s="209" t="s">
        <v>307</v>
      </c>
      <c r="AL51" s="209">
        <v>18</v>
      </c>
      <c r="AM51" s="211">
        <v>1024</v>
      </c>
      <c r="AN51" s="229" t="s">
        <v>193</v>
      </c>
      <c r="AO51" s="221"/>
      <c r="AP51" s="221">
        <v>1.99</v>
      </c>
      <c r="AQ51" s="214">
        <v>4</v>
      </c>
      <c r="AR51" s="214">
        <v>4.99</v>
      </c>
      <c r="AS51" s="216">
        <v>3</v>
      </c>
      <c r="AT51" s="216">
        <v>3.99</v>
      </c>
      <c r="AU51" s="221"/>
      <c r="AV51" s="222">
        <v>6.99</v>
      </c>
      <c r="AW51" s="221"/>
      <c r="AX51" s="221">
        <v>5.99</v>
      </c>
      <c r="AY51" s="221"/>
      <c r="AZ51" s="213">
        <v>2.99</v>
      </c>
      <c r="BA51" s="221"/>
      <c r="BB51" s="221"/>
      <c r="BC51" s="223">
        <v>42610</v>
      </c>
    </row>
    <row r="52" spans="37:55" x14ac:dyDescent="0.25">
      <c r="AK52" s="209" t="s">
        <v>308</v>
      </c>
      <c r="AL52" s="209">
        <v>18</v>
      </c>
      <c r="AM52" s="211">
        <v>1049</v>
      </c>
      <c r="AN52" s="229"/>
      <c r="AO52" s="221"/>
      <c r="AP52" s="213">
        <v>0.99</v>
      </c>
      <c r="AQ52" s="214">
        <v>1</v>
      </c>
      <c r="AR52" s="214">
        <v>1.99</v>
      </c>
      <c r="AS52" s="216">
        <v>6</v>
      </c>
      <c r="AT52" s="217">
        <v>6.99</v>
      </c>
      <c r="AU52" s="216">
        <v>4</v>
      </c>
      <c r="AV52" s="216">
        <v>4.99</v>
      </c>
      <c r="AW52" s="221"/>
      <c r="AX52" s="213">
        <v>4.99</v>
      </c>
      <c r="AY52" s="214">
        <v>4</v>
      </c>
      <c r="AZ52" s="214">
        <v>4.99</v>
      </c>
      <c r="BA52" s="221"/>
      <c r="BB52" s="213">
        <v>1.99</v>
      </c>
      <c r="BC52" s="223">
        <v>42597</v>
      </c>
    </row>
    <row r="53" spans="37:55" x14ac:dyDescent="0.25">
      <c r="AK53" s="209" t="s">
        <v>309</v>
      </c>
      <c r="AL53" s="209">
        <v>17</v>
      </c>
      <c r="AM53" s="211">
        <v>1042</v>
      </c>
      <c r="AN53" s="229"/>
      <c r="AO53" s="221"/>
      <c r="AP53" s="213">
        <v>1.99</v>
      </c>
      <c r="AQ53" s="213">
        <v>2</v>
      </c>
      <c r="AR53" s="213">
        <v>3.99</v>
      </c>
      <c r="AS53" s="214">
        <v>5</v>
      </c>
      <c r="AT53" s="215">
        <v>5.99</v>
      </c>
      <c r="AU53" s="221"/>
      <c r="AV53" s="213">
        <v>2.99</v>
      </c>
      <c r="AW53" s="221"/>
      <c r="AX53" s="213">
        <v>3.99</v>
      </c>
      <c r="AY53" s="216">
        <v>5</v>
      </c>
      <c r="AZ53" s="217">
        <v>5.99</v>
      </c>
      <c r="BA53" s="221"/>
      <c r="BB53" s="221"/>
      <c r="BC53" s="223">
        <v>42667</v>
      </c>
    </row>
    <row r="54" spans="37:55" x14ac:dyDescent="0.25">
      <c r="AK54" s="209" t="s">
        <v>310</v>
      </c>
      <c r="AL54" s="209">
        <v>18</v>
      </c>
      <c r="AM54" s="211">
        <v>1049</v>
      </c>
      <c r="AN54" s="229"/>
      <c r="AO54" s="213">
        <v>4</v>
      </c>
      <c r="AP54" s="222">
        <v>6.99</v>
      </c>
      <c r="AQ54" s="214">
        <v>4</v>
      </c>
      <c r="AR54" s="214">
        <v>4.99</v>
      </c>
      <c r="AS54" s="221"/>
      <c r="AT54" s="213">
        <v>0.99</v>
      </c>
      <c r="AU54" s="221"/>
      <c r="AV54" s="213">
        <v>1.99</v>
      </c>
      <c r="AW54" s="216">
        <v>1</v>
      </c>
      <c r="AX54" s="216">
        <v>1.99</v>
      </c>
      <c r="AY54" s="214">
        <v>1</v>
      </c>
      <c r="AZ54" s="214">
        <v>1.99</v>
      </c>
      <c r="BA54" s="214">
        <v>2</v>
      </c>
      <c r="BB54" s="214">
        <v>2.99</v>
      </c>
      <c r="BC54" s="223">
        <v>42483</v>
      </c>
    </row>
    <row r="55" spans="37:55" x14ac:dyDescent="0.25">
      <c r="AK55" s="209" t="s">
        <v>311</v>
      </c>
      <c r="AL55" s="209">
        <v>17</v>
      </c>
      <c r="AM55" s="211">
        <v>911</v>
      </c>
      <c r="AN55" s="229"/>
      <c r="AO55" s="221"/>
      <c r="AP55" s="213">
        <v>1.99</v>
      </c>
      <c r="AQ55" s="216">
        <v>4</v>
      </c>
      <c r="AR55" s="216">
        <v>4.99</v>
      </c>
      <c r="AS55" s="216">
        <v>6</v>
      </c>
      <c r="AT55" s="217">
        <v>6.99</v>
      </c>
      <c r="AU55" s="214">
        <v>5</v>
      </c>
      <c r="AV55" s="215">
        <v>5.99</v>
      </c>
      <c r="AW55" s="216">
        <v>4</v>
      </c>
      <c r="AX55" s="216">
        <v>4.99</v>
      </c>
      <c r="AY55" s="214">
        <v>3</v>
      </c>
      <c r="AZ55" s="214">
        <v>3.99</v>
      </c>
      <c r="BA55" s="221"/>
      <c r="BB55" s="221"/>
      <c r="BC55" s="223">
        <v>42733</v>
      </c>
    </row>
    <row r="56" spans="37:55" x14ac:dyDescent="0.25">
      <c r="AK56" s="209" t="s">
        <v>312</v>
      </c>
      <c r="AL56" s="209">
        <v>17</v>
      </c>
      <c r="AM56" s="211">
        <v>914</v>
      </c>
      <c r="AN56" s="229" t="s">
        <v>243</v>
      </c>
      <c r="AO56" s="221"/>
      <c r="AP56" s="213">
        <v>1.99</v>
      </c>
      <c r="AQ56" s="221"/>
      <c r="AR56" s="221">
        <v>4.99</v>
      </c>
      <c r="AS56" s="216">
        <v>5</v>
      </c>
      <c r="AT56" s="217">
        <v>5.99</v>
      </c>
      <c r="AU56" s="216">
        <v>2</v>
      </c>
      <c r="AV56" s="216">
        <v>2.99</v>
      </c>
      <c r="AW56" s="221"/>
      <c r="AX56" s="221"/>
      <c r="AY56" s="214">
        <v>2</v>
      </c>
      <c r="AZ56" s="214">
        <v>2.99</v>
      </c>
      <c r="BA56" s="221"/>
      <c r="BB56" s="221"/>
      <c r="BC56" s="223">
        <v>42737</v>
      </c>
    </row>
    <row r="57" spans="37:55" x14ac:dyDescent="0.25">
      <c r="AK57" s="209" t="s">
        <v>313</v>
      </c>
      <c r="AL57" s="209">
        <v>17</v>
      </c>
      <c r="AM57" s="211">
        <v>954</v>
      </c>
      <c r="AN57" s="229"/>
      <c r="AO57" s="221"/>
      <c r="AP57" s="221"/>
      <c r="AQ57" s="216">
        <v>5</v>
      </c>
      <c r="AR57" s="217">
        <v>5.99</v>
      </c>
      <c r="AS57" s="214">
        <v>2</v>
      </c>
      <c r="AT57" s="214">
        <v>2.99</v>
      </c>
      <c r="AU57" s="214">
        <v>3</v>
      </c>
      <c r="AV57" s="214">
        <v>3.99</v>
      </c>
      <c r="AW57" s="213">
        <v>2</v>
      </c>
      <c r="AX57" s="213">
        <v>3.99</v>
      </c>
      <c r="AY57" s="214">
        <v>2</v>
      </c>
      <c r="AZ57" s="214">
        <v>2.99</v>
      </c>
      <c r="BA57" s="221"/>
      <c r="BB57" s="221"/>
      <c r="BC57" s="223">
        <v>42690</v>
      </c>
    </row>
    <row r="58" spans="37:55" x14ac:dyDescent="0.25">
      <c r="AK58" s="209" t="s">
        <v>314</v>
      </c>
      <c r="AL58" s="209">
        <v>19</v>
      </c>
      <c r="AM58" s="211">
        <v>909</v>
      </c>
      <c r="AN58" s="229" t="s">
        <v>261</v>
      </c>
      <c r="AO58" s="221"/>
      <c r="AP58" s="213">
        <v>1.99</v>
      </c>
      <c r="AQ58" s="214">
        <v>2</v>
      </c>
      <c r="AR58" s="214">
        <v>2.99</v>
      </c>
      <c r="AS58" s="214">
        <v>5</v>
      </c>
      <c r="AT58" s="215">
        <v>5.99</v>
      </c>
      <c r="AU58" s="221"/>
      <c r="AV58" s="213">
        <v>2.99</v>
      </c>
      <c r="AW58" s="213">
        <v>4</v>
      </c>
      <c r="AX58" s="222">
        <v>7</v>
      </c>
      <c r="AY58" s="214">
        <v>1</v>
      </c>
      <c r="AZ58" s="214">
        <v>1.99</v>
      </c>
      <c r="BA58" s="221"/>
      <c r="BB58" s="221"/>
      <c r="BC58" s="223">
        <v>42654</v>
      </c>
    </row>
    <row r="59" spans="37:55" x14ac:dyDescent="0.25">
      <c r="AK59" s="209" t="s">
        <v>315</v>
      </c>
      <c r="AL59" s="209">
        <v>16</v>
      </c>
      <c r="AM59" s="211">
        <v>992</v>
      </c>
      <c r="AN59" s="229"/>
      <c r="AO59" s="221"/>
      <c r="AP59" s="213">
        <v>1.99</v>
      </c>
      <c r="AQ59" s="216">
        <v>2</v>
      </c>
      <c r="AR59" s="216">
        <v>2.99</v>
      </c>
      <c r="AS59" s="216">
        <v>4</v>
      </c>
      <c r="AT59" s="216">
        <v>4.99</v>
      </c>
      <c r="AU59" s="214">
        <v>4</v>
      </c>
      <c r="AV59" s="214">
        <v>4.99</v>
      </c>
      <c r="AW59" s="216">
        <v>5</v>
      </c>
      <c r="AX59" s="217">
        <v>5.99</v>
      </c>
      <c r="AY59" s="214">
        <v>3</v>
      </c>
      <c r="AZ59" s="214">
        <v>3.99</v>
      </c>
      <c r="BA59" s="221"/>
      <c r="BB59" s="221"/>
      <c r="BC59" s="223">
        <v>42764</v>
      </c>
    </row>
    <row r="60" spans="37:55" x14ac:dyDescent="0.25">
      <c r="AK60" s="209" t="s">
        <v>316</v>
      </c>
      <c r="AL60" s="209">
        <v>16</v>
      </c>
      <c r="AM60" s="211">
        <v>980</v>
      </c>
      <c r="AN60" s="229"/>
      <c r="AO60" s="221"/>
      <c r="AP60" s="213">
        <v>1.99</v>
      </c>
      <c r="AQ60" s="214">
        <v>3</v>
      </c>
      <c r="AR60" s="214">
        <v>3.99</v>
      </c>
      <c r="AS60" s="216">
        <v>6</v>
      </c>
      <c r="AT60" s="217">
        <v>6.99</v>
      </c>
      <c r="AU60" s="214">
        <v>2</v>
      </c>
      <c r="AV60" s="214">
        <v>2.99</v>
      </c>
      <c r="AW60" s="221"/>
      <c r="AX60" s="213">
        <v>2.99</v>
      </c>
      <c r="AY60" s="214">
        <v>4</v>
      </c>
      <c r="AZ60" s="214">
        <v>4.99</v>
      </c>
      <c r="BA60" s="221"/>
      <c r="BB60" s="213">
        <v>3.99</v>
      </c>
      <c r="BC60" s="223">
        <v>42776</v>
      </c>
    </row>
    <row r="61" spans="37:55" x14ac:dyDescent="0.25">
      <c r="AK61" s="209" t="s">
        <v>317</v>
      </c>
      <c r="AL61" s="209">
        <v>17</v>
      </c>
      <c r="AM61" s="211">
        <v>936</v>
      </c>
      <c r="AN61" s="229"/>
      <c r="AO61" s="221"/>
      <c r="AP61" s="213">
        <v>1.99</v>
      </c>
      <c r="AQ61" s="216">
        <v>5</v>
      </c>
      <c r="AR61" s="217">
        <v>5.99</v>
      </c>
      <c r="AS61" s="216">
        <v>3</v>
      </c>
      <c r="AT61" s="216">
        <v>3.99</v>
      </c>
      <c r="AU61" s="221"/>
      <c r="AV61" s="213">
        <v>2.99</v>
      </c>
      <c r="AW61" s="216">
        <v>4</v>
      </c>
      <c r="AX61" s="216">
        <v>4.99</v>
      </c>
      <c r="AY61" s="221"/>
      <c r="AZ61" s="219">
        <v>5.99</v>
      </c>
      <c r="BA61" s="221"/>
      <c r="BB61" s="213">
        <v>2.99</v>
      </c>
      <c r="BC61" s="223">
        <v>42754</v>
      </c>
    </row>
    <row r="62" spans="37:55" x14ac:dyDescent="0.25">
      <c r="AK62" s="209" t="s">
        <v>318</v>
      </c>
      <c r="AL62" s="209">
        <v>17</v>
      </c>
      <c r="AM62" s="211">
        <v>840</v>
      </c>
      <c r="AN62" s="229"/>
      <c r="AO62" s="221"/>
      <c r="AP62" s="213">
        <v>1.99</v>
      </c>
      <c r="AQ62" s="213">
        <v>6</v>
      </c>
      <c r="AR62" s="222">
        <v>7</v>
      </c>
      <c r="AS62" s="221"/>
      <c r="AT62" s="213">
        <v>2.99</v>
      </c>
      <c r="AU62" s="216">
        <v>5</v>
      </c>
      <c r="AV62" s="217">
        <v>5.99</v>
      </c>
      <c r="AW62" s="216">
        <v>3</v>
      </c>
      <c r="AX62" s="216">
        <v>3.99</v>
      </c>
      <c r="AY62" s="214">
        <v>3</v>
      </c>
      <c r="AZ62" s="214">
        <v>3.99</v>
      </c>
      <c r="BA62" s="221"/>
      <c r="BB62" s="213">
        <v>3.99</v>
      </c>
      <c r="BC62" s="223">
        <v>42804</v>
      </c>
    </row>
    <row r="63" spans="37:55" x14ac:dyDescent="0.25">
      <c r="AK63" s="209" t="s">
        <v>319</v>
      </c>
      <c r="AL63" s="209">
        <v>16</v>
      </c>
      <c r="AM63" s="211">
        <v>944</v>
      </c>
      <c r="AN63" s="229"/>
      <c r="AO63" s="221"/>
      <c r="AP63" s="221">
        <v>1.99</v>
      </c>
      <c r="AQ63" s="214">
        <v>2</v>
      </c>
      <c r="AR63" s="214">
        <v>2.99</v>
      </c>
      <c r="AS63" s="216">
        <v>5</v>
      </c>
      <c r="AT63" s="217">
        <v>5.99</v>
      </c>
      <c r="AU63" s="214">
        <v>4</v>
      </c>
      <c r="AV63" s="214">
        <v>4.99</v>
      </c>
      <c r="AW63" s="214">
        <v>3</v>
      </c>
      <c r="AX63" s="214">
        <v>3.99</v>
      </c>
      <c r="AY63" s="214">
        <v>3</v>
      </c>
      <c r="AZ63" s="214">
        <v>3.99</v>
      </c>
      <c r="BA63" s="221"/>
      <c r="BB63" s="221">
        <v>4.99</v>
      </c>
      <c r="BC63" s="223">
        <v>42812</v>
      </c>
    </row>
    <row r="64" spans="37:55" x14ac:dyDescent="0.25">
      <c r="AK64" s="209" t="s">
        <v>320</v>
      </c>
      <c r="AL64" s="209">
        <v>17</v>
      </c>
      <c r="AM64" s="211">
        <v>887</v>
      </c>
      <c r="AN64" s="229"/>
      <c r="AO64" s="221"/>
      <c r="AP64" s="221"/>
      <c r="AQ64" s="214">
        <v>4</v>
      </c>
      <c r="AR64" s="214">
        <v>4.99</v>
      </c>
      <c r="AS64" s="216">
        <v>4</v>
      </c>
      <c r="AT64" s="216">
        <v>4.99</v>
      </c>
      <c r="AU64" s="221"/>
      <c r="AV64" s="213">
        <v>4.99</v>
      </c>
      <c r="AW64" s="213">
        <v>5</v>
      </c>
      <c r="AX64" s="222">
        <v>6.99</v>
      </c>
      <c r="AY64" s="214">
        <v>3</v>
      </c>
      <c r="AZ64" s="214">
        <v>3.99</v>
      </c>
      <c r="BA64" s="221"/>
      <c r="BB64" s="221"/>
      <c r="BC64" s="223">
        <v>42779</v>
      </c>
    </row>
    <row r="65" spans="37:58" x14ac:dyDescent="0.25">
      <c r="AK65" s="209" t="s">
        <v>321</v>
      </c>
      <c r="AL65" s="209">
        <v>17</v>
      </c>
      <c r="AM65" s="211">
        <v>804</v>
      </c>
      <c r="AN65" s="229" t="s">
        <v>243</v>
      </c>
      <c r="AO65" s="221"/>
      <c r="AP65" s="221"/>
      <c r="AQ65" s="214">
        <v>2</v>
      </c>
      <c r="AR65" s="214">
        <v>2.99</v>
      </c>
      <c r="AS65" s="216">
        <v>4</v>
      </c>
      <c r="AT65" s="216">
        <v>4.99</v>
      </c>
      <c r="AU65" s="214">
        <v>3</v>
      </c>
      <c r="AV65" s="214">
        <v>3.99</v>
      </c>
      <c r="AW65" s="216">
        <v>6</v>
      </c>
      <c r="AX65" s="217">
        <v>6.99</v>
      </c>
      <c r="AY65" s="214">
        <v>3</v>
      </c>
      <c r="AZ65" s="214">
        <v>3.99</v>
      </c>
      <c r="BA65" s="221"/>
      <c r="BB65" s="213">
        <v>2.99</v>
      </c>
      <c r="BC65" s="223">
        <v>42840</v>
      </c>
    </row>
    <row r="66" spans="37:58" x14ac:dyDescent="0.25">
      <c r="AK66" s="209" t="s">
        <v>322</v>
      </c>
      <c r="AL66" s="209">
        <v>17</v>
      </c>
      <c r="AM66" s="211">
        <v>886</v>
      </c>
      <c r="AN66" s="229"/>
      <c r="AO66" s="221"/>
      <c r="AP66" s="221"/>
      <c r="AQ66" s="216">
        <v>4</v>
      </c>
      <c r="AR66" s="216">
        <v>4.99</v>
      </c>
      <c r="AS66" s="216">
        <v>4</v>
      </c>
      <c r="AT66" s="216">
        <v>4.99</v>
      </c>
      <c r="AU66" s="213">
        <v>5</v>
      </c>
      <c r="AV66" s="222">
        <v>6.99</v>
      </c>
      <c r="AW66" s="221"/>
      <c r="AX66" s="213">
        <v>3.99</v>
      </c>
      <c r="AY66" s="214">
        <v>3</v>
      </c>
      <c r="AZ66" s="214">
        <v>3.99</v>
      </c>
      <c r="BA66" s="221"/>
      <c r="BB66" s="221"/>
      <c r="BC66" s="223">
        <v>42828</v>
      </c>
    </row>
    <row r="67" spans="37:58" x14ac:dyDescent="0.25">
      <c r="AK67" s="209" t="s">
        <v>323</v>
      </c>
      <c r="AL67" s="209">
        <v>17</v>
      </c>
      <c r="AM67" s="211">
        <v>785</v>
      </c>
      <c r="AN67" s="229"/>
      <c r="AO67" s="221"/>
      <c r="AP67" s="221"/>
      <c r="AQ67" s="216">
        <v>4</v>
      </c>
      <c r="AR67" s="216">
        <v>4.99</v>
      </c>
      <c r="AS67" s="216">
        <v>5</v>
      </c>
      <c r="AT67" s="217">
        <v>5.99</v>
      </c>
      <c r="AU67" s="221"/>
      <c r="AV67" s="221"/>
      <c r="AW67" s="221"/>
      <c r="AX67" s="221"/>
      <c r="AY67" s="221"/>
      <c r="AZ67" s="213">
        <v>4.99</v>
      </c>
      <c r="BA67" s="221"/>
      <c r="BB67" s="221"/>
      <c r="BC67" s="223">
        <v>42863</v>
      </c>
    </row>
    <row r="68" spans="37:58" x14ac:dyDescent="0.25">
      <c r="AK68" s="209" t="s">
        <v>324</v>
      </c>
      <c r="AL68" s="209">
        <v>16</v>
      </c>
      <c r="AM68" s="211">
        <v>883</v>
      </c>
      <c r="AN68" s="229" t="s">
        <v>243</v>
      </c>
      <c r="AO68" s="221"/>
      <c r="AP68" s="221"/>
      <c r="AQ68" s="216">
        <v>4</v>
      </c>
      <c r="AR68" s="216">
        <v>4.99</v>
      </c>
      <c r="AS68" s="216">
        <v>3</v>
      </c>
      <c r="AT68" s="216">
        <v>3.99</v>
      </c>
      <c r="AU68" s="221"/>
      <c r="AV68" s="213">
        <v>2.99</v>
      </c>
      <c r="AW68" s="216">
        <v>5</v>
      </c>
      <c r="AX68" s="217">
        <v>5.99</v>
      </c>
      <c r="AY68" s="216">
        <v>5</v>
      </c>
      <c r="AZ68" s="217">
        <v>5.99</v>
      </c>
      <c r="BA68" s="221"/>
      <c r="BB68" s="221"/>
      <c r="BC68" s="223">
        <v>42873</v>
      </c>
    </row>
    <row r="69" spans="37:58" x14ac:dyDescent="0.25">
      <c r="AK69" s="209" t="s">
        <v>325</v>
      </c>
      <c r="AL69" s="209">
        <v>17</v>
      </c>
      <c r="AM69" s="211">
        <v>787</v>
      </c>
      <c r="AN69" s="229" t="s">
        <v>326</v>
      </c>
      <c r="AO69" s="221"/>
      <c r="AP69" s="213">
        <v>1.99</v>
      </c>
      <c r="AQ69" s="216">
        <v>4</v>
      </c>
      <c r="AR69" s="216">
        <v>4.99</v>
      </c>
      <c r="AS69" s="213">
        <v>6</v>
      </c>
      <c r="AT69" s="222">
        <v>7</v>
      </c>
      <c r="AU69" s="221"/>
      <c r="AV69" s="213">
        <v>3.99</v>
      </c>
      <c r="AW69" s="216">
        <v>3</v>
      </c>
      <c r="AX69" s="216">
        <v>3.99</v>
      </c>
      <c r="AY69" s="214">
        <v>2</v>
      </c>
      <c r="AZ69" s="214">
        <v>2.99</v>
      </c>
      <c r="BA69" s="221"/>
      <c r="BB69" s="221"/>
      <c r="BC69" s="223">
        <v>42886</v>
      </c>
    </row>
    <row r="70" spans="37:58" x14ac:dyDescent="0.25">
      <c r="AK70" s="209" t="s">
        <v>327</v>
      </c>
      <c r="AL70" s="209">
        <v>17</v>
      </c>
      <c r="AM70" s="211">
        <v>812</v>
      </c>
      <c r="AN70" s="229" t="s">
        <v>193</v>
      </c>
      <c r="AO70" s="221"/>
      <c r="AP70" s="221"/>
      <c r="AQ70" s="221"/>
      <c r="AR70" s="213">
        <v>4.99</v>
      </c>
      <c r="AS70" s="216">
        <v>5</v>
      </c>
      <c r="AT70" s="217">
        <v>5.99</v>
      </c>
      <c r="AU70" s="221"/>
      <c r="AV70" s="213">
        <v>2.99</v>
      </c>
      <c r="AW70" s="221"/>
      <c r="AX70" s="221">
        <v>2.99</v>
      </c>
      <c r="AY70" s="213">
        <v>4</v>
      </c>
      <c r="AZ70" s="219">
        <v>5.99</v>
      </c>
      <c r="BA70" s="221"/>
      <c r="BB70" s="221"/>
      <c r="BC70" s="223">
        <v>42912</v>
      </c>
    </row>
    <row r="71" spans="37:58" x14ac:dyDescent="0.25">
      <c r="AK71" s="209" t="s">
        <v>328</v>
      </c>
      <c r="AL71" s="209">
        <v>17</v>
      </c>
      <c r="AM71" s="211">
        <v>-1523</v>
      </c>
      <c r="AN71" s="229" t="s">
        <v>235</v>
      </c>
      <c r="AO71" s="221"/>
      <c r="AP71" s="213">
        <v>1.99</v>
      </c>
      <c r="AQ71" s="214">
        <v>4</v>
      </c>
      <c r="AR71" s="214">
        <v>4.99</v>
      </c>
      <c r="AS71" s="221"/>
      <c r="AT71" s="221"/>
      <c r="AU71" s="221"/>
      <c r="AV71" s="213">
        <v>1.99</v>
      </c>
      <c r="AW71" s="216">
        <v>6</v>
      </c>
      <c r="AX71" s="217">
        <v>6.99</v>
      </c>
      <c r="AY71" s="214">
        <v>3</v>
      </c>
      <c r="AZ71" s="214">
        <v>3.99</v>
      </c>
      <c r="BA71" s="221"/>
      <c r="BB71" s="213">
        <v>2.99</v>
      </c>
      <c r="BC71" s="223">
        <v>45167</v>
      </c>
    </row>
    <row r="72" spans="37:58" x14ac:dyDescent="0.25">
      <c r="AK72" s="209" t="s">
        <v>329</v>
      </c>
      <c r="AL72" s="209">
        <v>18</v>
      </c>
      <c r="AM72" s="211">
        <v>793</v>
      </c>
      <c r="AN72" s="229"/>
      <c r="AO72" s="221"/>
      <c r="AP72" s="219">
        <v>5.99</v>
      </c>
      <c r="AQ72" s="216">
        <v>4</v>
      </c>
      <c r="AR72" s="216">
        <v>4.99</v>
      </c>
      <c r="AS72" s="214">
        <v>1</v>
      </c>
      <c r="AT72" s="214">
        <v>1.99</v>
      </c>
      <c r="AU72" s="214">
        <v>0</v>
      </c>
      <c r="AV72" s="214">
        <v>0.99</v>
      </c>
      <c r="AW72" s="214">
        <v>0</v>
      </c>
      <c r="AX72" s="214">
        <v>0.99</v>
      </c>
      <c r="AY72" s="214">
        <v>0</v>
      </c>
      <c r="AZ72" s="214">
        <v>0.99</v>
      </c>
      <c r="BA72" s="221"/>
      <c r="BB72" s="221"/>
      <c r="BC72" s="223">
        <v>42739</v>
      </c>
    </row>
    <row r="73" spans="37:58" x14ac:dyDescent="0.25">
      <c r="AK73" s="209" t="s">
        <v>330</v>
      </c>
      <c r="AL73" s="209">
        <v>18</v>
      </c>
      <c r="AM73" s="211">
        <v>770</v>
      </c>
      <c r="AN73" s="229" t="s">
        <v>235</v>
      </c>
      <c r="AO73" s="221"/>
      <c r="AP73" s="221"/>
      <c r="AQ73" s="214">
        <v>3</v>
      </c>
      <c r="AR73" s="214">
        <v>3.99</v>
      </c>
      <c r="AS73" s="216">
        <v>5</v>
      </c>
      <c r="AT73" s="217">
        <v>5.99</v>
      </c>
      <c r="AU73" s="221"/>
      <c r="AV73" s="222">
        <v>6.99</v>
      </c>
      <c r="AW73" s="213">
        <v>2</v>
      </c>
      <c r="AX73" s="221"/>
      <c r="AY73" s="214">
        <v>3</v>
      </c>
      <c r="AZ73" s="214">
        <v>3.99</v>
      </c>
      <c r="BA73" s="221"/>
      <c r="BB73" s="221"/>
      <c r="BC73" s="223">
        <v>42835</v>
      </c>
    </row>
    <row r="74" spans="37:58" x14ac:dyDescent="0.25">
      <c r="AK74" s="209" t="s">
        <v>331</v>
      </c>
      <c r="AL74" s="209">
        <v>16</v>
      </c>
      <c r="AM74" s="211">
        <v>778</v>
      </c>
      <c r="AN74" s="229"/>
      <c r="AO74" s="221"/>
      <c r="AP74" s="221"/>
      <c r="AQ74" s="221"/>
      <c r="AR74" s="213">
        <v>2.99</v>
      </c>
      <c r="AS74" s="216">
        <v>3</v>
      </c>
      <c r="AT74" s="221">
        <v>3.99</v>
      </c>
      <c r="AU74" s="221"/>
      <c r="AV74" s="213">
        <v>3.99</v>
      </c>
      <c r="AW74" s="216">
        <v>6</v>
      </c>
      <c r="AX74" s="217">
        <v>6.99</v>
      </c>
      <c r="AY74" s="214">
        <v>4</v>
      </c>
      <c r="AZ74" s="214">
        <v>4.99</v>
      </c>
      <c r="BA74" s="221"/>
      <c r="BB74" s="221"/>
      <c r="BC74" s="223">
        <v>42978</v>
      </c>
    </row>
    <row r="75" spans="37:58" x14ac:dyDescent="0.25">
      <c r="AK75" s="209" t="s">
        <v>332</v>
      </c>
      <c r="AL75" s="209">
        <v>16</v>
      </c>
      <c r="AM75" s="211">
        <v>745</v>
      </c>
      <c r="AN75" s="229" t="s">
        <v>235</v>
      </c>
      <c r="AO75" s="221"/>
      <c r="AP75" s="213">
        <v>1.99</v>
      </c>
      <c r="AQ75" s="221"/>
      <c r="AR75" s="213">
        <v>2.99</v>
      </c>
      <c r="AS75" s="214">
        <v>3</v>
      </c>
      <c r="AT75" s="214">
        <v>3.99</v>
      </c>
      <c r="AU75" s="216">
        <v>3</v>
      </c>
      <c r="AV75" s="225">
        <v>3.99</v>
      </c>
      <c r="AW75" s="216">
        <v>5</v>
      </c>
      <c r="AX75" s="217">
        <v>5.99</v>
      </c>
      <c r="AY75" s="216">
        <v>6</v>
      </c>
      <c r="AZ75" s="217">
        <v>6.99</v>
      </c>
      <c r="BA75" s="221"/>
      <c r="BB75" s="221"/>
      <c r="BC75" s="223">
        <v>43011</v>
      </c>
    </row>
    <row r="76" spans="37:58" x14ac:dyDescent="0.25">
      <c r="AK76" s="209" t="s">
        <v>333</v>
      </c>
      <c r="AL76" s="209">
        <v>16</v>
      </c>
      <c r="AM76" s="211">
        <v>725</v>
      </c>
      <c r="AN76" s="229"/>
      <c r="AO76" s="221"/>
      <c r="AP76" s="221"/>
      <c r="AQ76" s="221"/>
      <c r="AR76" s="213">
        <v>3.99</v>
      </c>
      <c r="AS76" s="216">
        <v>3</v>
      </c>
      <c r="AT76" s="216">
        <v>3.99</v>
      </c>
      <c r="AU76" s="216">
        <v>6</v>
      </c>
      <c r="AV76" s="217">
        <v>6.99</v>
      </c>
      <c r="AW76" s="214">
        <v>1</v>
      </c>
      <c r="AX76" s="214">
        <v>1.99</v>
      </c>
      <c r="AY76" s="213">
        <v>4</v>
      </c>
      <c r="AZ76" s="219">
        <v>5.99</v>
      </c>
      <c r="BA76" s="221"/>
      <c r="BB76" s="213">
        <v>2.99</v>
      </c>
      <c r="BC76" s="223">
        <v>43031</v>
      </c>
    </row>
    <row r="77" spans="37:58" x14ac:dyDescent="0.25">
      <c r="AK77" s="209" t="s">
        <v>334</v>
      </c>
      <c r="AL77" s="209">
        <v>18</v>
      </c>
      <c r="AM77" s="211">
        <v>706</v>
      </c>
      <c r="AN77" s="229"/>
      <c r="AO77" s="221"/>
      <c r="AP77" s="213">
        <v>1.99</v>
      </c>
      <c r="AQ77" s="213">
        <v>3</v>
      </c>
      <c r="AR77" s="213">
        <v>4.99</v>
      </c>
      <c r="AS77" s="214">
        <v>3</v>
      </c>
      <c r="AT77" s="214">
        <v>3.99</v>
      </c>
      <c r="AU77" s="213">
        <v>5</v>
      </c>
      <c r="AV77" s="222">
        <v>6.99</v>
      </c>
      <c r="AW77" s="214">
        <v>2</v>
      </c>
      <c r="AX77" s="214">
        <v>2.99</v>
      </c>
      <c r="AY77" s="221"/>
      <c r="AZ77" s="213">
        <v>2.99</v>
      </c>
      <c r="BA77" s="221"/>
      <c r="BB77" s="221">
        <v>3.99</v>
      </c>
      <c r="BC77" s="223">
        <v>42928</v>
      </c>
    </row>
    <row r="78" spans="37:58" x14ac:dyDescent="0.25">
      <c r="AK78" s="209" t="s">
        <v>335</v>
      </c>
      <c r="AL78" s="209">
        <v>17</v>
      </c>
      <c r="AM78" s="211">
        <v>585</v>
      </c>
      <c r="AN78" s="229"/>
      <c r="AO78" s="221"/>
      <c r="AP78" s="213">
        <v>1.99</v>
      </c>
      <c r="AQ78" s="221"/>
      <c r="AR78" s="213">
        <v>3.99</v>
      </c>
      <c r="AS78" s="213">
        <v>6</v>
      </c>
      <c r="AT78" s="222">
        <v>7</v>
      </c>
      <c r="AU78" s="216">
        <v>6</v>
      </c>
      <c r="AV78" s="217">
        <v>6.99</v>
      </c>
      <c r="AW78" s="216">
        <v>2</v>
      </c>
      <c r="AX78" s="216">
        <v>2.99</v>
      </c>
      <c r="AY78" s="214">
        <v>4</v>
      </c>
      <c r="AZ78" s="214">
        <v>4.99</v>
      </c>
      <c r="BA78" s="221"/>
      <c r="BB78" s="213">
        <v>4.99</v>
      </c>
      <c r="BC78" s="223">
        <v>43059</v>
      </c>
    </row>
    <row r="79" spans="37:58" x14ac:dyDescent="0.25">
      <c r="AK79" s="209" t="s">
        <v>336</v>
      </c>
      <c r="AL79" s="209">
        <v>16</v>
      </c>
      <c r="AM79" s="211">
        <v>656</v>
      </c>
      <c r="AN79" s="229"/>
      <c r="AO79" s="221"/>
      <c r="AP79" s="213">
        <v>1.99</v>
      </c>
      <c r="AQ79" s="214">
        <v>2</v>
      </c>
      <c r="AR79" s="214">
        <v>2.99</v>
      </c>
      <c r="AS79" s="214">
        <v>4</v>
      </c>
      <c r="AT79" s="214">
        <v>4.99</v>
      </c>
      <c r="AU79" s="216">
        <v>3</v>
      </c>
      <c r="AV79" s="216">
        <v>3.99</v>
      </c>
      <c r="AW79" s="216">
        <v>5</v>
      </c>
      <c r="AX79" s="217">
        <v>5.99</v>
      </c>
      <c r="AY79" s="214">
        <v>1</v>
      </c>
      <c r="AZ79" s="214">
        <v>1.99</v>
      </c>
      <c r="BA79" s="221"/>
      <c r="BB79" s="221"/>
      <c r="BC79" s="223">
        <v>43100</v>
      </c>
      <c r="BD79" s="3"/>
      <c r="BE79" s="3"/>
      <c r="BF79" s="3"/>
    </row>
    <row r="80" spans="37:58" x14ac:dyDescent="0.25">
      <c r="AK80" s="209" t="s">
        <v>337</v>
      </c>
      <c r="AL80" s="209">
        <v>17</v>
      </c>
      <c r="AM80" s="211">
        <v>535</v>
      </c>
      <c r="AN80" s="229"/>
      <c r="AO80" s="221"/>
      <c r="AP80" s="221"/>
      <c r="AQ80" s="221"/>
      <c r="AR80" s="213">
        <v>2.99</v>
      </c>
      <c r="AS80" s="216">
        <v>6</v>
      </c>
      <c r="AT80" s="217">
        <v>6.6</v>
      </c>
      <c r="AU80" s="216">
        <v>5</v>
      </c>
      <c r="AV80" s="217">
        <v>5.99</v>
      </c>
      <c r="AW80" s="216">
        <v>4</v>
      </c>
      <c r="AX80" s="216">
        <v>4.99</v>
      </c>
      <c r="AY80" s="221"/>
      <c r="AZ80" s="213">
        <v>2.99</v>
      </c>
      <c r="BA80" s="221"/>
      <c r="BB80" s="221"/>
      <c r="BC80" s="223">
        <v>43109</v>
      </c>
      <c r="BD80" s="3"/>
      <c r="BE80" s="3"/>
      <c r="BF80" s="3"/>
    </row>
    <row r="81" spans="37:58" x14ac:dyDescent="0.25">
      <c r="AK81" s="209" t="s">
        <v>338</v>
      </c>
      <c r="AL81" s="209">
        <v>16</v>
      </c>
      <c r="AM81" s="211">
        <v>581</v>
      </c>
      <c r="AN81" s="229" t="s">
        <v>339</v>
      </c>
      <c r="AO81" s="221"/>
      <c r="AP81" s="221"/>
      <c r="AQ81" s="221"/>
      <c r="AR81" s="213">
        <v>3.99</v>
      </c>
      <c r="AS81" s="214">
        <v>4</v>
      </c>
      <c r="AT81" s="214">
        <v>4.99</v>
      </c>
      <c r="AU81" s="221"/>
      <c r="AV81" s="219">
        <v>5.99</v>
      </c>
      <c r="AW81" s="216">
        <v>1</v>
      </c>
      <c r="AX81" s="216">
        <v>1.99</v>
      </c>
      <c r="AY81" s="221"/>
      <c r="AZ81" s="213">
        <v>3.99</v>
      </c>
      <c r="BA81" s="221"/>
      <c r="BB81" s="221"/>
      <c r="BC81" s="223">
        <v>43175</v>
      </c>
      <c r="BD81" s="3"/>
      <c r="BE81" s="3"/>
      <c r="BF81" s="3"/>
    </row>
    <row r="82" spans="37:58" x14ac:dyDescent="0.25">
      <c r="AK82" s="209" t="s">
        <v>340</v>
      </c>
      <c r="AL82" s="209">
        <v>17</v>
      </c>
      <c r="AM82" s="211">
        <v>473</v>
      </c>
      <c r="AN82" s="229" t="s">
        <v>339</v>
      </c>
      <c r="AO82" s="221"/>
      <c r="AP82" s="213">
        <v>0.99</v>
      </c>
      <c r="AQ82" s="214">
        <v>3</v>
      </c>
      <c r="AR82" s="214">
        <v>3.99</v>
      </c>
      <c r="AS82" s="214">
        <v>5</v>
      </c>
      <c r="AT82" s="214">
        <v>5.99</v>
      </c>
      <c r="AU82" s="221"/>
      <c r="AV82" s="213">
        <v>2.99</v>
      </c>
      <c r="AW82" s="221"/>
      <c r="AX82" s="221"/>
      <c r="AY82" s="214">
        <v>2</v>
      </c>
      <c r="AZ82" s="214">
        <v>2.99</v>
      </c>
      <c r="BA82" s="221"/>
      <c r="BB82" s="221"/>
      <c r="BC82" s="223">
        <v>43192</v>
      </c>
      <c r="BD82" s="3"/>
      <c r="BE82" s="3"/>
      <c r="BF82" s="3"/>
    </row>
    <row r="83" spans="37:58" x14ac:dyDescent="0.25">
      <c r="AK83" s="209" t="s">
        <v>341</v>
      </c>
      <c r="AL83" s="209">
        <v>18</v>
      </c>
      <c r="AM83" s="211">
        <v>539</v>
      </c>
      <c r="AN83" s="229"/>
      <c r="AO83" s="221"/>
      <c r="AP83" s="213">
        <v>1.99</v>
      </c>
      <c r="AQ83" s="214">
        <v>3</v>
      </c>
      <c r="AR83" s="214">
        <v>3.99</v>
      </c>
      <c r="AS83" s="214">
        <v>4</v>
      </c>
      <c r="AT83" s="214">
        <v>4.99</v>
      </c>
      <c r="AU83" s="214">
        <v>2</v>
      </c>
      <c r="AV83" s="214">
        <v>2.99</v>
      </c>
      <c r="AW83" s="214">
        <v>4</v>
      </c>
      <c r="AX83" s="214">
        <v>4.99</v>
      </c>
      <c r="AY83" s="216">
        <v>4</v>
      </c>
      <c r="AZ83" s="216">
        <v>4.99</v>
      </c>
      <c r="BA83" s="221"/>
      <c r="BB83" s="213">
        <v>2.99</v>
      </c>
      <c r="BC83" s="223">
        <v>42919</v>
      </c>
      <c r="BD83" s="3"/>
      <c r="BE83" s="3"/>
      <c r="BF83" s="3"/>
    </row>
    <row r="84" spans="37:58" x14ac:dyDescent="0.25">
      <c r="AK84" s="209" t="s">
        <v>342</v>
      </c>
      <c r="AL84" s="209">
        <v>18</v>
      </c>
      <c r="AM84" s="211">
        <v>539</v>
      </c>
      <c r="AN84" s="229" t="s">
        <v>201</v>
      </c>
      <c r="AO84" s="221"/>
      <c r="AP84" s="213">
        <v>0.99</v>
      </c>
      <c r="AQ84" s="216">
        <v>3</v>
      </c>
      <c r="AR84" s="216">
        <v>3.99</v>
      </c>
      <c r="AS84" s="216">
        <v>3</v>
      </c>
      <c r="AT84" s="216">
        <v>3.99</v>
      </c>
      <c r="AU84" s="216">
        <v>3</v>
      </c>
      <c r="AV84" s="216">
        <v>3.99</v>
      </c>
      <c r="AW84" s="213">
        <v>4</v>
      </c>
      <c r="AX84" s="222">
        <v>7</v>
      </c>
      <c r="AY84" s="221"/>
      <c r="AZ84" s="219">
        <v>5.99</v>
      </c>
      <c r="BA84" s="221"/>
      <c r="BB84" s="213">
        <v>1.99</v>
      </c>
      <c r="BC84" s="223">
        <v>43067</v>
      </c>
      <c r="BD84" s="3"/>
      <c r="BE84" s="3"/>
      <c r="BF84" s="3"/>
    </row>
    <row r="85" spans="37:58" x14ac:dyDescent="0.25">
      <c r="AK85" s="209" t="s">
        <v>343</v>
      </c>
      <c r="AL85" s="209">
        <v>18</v>
      </c>
      <c r="AM85" s="211">
        <v>-1718</v>
      </c>
      <c r="AN85" s="229" t="s">
        <v>243</v>
      </c>
      <c r="AO85" s="221"/>
      <c r="AP85" s="213">
        <v>1.99</v>
      </c>
      <c r="AQ85" s="214">
        <v>2</v>
      </c>
      <c r="AR85" s="214">
        <v>2.99</v>
      </c>
      <c r="AS85" s="214">
        <v>4</v>
      </c>
      <c r="AT85" s="214">
        <v>4.99</v>
      </c>
      <c r="AU85" s="221"/>
      <c r="AV85" s="213">
        <v>3.99</v>
      </c>
      <c r="AW85" s="213">
        <v>2</v>
      </c>
      <c r="AX85" s="213">
        <v>3.99</v>
      </c>
      <c r="AY85" s="221"/>
      <c r="AZ85" s="213">
        <v>2.99</v>
      </c>
      <c r="BA85" s="221"/>
      <c r="BB85" s="221"/>
      <c r="BC85" s="223">
        <v>45250</v>
      </c>
      <c r="BD85" s="3"/>
      <c r="BE85" s="3"/>
      <c r="BF85" s="3"/>
    </row>
    <row r="86" spans="37:58" x14ac:dyDescent="0.25">
      <c r="AK86" s="209" t="s">
        <v>344</v>
      </c>
      <c r="AL86" s="209">
        <v>17</v>
      </c>
      <c r="AM86" s="211">
        <v>423</v>
      </c>
      <c r="AN86" s="229"/>
      <c r="AO86" s="221"/>
      <c r="AP86" s="213">
        <v>1.99</v>
      </c>
      <c r="AQ86" s="216">
        <v>4</v>
      </c>
      <c r="AR86" s="216">
        <v>4.99</v>
      </c>
      <c r="AS86" s="214">
        <v>3</v>
      </c>
      <c r="AT86" s="214">
        <v>3.99</v>
      </c>
      <c r="AU86" s="213">
        <v>5</v>
      </c>
      <c r="AV86" s="222">
        <v>6.99</v>
      </c>
      <c r="AW86" s="214">
        <v>1</v>
      </c>
      <c r="AX86" s="214">
        <v>1.99</v>
      </c>
      <c r="AY86" s="214">
        <v>1</v>
      </c>
      <c r="AZ86" s="214">
        <v>1.99</v>
      </c>
      <c r="BA86" s="221"/>
      <c r="BB86" s="221"/>
      <c r="BC86" s="223">
        <v>43221</v>
      </c>
      <c r="BD86" s="3"/>
      <c r="BE86" s="3"/>
      <c r="BF86" s="3"/>
    </row>
    <row r="87" spans="37:58" x14ac:dyDescent="0.25">
      <c r="AK87" s="209" t="s">
        <v>345</v>
      </c>
      <c r="AL87" s="209">
        <v>18</v>
      </c>
      <c r="AM87" s="211">
        <v>413</v>
      </c>
      <c r="AN87" s="229"/>
      <c r="AO87" s="221"/>
      <c r="AP87" s="213">
        <v>0.99</v>
      </c>
      <c r="AQ87" s="216">
        <v>6</v>
      </c>
      <c r="AR87" s="217">
        <v>6.99</v>
      </c>
      <c r="AS87" s="216">
        <v>4</v>
      </c>
      <c r="AT87" s="216">
        <v>4.99</v>
      </c>
      <c r="AU87" s="213">
        <v>4</v>
      </c>
      <c r="AV87" s="219">
        <v>5.99</v>
      </c>
      <c r="AW87" s="221"/>
      <c r="AX87" s="213">
        <v>3.99</v>
      </c>
      <c r="AY87" s="221"/>
      <c r="AZ87" s="213">
        <v>4.99</v>
      </c>
      <c r="BA87" s="221"/>
      <c r="BB87" s="213">
        <v>2.99</v>
      </c>
      <c r="BC87" s="223">
        <v>43143</v>
      </c>
      <c r="BD87" s="3"/>
      <c r="BE87" s="3"/>
      <c r="BF87" s="3"/>
    </row>
    <row r="88" spans="37:58" x14ac:dyDescent="0.25">
      <c r="AK88" s="209" t="s">
        <v>346</v>
      </c>
      <c r="AL88" s="209">
        <v>16</v>
      </c>
      <c r="AM88" s="211">
        <v>467</v>
      </c>
      <c r="AN88" s="229" t="s">
        <v>178</v>
      </c>
      <c r="AO88" s="221"/>
      <c r="AP88" s="213">
        <v>0.99</v>
      </c>
      <c r="AQ88" s="216">
        <v>7</v>
      </c>
      <c r="AR88" s="217">
        <v>7</v>
      </c>
      <c r="AS88" s="216">
        <v>4</v>
      </c>
      <c r="AT88" s="216">
        <v>4.99</v>
      </c>
      <c r="AU88" s="216">
        <v>4</v>
      </c>
      <c r="AV88" s="216">
        <v>4.99</v>
      </c>
      <c r="AW88" s="214">
        <v>3</v>
      </c>
      <c r="AX88" s="214">
        <v>3.99</v>
      </c>
      <c r="AY88" s="221"/>
      <c r="AZ88" s="213">
        <v>2.99</v>
      </c>
      <c r="BA88" s="221"/>
      <c r="BB88" s="213">
        <v>3.99</v>
      </c>
      <c r="BC88" s="223">
        <v>43289</v>
      </c>
      <c r="BD88" s="3"/>
      <c r="BE88" s="3"/>
      <c r="BF88" s="3"/>
    </row>
    <row r="89" spans="37:58" x14ac:dyDescent="0.25">
      <c r="AK89" s="209" t="s">
        <v>347</v>
      </c>
      <c r="AL89" s="209">
        <v>16</v>
      </c>
      <c r="AM89" s="211">
        <v>386</v>
      </c>
      <c r="AN89" s="229"/>
      <c r="AO89" s="221"/>
      <c r="AP89" s="221"/>
      <c r="AQ89" s="213">
        <v>3</v>
      </c>
      <c r="AR89" s="221"/>
      <c r="AS89" s="221"/>
      <c r="AT89" s="221"/>
      <c r="AU89" s="221"/>
      <c r="AV89" s="213">
        <v>3.99</v>
      </c>
      <c r="AW89" s="213">
        <v>4</v>
      </c>
      <c r="AX89" s="222">
        <v>6.99</v>
      </c>
      <c r="AY89" s="221"/>
      <c r="AZ89" s="213">
        <v>4.99</v>
      </c>
      <c r="BA89" s="221"/>
      <c r="BB89" s="221"/>
      <c r="BC89" s="223">
        <v>43370</v>
      </c>
      <c r="BD89" s="3"/>
      <c r="BE89" s="3"/>
      <c r="BF89" s="3"/>
    </row>
    <row r="90" spans="37:58" x14ac:dyDescent="0.25">
      <c r="AK90" s="209" t="s">
        <v>348</v>
      </c>
      <c r="AL90" s="209">
        <v>16</v>
      </c>
      <c r="AM90" s="211">
        <v>429</v>
      </c>
      <c r="AN90" s="229"/>
      <c r="AO90" s="221"/>
      <c r="AP90" s="213">
        <v>1.99</v>
      </c>
      <c r="AQ90" s="214">
        <v>4</v>
      </c>
      <c r="AR90" s="214">
        <v>4.99</v>
      </c>
      <c r="AS90" s="221"/>
      <c r="AT90" s="213">
        <v>4.99</v>
      </c>
      <c r="AU90" s="216">
        <v>5</v>
      </c>
      <c r="AV90" s="217">
        <v>5.99</v>
      </c>
      <c r="AW90" s="221"/>
      <c r="AX90" s="213">
        <v>2.99</v>
      </c>
      <c r="AY90" s="221"/>
      <c r="AZ90" s="213">
        <v>3.99</v>
      </c>
      <c r="BA90" s="221"/>
      <c r="BB90" s="221"/>
      <c r="BC90" s="223">
        <v>43327</v>
      </c>
      <c r="BD90" s="3"/>
      <c r="BE90" s="3"/>
      <c r="BF90" s="3"/>
    </row>
    <row r="91" spans="37:58" x14ac:dyDescent="0.25">
      <c r="AK91" s="209" t="s">
        <v>14</v>
      </c>
      <c r="AL91" s="209">
        <v>17</v>
      </c>
      <c r="AM91" s="211">
        <v>211</v>
      </c>
      <c r="AN91" s="229" t="s">
        <v>168</v>
      </c>
      <c r="AO91" s="221"/>
      <c r="AP91" s="213">
        <v>1.99</v>
      </c>
      <c r="AQ91" s="233">
        <v>2</v>
      </c>
      <c r="AR91" s="214">
        <v>2.99</v>
      </c>
      <c r="AS91" s="234" t="s">
        <v>349</v>
      </c>
      <c r="AT91" s="235">
        <v>5.99</v>
      </c>
      <c r="AU91" s="234">
        <v>5.5</v>
      </c>
      <c r="AV91" s="235">
        <v>5.5</v>
      </c>
      <c r="AW91" s="234">
        <v>4.4000000000000004</v>
      </c>
      <c r="AX91" s="214">
        <v>4.4000000000000004</v>
      </c>
      <c r="AY91" s="234">
        <v>3</v>
      </c>
      <c r="AZ91" s="214">
        <v>3.99</v>
      </c>
      <c r="BA91" s="221"/>
      <c r="BB91" s="221"/>
      <c r="BC91" s="223">
        <v>43433</v>
      </c>
      <c r="BD91" s="3"/>
      <c r="BE91" s="3"/>
      <c r="BF91" s="3"/>
    </row>
    <row r="92" spans="37:58" x14ac:dyDescent="0.25">
      <c r="AK92" s="209" t="s">
        <v>350</v>
      </c>
      <c r="AL92" s="209">
        <v>17</v>
      </c>
      <c r="AM92" s="211">
        <v>172</v>
      </c>
      <c r="AN92" s="229"/>
      <c r="AO92" s="221"/>
      <c r="AP92" s="213">
        <v>0.99</v>
      </c>
      <c r="AQ92" s="221"/>
      <c r="AR92" s="213">
        <v>3.99</v>
      </c>
      <c r="AS92" s="233">
        <v>2</v>
      </c>
      <c r="AT92" s="214">
        <v>2.99</v>
      </c>
      <c r="AU92" s="236">
        <v>5</v>
      </c>
      <c r="AV92" s="222">
        <v>6.99</v>
      </c>
      <c r="AW92" s="234">
        <v>5</v>
      </c>
      <c r="AX92" s="215">
        <v>5.99</v>
      </c>
      <c r="AY92" s="237">
        <v>6</v>
      </c>
      <c r="AZ92" s="217">
        <v>6.99</v>
      </c>
      <c r="BA92" s="234">
        <v>4</v>
      </c>
      <c r="BB92" s="214">
        <v>4.99</v>
      </c>
      <c r="BC92" s="223">
        <v>43472</v>
      </c>
      <c r="BD92" s="3"/>
      <c r="BE92" s="3"/>
      <c r="BF92" s="3"/>
    </row>
    <row r="93" spans="37:58" x14ac:dyDescent="0.25">
      <c r="AK93" s="209" t="s">
        <v>351</v>
      </c>
      <c r="AL93" s="209">
        <v>16</v>
      </c>
      <c r="AM93" s="211">
        <v>271</v>
      </c>
      <c r="AN93" s="229"/>
      <c r="AO93" s="221"/>
      <c r="AP93" s="213">
        <v>1.99</v>
      </c>
      <c r="AQ93" s="234">
        <v>5.0999999999999996</v>
      </c>
      <c r="AR93" s="215">
        <v>5.99</v>
      </c>
      <c r="AS93" s="237">
        <v>6.5</v>
      </c>
      <c r="AT93" s="217">
        <v>6.99</v>
      </c>
      <c r="AU93" s="234">
        <v>3</v>
      </c>
      <c r="AV93" s="214">
        <v>3.99</v>
      </c>
      <c r="AW93" s="233">
        <v>2</v>
      </c>
      <c r="AX93" s="214">
        <v>2.99</v>
      </c>
      <c r="AY93" s="234">
        <v>3</v>
      </c>
      <c r="AZ93" s="214">
        <v>3.99</v>
      </c>
      <c r="BA93" s="221"/>
      <c r="BB93" s="221"/>
      <c r="BC93" s="223">
        <v>43485</v>
      </c>
      <c r="BD93" s="3"/>
      <c r="BE93" s="3"/>
      <c r="BF93" s="3"/>
    </row>
    <row r="94" spans="37:58" x14ac:dyDescent="0.25">
      <c r="AK94" s="209" t="s">
        <v>352</v>
      </c>
      <c r="AL94" s="209">
        <v>18</v>
      </c>
      <c r="AM94" s="211">
        <v>257</v>
      </c>
      <c r="AN94" s="229"/>
      <c r="AO94" s="221"/>
      <c r="AP94" s="213">
        <v>1.99</v>
      </c>
      <c r="AQ94" s="221"/>
      <c r="AR94" s="213">
        <v>4.99</v>
      </c>
      <c r="AS94" s="236">
        <v>5</v>
      </c>
      <c r="AT94" s="222">
        <v>6.99</v>
      </c>
      <c r="AU94" s="221"/>
      <c r="AV94" s="213">
        <v>2.99</v>
      </c>
      <c r="AW94" s="234">
        <v>3</v>
      </c>
      <c r="AX94" s="214">
        <v>3.99</v>
      </c>
      <c r="AY94" s="221"/>
      <c r="AZ94" s="222">
        <v>6.99</v>
      </c>
      <c r="BA94" s="233">
        <v>2</v>
      </c>
      <c r="BB94" s="214">
        <v>2.99</v>
      </c>
      <c r="BC94" s="223">
        <v>43644</v>
      </c>
      <c r="BD94" s="3"/>
      <c r="BE94" s="3"/>
      <c r="BF94" s="3"/>
    </row>
    <row r="95" spans="37:58" x14ac:dyDescent="0.25">
      <c r="AK95" s="209" t="s">
        <v>353</v>
      </c>
      <c r="AL95" s="209">
        <v>19</v>
      </c>
      <c r="AM95" s="211">
        <v>148</v>
      </c>
      <c r="AN95" s="229"/>
      <c r="AO95" s="221"/>
      <c r="AP95" s="213">
        <v>1.99</v>
      </c>
      <c r="AQ95" s="234">
        <v>4</v>
      </c>
      <c r="AR95" s="214">
        <v>4.99</v>
      </c>
      <c r="AS95" s="221"/>
      <c r="AT95" s="213">
        <v>4.99</v>
      </c>
      <c r="AU95" s="221"/>
      <c r="AV95" s="213">
        <v>4.99</v>
      </c>
      <c r="AW95" s="234">
        <v>3</v>
      </c>
      <c r="AX95" s="214">
        <v>3.99</v>
      </c>
      <c r="AY95" s="236">
        <v>3</v>
      </c>
      <c r="AZ95" s="213">
        <v>4.99</v>
      </c>
      <c r="BA95" s="234">
        <v>1</v>
      </c>
      <c r="BB95" s="214">
        <v>1.99</v>
      </c>
      <c r="BC95" s="223">
        <v>43644</v>
      </c>
      <c r="BD95" s="3"/>
      <c r="BE95" s="3"/>
      <c r="BF95" s="3"/>
    </row>
    <row r="96" spans="37:58" x14ac:dyDescent="0.25">
      <c r="AK96" s="209" t="s">
        <v>354</v>
      </c>
      <c r="AL96" s="209">
        <v>19</v>
      </c>
      <c r="AM96" s="211">
        <v>135</v>
      </c>
      <c r="AN96" s="229"/>
      <c r="AO96" s="221"/>
      <c r="AP96" s="213">
        <v>0.99</v>
      </c>
      <c r="AQ96" s="234">
        <v>4</v>
      </c>
      <c r="AR96" s="214">
        <v>4.99</v>
      </c>
      <c r="AS96" s="234">
        <v>4</v>
      </c>
      <c r="AT96" s="214">
        <v>4.99</v>
      </c>
      <c r="AU96" s="233">
        <v>2</v>
      </c>
      <c r="AV96" s="214">
        <v>2.99</v>
      </c>
      <c r="AW96" s="221"/>
      <c r="AX96" s="219">
        <v>5.99</v>
      </c>
      <c r="AY96" s="234">
        <v>4</v>
      </c>
      <c r="AZ96" s="214">
        <v>4.99</v>
      </c>
      <c r="BA96" s="233">
        <v>2</v>
      </c>
      <c r="BB96" s="214">
        <v>2.99</v>
      </c>
      <c r="BC96" s="223">
        <v>43644</v>
      </c>
      <c r="BD96" s="3"/>
      <c r="BE96" s="3"/>
      <c r="BF96" s="3"/>
    </row>
    <row r="97" spans="37:58" x14ac:dyDescent="0.25">
      <c r="AK97" s="209" t="s">
        <v>355</v>
      </c>
      <c r="AL97" s="209">
        <v>16</v>
      </c>
      <c r="AM97" s="211">
        <v>167</v>
      </c>
      <c r="AN97" s="229"/>
      <c r="AO97" s="221"/>
      <c r="AP97" s="213">
        <v>0.99</v>
      </c>
      <c r="AQ97" s="234">
        <v>1</v>
      </c>
      <c r="AR97" s="214">
        <v>1.99</v>
      </c>
      <c r="AS97" s="237">
        <v>5</v>
      </c>
      <c r="AT97" s="217">
        <v>5.99</v>
      </c>
      <c r="AU97" s="237">
        <v>6</v>
      </c>
      <c r="AV97" s="217">
        <v>6.99</v>
      </c>
      <c r="AW97" s="237">
        <v>4</v>
      </c>
      <c r="AX97" s="216">
        <v>4.99</v>
      </c>
      <c r="AY97" s="237" t="s">
        <v>356</v>
      </c>
      <c r="AZ97" s="216">
        <v>3.99</v>
      </c>
      <c r="BA97" s="221"/>
      <c r="BB97" s="221"/>
      <c r="BC97" s="223">
        <v>43589</v>
      </c>
      <c r="BD97" s="3"/>
      <c r="BE97" s="3"/>
      <c r="BF97" s="3"/>
    </row>
    <row r="98" spans="37:58" x14ac:dyDescent="0.25">
      <c r="AK98" s="209" t="s">
        <v>81</v>
      </c>
      <c r="AL98" s="209">
        <v>18</v>
      </c>
      <c r="AM98" s="211">
        <f>88-444+[1]Jugadores!AM33-112-112-102-6+17-112-5+3-112-35+68-112-112+88-112-8+34-80-7+47-36-112-112-112-27-70-21-2-179+69-112-112+50-112-112</f>
        <v>-2126</v>
      </c>
      <c r="AN98" s="229"/>
      <c r="AO98" s="236">
        <v>4</v>
      </c>
      <c r="AP98" s="222">
        <v>6.99</v>
      </c>
      <c r="AQ98" s="237">
        <v>3</v>
      </c>
      <c r="AR98" s="216">
        <v>3.99</v>
      </c>
      <c r="AS98" s="234">
        <v>0</v>
      </c>
      <c r="AT98" s="214">
        <v>0.99</v>
      </c>
      <c r="AU98" s="234">
        <v>0</v>
      </c>
      <c r="AV98" s="214">
        <v>0.99</v>
      </c>
      <c r="AW98" s="221"/>
      <c r="AX98" s="213">
        <v>1.99</v>
      </c>
      <c r="AY98" s="234">
        <v>1</v>
      </c>
      <c r="AZ98" s="214">
        <v>1.99</v>
      </c>
      <c r="BA98" s="221"/>
      <c r="BB98" s="221"/>
      <c r="BC98" s="223">
        <v>43644</v>
      </c>
      <c r="BD98" s="3"/>
      <c r="BE98" s="3"/>
      <c r="BF98" s="3"/>
    </row>
    <row r="99" spans="37:58" x14ac:dyDescent="0.25">
      <c r="AK99" s="209" t="s">
        <v>357</v>
      </c>
      <c r="AL99" s="209">
        <v>18</v>
      </c>
      <c r="AM99" s="211">
        <f>88-444+[1]Jugadores!AM33-112-112-102-6+17-112-5+3-112-35+68-112-112+88-112-8+34-80-7+47-36-112-112-112-27-70-21-2-179+33+39-112+43-112-112-112</f>
        <v>-2130</v>
      </c>
      <c r="AN99" s="229"/>
      <c r="AO99" s="221"/>
      <c r="AP99" s="221"/>
      <c r="AQ99" s="236">
        <v>5</v>
      </c>
      <c r="AR99" s="222">
        <v>6.99</v>
      </c>
      <c r="AS99" s="234">
        <v>2</v>
      </c>
      <c r="AT99" s="214">
        <v>2.99</v>
      </c>
      <c r="AU99" s="233">
        <v>2</v>
      </c>
      <c r="AV99" s="214">
        <v>2.99</v>
      </c>
      <c r="AW99" s="233">
        <v>2</v>
      </c>
      <c r="AX99" s="214">
        <v>2.99</v>
      </c>
      <c r="AY99" s="237">
        <v>4</v>
      </c>
      <c r="AZ99" s="216">
        <v>4.99</v>
      </c>
      <c r="BA99" s="221"/>
      <c r="BB99" s="221"/>
      <c r="BC99" s="223">
        <v>43644</v>
      </c>
      <c r="BD99" s="3"/>
      <c r="BE99" s="3"/>
      <c r="BF99" s="3"/>
    </row>
    <row r="100" spans="37:58" x14ac:dyDescent="0.25">
      <c r="AK100" s="209" t="s">
        <v>358</v>
      </c>
      <c r="AL100" s="209">
        <v>16</v>
      </c>
      <c r="AM100" s="211">
        <f>88-444+[1]Jugadores!AM33-1629-102</f>
        <v>-2087</v>
      </c>
      <c r="AN100" s="229"/>
      <c r="AO100" s="224"/>
      <c r="AP100" s="224"/>
      <c r="AQ100" s="236">
        <v>5</v>
      </c>
      <c r="AR100" s="222">
        <v>6.99</v>
      </c>
      <c r="AS100" s="234">
        <v>3.3</v>
      </c>
      <c r="AT100" s="214">
        <v>3.99</v>
      </c>
      <c r="AU100" s="237">
        <v>1</v>
      </c>
      <c r="AV100" s="216">
        <v>1.99</v>
      </c>
      <c r="AW100" s="234">
        <v>3</v>
      </c>
      <c r="AX100" s="214">
        <v>3.99</v>
      </c>
      <c r="AY100" s="224"/>
      <c r="AZ100" s="219">
        <v>5.99</v>
      </c>
      <c r="BA100" s="224"/>
      <c r="BB100" s="224"/>
      <c r="BC100" s="223">
        <v>45870</v>
      </c>
      <c r="BD100" s="3"/>
      <c r="BE100" s="3"/>
      <c r="BF100" s="3"/>
    </row>
    <row r="101" spans="37:58" x14ac:dyDescent="0.25">
      <c r="AK101" s="209" t="s">
        <v>359</v>
      </c>
      <c r="AL101" s="209">
        <v>16</v>
      </c>
      <c r="AM101" s="211">
        <f>88-444+[1]Jugadores!AM33-1629-112</f>
        <v>-2097</v>
      </c>
      <c r="AN101" s="229"/>
      <c r="AO101" s="221"/>
      <c r="AP101" s="221"/>
      <c r="AQ101" s="236">
        <v>4</v>
      </c>
      <c r="AR101" s="219">
        <v>5.99</v>
      </c>
      <c r="AS101" s="234">
        <v>3</v>
      </c>
      <c r="AT101" s="214">
        <v>3.99</v>
      </c>
      <c r="AU101" s="234">
        <v>4</v>
      </c>
      <c r="AV101" s="214">
        <v>4.99</v>
      </c>
      <c r="AW101" s="233">
        <v>2</v>
      </c>
      <c r="AX101" s="214">
        <v>2.99</v>
      </c>
      <c r="AY101" s="221"/>
      <c r="AZ101" s="213">
        <v>3.99</v>
      </c>
      <c r="BA101" s="221"/>
      <c r="BB101" s="213">
        <v>4.99</v>
      </c>
      <c r="BC101" s="223">
        <v>45853</v>
      </c>
      <c r="BD101" s="3"/>
      <c r="BE101" s="3"/>
      <c r="BF101" s="3"/>
    </row>
    <row r="102" spans="37:58" x14ac:dyDescent="0.25">
      <c r="AK102" s="209" t="s">
        <v>360</v>
      </c>
      <c r="AL102" s="209">
        <v>16</v>
      </c>
      <c r="AM102" s="211">
        <f>42-584+[1]Jugadores!AM33-112-112+6-112+3-112+21-112+67-112-6-40-34-12-105+55-75+11-112-112+4-112-30-112-112-9-112+100-103-112</f>
        <v>-2145</v>
      </c>
      <c r="AN102" s="229"/>
      <c r="AO102" s="221"/>
      <c r="AP102" s="221"/>
      <c r="AQ102" s="237">
        <v>5</v>
      </c>
      <c r="AR102" s="217">
        <v>5.99</v>
      </c>
      <c r="AS102" s="234">
        <v>4</v>
      </c>
      <c r="AT102" s="214">
        <v>4.99</v>
      </c>
      <c r="AU102" s="221"/>
      <c r="AV102" s="213">
        <v>1.99</v>
      </c>
      <c r="AW102" s="221"/>
      <c r="AX102" s="213">
        <v>3.99</v>
      </c>
      <c r="AY102" s="236">
        <v>3</v>
      </c>
      <c r="AZ102" s="221"/>
      <c r="BA102" s="221"/>
      <c r="BB102" s="221"/>
      <c r="BC102" s="223">
        <v>45901</v>
      </c>
      <c r="BD102" s="3"/>
      <c r="BE102" s="3"/>
      <c r="BF102" s="3"/>
    </row>
    <row r="103" spans="37:58" x14ac:dyDescent="0.25">
      <c r="AK103" s="209" t="s">
        <v>361</v>
      </c>
      <c r="AL103" s="209">
        <v>18</v>
      </c>
      <c r="AM103" s="211">
        <f>42-584+[1]Jugadores!AM33-112-112+6-112+3-112+21-112+67-112-6-40-34-12-105+55+11-112+1-23-112-112-112-115-42-112-112-112</f>
        <v>-2211</v>
      </c>
      <c r="AN103" s="229" t="s">
        <v>178</v>
      </c>
      <c r="AO103" s="221"/>
      <c r="AP103" s="213">
        <v>1.99</v>
      </c>
      <c r="AQ103" s="233">
        <v>2</v>
      </c>
      <c r="AR103" s="214">
        <v>2.99</v>
      </c>
      <c r="AS103" s="233">
        <v>2</v>
      </c>
      <c r="AT103" s="214">
        <v>2.99</v>
      </c>
      <c r="AU103" s="234">
        <v>3</v>
      </c>
      <c r="AV103" s="214">
        <v>3.99</v>
      </c>
      <c r="AW103" s="236">
        <v>4</v>
      </c>
      <c r="AX103" s="219">
        <v>5.99</v>
      </c>
      <c r="AY103" s="221"/>
      <c r="AZ103" s="213">
        <v>3.99</v>
      </c>
      <c r="BA103" s="221"/>
      <c r="BB103" s="213">
        <v>4.99</v>
      </c>
      <c r="BC103" s="223">
        <v>43644</v>
      </c>
      <c r="BD103" s="3"/>
      <c r="BE103" s="3"/>
      <c r="BF103" s="3"/>
    </row>
    <row r="104" spans="37:58" x14ac:dyDescent="0.25">
      <c r="AK104" s="209" t="s">
        <v>362</v>
      </c>
      <c r="AL104" s="209">
        <v>16</v>
      </c>
      <c r="AM104" s="211">
        <f>88-444+[1]Jugadores!AM33-112-112-102-6+17-112-5+3-112-35+68-112-112+88-112-8+34-80-7+47-36-112-57-112+76-112-115-6-112-70-112-112-86+1-80</f>
        <v>-2171</v>
      </c>
      <c r="AN104" s="229" t="s">
        <v>165</v>
      </c>
      <c r="AO104" s="224"/>
      <c r="AP104" s="213">
        <v>1.99</v>
      </c>
      <c r="AQ104" s="233">
        <v>2</v>
      </c>
      <c r="AR104" s="214">
        <v>2.99</v>
      </c>
      <c r="AS104" s="236">
        <v>3</v>
      </c>
      <c r="AT104" s="213">
        <v>4.99</v>
      </c>
      <c r="AU104" s="224"/>
      <c r="AV104" s="222">
        <v>6.99</v>
      </c>
      <c r="AW104" s="224"/>
      <c r="AX104" s="213">
        <v>4.99</v>
      </c>
      <c r="AY104" s="236">
        <v>3</v>
      </c>
      <c r="AZ104" s="213">
        <v>4.99</v>
      </c>
      <c r="BA104" s="224"/>
      <c r="BB104" s="224"/>
      <c r="BC104" s="223">
        <v>45934</v>
      </c>
      <c r="BD104" s="3"/>
      <c r="BE104" s="3"/>
      <c r="BF104" s="3"/>
    </row>
    <row r="105" spans="37:58" x14ac:dyDescent="0.25">
      <c r="AK105" s="209" t="s">
        <v>363</v>
      </c>
      <c r="AL105" s="209">
        <v>17</v>
      </c>
      <c r="AM105" s="211">
        <f>88-444+[1]Jugadores!AM33-112-112-102-6+17-112-5+3-112-35+68-112-112+88-112-8+34-80-7+47-36-112-112-112-27-70-21-2-179+33+15-112-75+7-112+52-28-112-36-112</f>
        <v>-2277</v>
      </c>
      <c r="AN105" s="229"/>
      <c r="AO105" s="221"/>
      <c r="AP105" s="213">
        <v>0.99</v>
      </c>
      <c r="AQ105" s="236">
        <v>4</v>
      </c>
      <c r="AR105" s="219">
        <v>5.99</v>
      </c>
      <c r="AS105" s="234">
        <v>2</v>
      </c>
      <c r="AT105" s="214">
        <v>2.99</v>
      </c>
      <c r="AU105" s="234">
        <v>4</v>
      </c>
      <c r="AV105" s="214">
        <v>4.99</v>
      </c>
      <c r="AW105" s="234">
        <v>2</v>
      </c>
      <c r="AX105" s="214">
        <v>2.99</v>
      </c>
      <c r="AY105" s="236">
        <v>5</v>
      </c>
      <c r="AZ105" s="222">
        <v>6.99</v>
      </c>
      <c r="BA105" s="221"/>
      <c r="BB105" s="221"/>
      <c r="BC105" s="223">
        <v>43644</v>
      </c>
      <c r="BD105" s="3"/>
      <c r="BE105" s="3"/>
      <c r="BF105" s="3"/>
    </row>
    <row r="106" spans="37:58" x14ac:dyDescent="0.25">
      <c r="AK106" s="209" t="s">
        <v>364</v>
      </c>
      <c r="AL106" s="209">
        <v>18</v>
      </c>
      <c r="AM106" s="211">
        <f>42-584+[1]Jugadores!AM33-112-112+6-112+3-112+21-112+67-112-6-40-34-12-105+55+11-112+1-23-112-112-112-115-52-112-112-112</f>
        <v>-2221</v>
      </c>
      <c r="AN106" s="229"/>
      <c r="AO106" s="221"/>
      <c r="AP106" s="213">
        <v>1.99</v>
      </c>
      <c r="AQ106" s="237">
        <v>5</v>
      </c>
      <c r="AR106" s="217">
        <v>5.99</v>
      </c>
      <c r="AS106" s="234">
        <v>4.0999999999999996</v>
      </c>
      <c r="AT106" s="214">
        <v>4.99</v>
      </c>
      <c r="AU106" s="233">
        <v>2</v>
      </c>
      <c r="AV106" s="214">
        <v>2.99</v>
      </c>
      <c r="AW106" s="221"/>
      <c r="AX106" s="219">
        <v>5.99</v>
      </c>
      <c r="AY106" s="237">
        <v>3</v>
      </c>
      <c r="AZ106" s="216">
        <v>3.99</v>
      </c>
      <c r="BA106" s="221"/>
      <c r="BB106" s="213">
        <v>2.99</v>
      </c>
      <c r="BC106" s="223">
        <v>43644</v>
      </c>
      <c r="BD106" s="3"/>
      <c r="BE106" s="3"/>
      <c r="BF106" s="3"/>
    </row>
    <row r="107" spans="37:58" x14ac:dyDescent="0.25">
      <c r="AK107" s="209" t="s">
        <v>365</v>
      </c>
      <c r="AL107" s="209">
        <v>18</v>
      </c>
      <c r="AM107" s="211">
        <f>[1]Jugadores!AM33-2150+2-112</f>
        <v>-2260</v>
      </c>
      <c r="AN107" s="229" t="s">
        <v>201</v>
      </c>
      <c r="AO107" s="221"/>
      <c r="AP107" s="213">
        <v>1.99</v>
      </c>
      <c r="AQ107" s="233">
        <v>2</v>
      </c>
      <c r="AR107" s="214">
        <v>2.99</v>
      </c>
      <c r="AS107" s="234">
        <v>3</v>
      </c>
      <c r="AT107" s="214">
        <v>3.99</v>
      </c>
      <c r="AU107" s="234">
        <v>3</v>
      </c>
      <c r="AV107" s="214">
        <v>3.99</v>
      </c>
      <c r="AW107" s="233">
        <v>2</v>
      </c>
      <c r="AX107" s="214">
        <v>2.99</v>
      </c>
      <c r="AY107" s="234">
        <v>5</v>
      </c>
      <c r="AZ107" s="215">
        <v>5.99</v>
      </c>
      <c r="BA107" s="221"/>
      <c r="BB107" s="221"/>
      <c r="BC107" s="223">
        <v>43644</v>
      </c>
      <c r="BD107" s="3"/>
      <c r="BE107" s="3"/>
      <c r="BF107" s="3"/>
    </row>
    <row r="108" spans="37:58" x14ac:dyDescent="0.25">
      <c r="AK108" s="209" t="s">
        <v>366</v>
      </c>
      <c r="AL108" s="209">
        <v>17</v>
      </c>
      <c r="AM108" s="211">
        <f>88+AK143-2254-112-112</f>
        <v>-2390</v>
      </c>
      <c r="AN108" s="229"/>
      <c r="AO108" s="221"/>
      <c r="AP108" s="213">
        <v>0.99</v>
      </c>
      <c r="AQ108" s="234">
        <v>2</v>
      </c>
      <c r="AR108" s="214">
        <v>2.99</v>
      </c>
      <c r="AS108" s="234">
        <v>4</v>
      </c>
      <c r="AT108" s="214">
        <v>4.99</v>
      </c>
      <c r="AU108" s="234">
        <v>2</v>
      </c>
      <c r="AV108" s="214">
        <v>2.99</v>
      </c>
      <c r="AW108" s="234">
        <v>3</v>
      </c>
      <c r="AX108" s="214">
        <v>3.99</v>
      </c>
      <c r="AY108" s="237">
        <v>5</v>
      </c>
      <c r="AZ108" s="217">
        <v>5.99</v>
      </c>
      <c r="BA108" s="221"/>
      <c r="BB108" s="221"/>
      <c r="BC108" s="223">
        <v>43644</v>
      </c>
      <c r="BD108" s="3"/>
      <c r="BE108" s="3"/>
      <c r="BF108" s="3"/>
    </row>
    <row r="109" spans="37:58" x14ac:dyDescent="0.25">
      <c r="AK109" s="209" t="s">
        <v>367</v>
      </c>
      <c r="AL109" s="209">
        <v>17</v>
      </c>
      <c r="AM109" s="211">
        <f>88-444+[1]Jugadores!AM33-112-112-102-6+17-112-5+3-112-35+68-112-112+88-112-8+34-80-7+47-36-112-112-112-27-70-21-2-179+33+39-112-112+20-112+7-69+8-212-112</f>
        <v>-2419</v>
      </c>
      <c r="AN109" s="229"/>
      <c r="AO109" s="224"/>
      <c r="AP109" s="213">
        <v>0.99</v>
      </c>
      <c r="AQ109" s="237">
        <v>3</v>
      </c>
      <c r="AR109" s="216">
        <v>3.99</v>
      </c>
      <c r="AS109" s="224"/>
      <c r="AT109" s="213">
        <v>3.99</v>
      </c>
      <c r="AU109" s="234">
        <v>6</v>
      </c>
      <c r="AV109" s="215">
        <v>6.99</v>
      </c>
      <c r="AW109" s="234">
        <v>4</v>
      </c>
      <c r="AX109" s="214">
        <v>4.99</v>
      </c>
      <c r="AY109" s="238">
        <v>1</v>
      </c>
      <c r="AZ109" s="216">
        <v>1.99</v>
      </c>
      <c r="BA109" s="224"/>
      <c r="BB109" s="224"/>
      <c r="BC109" s="223">
        <v>46063</v>
      </c>
      <c r="BD109" s="3"/>
      <c r="BE109" s="3"/>
      <c r="BF109" s="3"/>
    </row>
    <row r="110" spans="37:58" x14ac:dyDescent="0.25">
      <c r="AK110" s="209" t="s">
        <v>368</v>
      </c>
      <c r="AL110" s="209">
        <v>16</v>
      </c>
      <c r="AM110" s="211">
        <f>-1500+[1]Jugadores!AM33-770+30-112</f>
        <v>-2352</v>
      </c>
      <c r="AN110" s="229" t="s">
        <v>165</v>
      </c>
      <c r="AO110" s="221"/>
      <c r="AP110" s="213">
        <v>1.99</v>
      </c>
      <c r="AQ110" s="236">
        <v>3</v>
      </c>
      <c r="AR110" s="213">
        <v>4.99</v>
      </c>
      <c r="AS110" s="221"/>
      <c r="AT110" s="213">
        <v>2.99</v>
      </c>
      <c r="AU110" s="234">
        <v>5</v>
      </c>
      <c r="AV110" s="215">
        <v>5.99</v>
      </c>
      <c r="AW110" s="234">
        <v>4</v>
      </c>
      <c r="AX110" s="214">
        <v>4.99</v>
      </c>
      <c r="AY110" s="234">
        <v>4</v>
      </c>
      <c r="AZ110" s="214">
        <v>4.99</v>
      </c>
      <c r="BA110" s="221"/>
      <c r="BB110" s="221"/>
      <c r="BC110" s="223">
        <v>41322</v>
      </c>
      <c r="BD110" s="3"/>
      <c r="BE110" s="3"/>
      <c r="BF110" s="3"/>
    </row>
    <row r="111" spans="37:58" x14ac:dyDescent="0.25">
      <c r="AK111" s="209" t="s">
        <v>369</v>
      </c>
      <c r="AL111" s="209">
        <v>16</v>
      </c>
      <c r="AM111" s="211">
        <f>-1500+[1]Jugadores!AM33-770-112</f>
        <v>-2382</v>
      </c>
      <c r="AN111" s="229" t="s">
        <v>269</v>
      </c>
      <c r="AO111" s="221"/>
      <c r="AP111" s="213">
        <v>1.99</v>
      </c>
      <c r="AQ111" s="236">
        <v>4</v>
      </c>
      <c r="AR111" s="219">
        <v>5.99</v>
      </c>
      <c r="AS111" s="233">
        <v>2</v>
      </c>
      <c r="AT111" s="214">
        <v>2.99</v>
      </c>
      <c r="AU111" s="233">
        <v>2</v>
      </c>
      <c r="AV111" s="214">
        <v>2.99</v>
      </c>
      <c r="AW111" s="237">
        <v>4</v>
      </c>
      <c r="AX111" s="216">
        <v>4.99</v>
      </c>
      <c r="AY111" s="237">
        <v>5</v>
      </c>
      <c r="AZ111" s="217">
        <v>5.99</v>
      </c>
      <c r="BA111" s="221"/>
      <c r="BB111" s="221"/>
      <c r="BC111" s="223">
        <v>46138</v>
      </c>
      <c r="BD111" s="3"/>
      <c r="BE111" s="3"/>
      <c r="BF111" s="3"/>
    </row>
    <row r="112" spans="37:58" x14ac:dyDescent="0.25">
      <c r="AK112" s="209" t="s">
        <v>370</v>
      </c>
      <c r="AL112" s="209">
        <v>16</v>
      </c>
      <c r="AM112" s="211">
        <f>[1]Jugadores!AM33-2100-6-93+31-112-26+34-112</f>
        <v>-2384</v>
      </c>
      <c r="AN112" s="229"/>
      <c r="AO112" s="221"/>
      <c r="AP112" s="213">
        <v>1.99</v>
      </c>
      <c r="AQ112" s="234">
        <v>3</v>
      </c>
      <c r="AR112" s="214">
        <v>3.99</v>
      </c>
      <c r="AS112" s="221"/>
      <c r="AT112" s="213">
        <v>2.99</v>
      </c>
      <c r="AU112" s="237">
        <v>6</v>
      </c>
      <c r="AV112" s="217">
        <v>6.99</v>
      </c>
      <c r="AW112" s="237">
        <v>2</v>
      </c>
      <c r="AX112" s="216">
        <v>2.99</v>
      </c>
      <c r="AY112" s="236">
        <v>4</v>
      </c>
      <c r="AZ112" s="222">
        <v>6.99</v>
      </c>
      <c r="BA112" s="221"/>
      <c r="BB112" s="221"/>
      <c r="BC112" s="223">
        <v>46140</v>
      </c>
      <c r="BD112" s="3"/>
      <c r="BE112" s="3"/>
      <c r="BF112" s="3"/>
    </row>
    <row r="113" spans="37:58" x14ac:dyDescent="0.25">
      <c r="AK113" s="209" t="s">
        <v>371</v>
      </c>
      <c r="AL113" s="209">
        <v>16</v>
      </c>
      <c r="AM113" s="211">
        <f>[1]Jugadores!AM33-2100-6-93+31-112-26-44-112</f>
        <v>-2462</v>
      </c>
      <c r="AN113" s="229" t="s">
        <v>269</v>
      </c>
      <c r="AO113" s="221"/>
      <c r="AP113" s="221"/>
      <c r="AQ113" s="237">
        <v>1</v>
      </c>
      <c r="AR113" s="216">
        <v>1.99</v>
      </c>
      <c r="AS113" s="221"/>
      <c r="AT113" s="213">
        <v>2.99</v>
      </c>
      <c r="AU113" s="234">
        <v>6</v>
      </c>
      <c r="AV113" s="215">
        <v>6.99</v>
      </c>
      <c r="AW113" s="221"/>
      <c r="AX113" s="213">
        <v>2.99</v>
      </c>
      <c r="AY113" s="234">
        <v>4</v>
      </c>
      <c r="AZ113" s="214">
        <v>4.99</v>
      </c>
      <c r="BA113" s="221"/>
      <c r="BB113" s="221"/>
      <c r="BC113" s="223">
        <v>46218</v>
      </c>
      <c r="BD113" s="3"/>
      <c r="BE113" s="3"/>
      <c r="BF113" s="3"/>
    </row>
    <row r="114" spans="37:58" x14ac:dyDescent="0.25">
      <c r="AK114" s="209" t="s">
        <v>372</v>
      </c>
      <c r="AL114" s="209">
        <v>18</v>
      </c>
      <c r="AM114" s="211">
        <f>88+[1]Jugadores!AM33-2254-112-112+6-112-112</f>
        <v>-2608</v>
      </c>
      <c r="AN114" s="229" t="s">
        <v>201</v>
      </c>
      <c r="AO114" s="221"/>
      <c r="AP114" s="221"/>
      <c r="AQ114" s="236">
        <v>5</v>
      </c>
      <c r="AR114" s="222">
        <v>6.99</v>
      </c>
      <c r="AS114" s="236">
        <v>5</v>
      </c>
      <c r="AT114" s="222">
        <v>6.99</v>
      </c>
      <c r="AU114" s="234">
        <v>2</v>
      </c>
      <c r="AV114" s="214">
        <v>2.99</v>
      </c>
      <c r="AW114" s="236">
        <v>5</v>
      </c>
      <c r="AX114" s="222">
        <v>6.99</v>
      </c>
      <c r="AY114" s="234">
        <v>3</v>
      </c>
      <c r="AZ114" s="214">
        <v>3.99</v>
      </c>
      <c r="BA114" s="221"/>
      <c r="BB114" s="221"/>
      <c r="BC114" s="223">
        <v>43644</v>
      </c>
      <c r="BD114" s="3"/>
      <c r="BE114" s="3"/>
      <c r="BF114" s="3"/>
    </row>
    <row r="115" spans="37:58" x14ac:dyDescent="0.25">
      <c r="AK115" s="209" t="s">
        <v>373</v>
      </c>
      <c r="AL115" s="209">
        <v>16</v>
      </c>
      <c r="AM115" s="211">
        <f>88+[1]Jugadores!AM33-2254-112-112+6-112</f>
        <v>-2496</v>
      </c>
      <c r="AN115" s="229" t="s">
        <v>165</v>
      </c>
      <c r="AO115" s="221"/>
      <c r="AP115" s="213">
        <v>2.99</v>
      </c>
      <c r="AQ115" s="236">
        <v>4</v>
      </c>
      <c r="AR115" s="222">
        <v>6.99</v>
      </c>
      <c r="AS115" s="221"/>
      <c r="AT115" s="221"/>
      <c r="AU115" s="237">
        <v>3</v>
      </c>
      <c r="AV115" s="216">
        <v>3.99</v>
      </c>
      <c r="AW115" s="221"/>
      <c r="AX115" s="213">
        <v>4.99</v>
      </c>
      <c r="AY115" s="236">
        <v>2</v>
      </c>
      <c r="AZ115" s="221"/>
      <c r="BA115" s="221"/>
      <c r="BB115" s="221"/>
      <c r="BC115" s="223">
        <v>46252</v>
      </c>
      <c r="BD115" s="3"/>
      <c r="BE115" s="3"/>
      <c r="BF115" s="3"/>
    </row>
    <row r="116" spans="37:58" x14ac:dyDescent="0.25">
      <c r="AK116" s="209" t="s">
        <v>374</v>
      </c>
      <c r="AL116" s="209">
        <v>17</v>
      </c>
      <c r="AM116" s="211">
        <v>3</v>
      </c>
      <c r="AN116" s="229"/>
      <c r="AO116" s="221"/>
      <c r="AP116" s="221"/>
      <c r="AQ116" s="237">
        <v>5</v>
      </c>
      <c r="AR116" s="217">
        <v>5.99</v>
      </c>
      <c r="AS116" s="237">
        <v>4</v>
      </c>
      <c r="AT116" s="216">
        <v>4.99</v>
      </c>
      <c r="AU116" s="237">
        <v>5</v>
      </c>
      <c r="AV116" s="217">
        <v>5.99</v>
      </c>
      <c r="AW116" s="234">
        <v>2</v>
      </c>
      <c r="AX116" s="214">
        <v>2.99</v>
      </c>
      <c r="AY116" s="221"/>
      <c r="AZ116" s="213">
        <v>3.99</v>
      </c>
      <c r="BA116" s="221"/>
      <c r="BB116" s="221"/>
      <c r="BC116" s="223">
        <v>43648</v>
      </c>
      <c r="BD116" s="3"/>
      <c r="BE116" s="3"/>
      <c r="BF116" s="3"/>
    </row>
    <row r="117" spans="37:58" x14ac:dyDescent="0.25">
      <c r="AK117" s="348" t="s">
        <v>375</v>
      </c>
      <c r="AL117" s="221">
        <v>17</v>
      </c>
      <c r="AM117" s="349">
        <v>54</v>
      </c>
      <c r="AN117" s="350"/>
      <c r="AO117" s="221"/>
      <c r="AP117" s="213">
        <v>0.99</v>
      </c>
      <c r="AQ117" s="234">
        <v>3</v>
      </c>
      <c r="AR117" s="214">
        <v>3.99</v>
      </c>
      <c r="AS117" s="234">
        <v>4</v>
      </c>
      <c r="AT117" s="214">
        <v>4.99</v>
      </c>
      <c r="AU117" s="236">
        <v>4</v>
      </c>
      <c r="AV117" s="219">
        <v>5.99</v>
      </c>
      <c r="AW117" s="236">
        <v>4</v>
      </c>
      <c r="AX117" s="222">
        <v>6.99</v>
      </c>
      <c r="AY117" s="237">
        <v>5</v>
      </c>
      <c r="AZ117" s="217">
        <v>5.99</v>
      </c>
      <c r="BA117" s="18"/>
      <c r="BB117" s="18"/>
      <c r="BC117" s="208">
        <v>43699</v>
      </c>
      <c r="BD117" s="3"/>
      <c r="BE117" s="3"/>
      <c r="BF117" s="3"/>
    </row>
    <row r="118" spans="37:58" x14ac:dyDescent="0.25">
      <c r="AK118" s="348" t="s">
        <v>376</v>
      </c>
      <c r="AL118" s="221">
        <v>17</v>
      </c>
      <c r="AM118" s="349">
        <v>0</v>
      </c>
      <c r="AN118" s="350"/>
      <c r="AO118" s="221"/>
      <c r="AP118" s="213">
        <v>1.99</v>
      </c>
      <c r="AQ118" s="237">
        <v>5</v>
      </c>
      <c r="AR118" s="217">
        <v>5.99</v>
      </c>
      <c r="AS118" s="221"/>
      <c r="AT118" s="213">
        <v>3.99</v>
      </c>
      <c r="AU118" s="221"/>
      <c r="AV118" s="213">
        <v>2.99</v>
      </c>
      <c r="AW118" s="221"/>
      <c r="AX118" s="213">
        <v>2.99</v>
      </c>
      <c r="AY118" s="221"/>
      <c r="AZ118" s="213">
        <v>3.99</v>
      </c>
      <c r="BA118" s="221"/>
      <c r="BB118" s="213">
        <v>4.99</v>
      </c>
      <c r="BC118" s="208">
        <v>43704</v>
      </c>
      <c r="BD118" s="3"/>
      <c r="BE118" s="3"/>
      <c r="BF118" s="3"/>
    </row>
    <row r="119" spans="37:58" x14ac:dyDescent="0.25">
      <c r="AK119" s="352" t="s">
        <v>377</v>
      </c>
      <c r="AL119" s="221">
        <v>17</v>
      </c>
      <c r="AM119" s="349">
        <v>10</v>
      </c>
      <c r="AN119" s="350" t="s">
        <v>201</v>
      </c>
      <c r="AO119" s="221"/>
      <c r="AP119" s="221"/>
      <c r="AQ119" s="221"/>
      <c r="AR119" s="213">
        <v>3.99</v>
      </c>
      <c r="AS119" s="221"/>
      <c r="AT119" s="213">
        <v>4.99</v>
      </c>
      <c r="AU119" s="237">
        <v>3</v>
      </c>
      <c r="AV119" s="216">
        <v>3.99</v>
      </c>
      <c r="AW119" s="234">
        <v>2</v>
      </c>
      <c r="AX119" s="214">
        <v>2.99</v>
      </c>
      <c r="AY119" s="236">
        <v>6</v>
      </c>
      <c r="AZ119" s="222">
        <v>7</v>
      </c>
      <c r="BA119" s="221"/>
      <c r="BB119" s="221"/>
      <c r="BC119" s="208">
        <v>43730</v>
      </c>
      <c r="BD119" s="3"/>
      <c r="BE119" s="3"/>
      <c r="BF119" s="3"/>
    </row>
    <row r="120" spans="37:58" x14ac:dyDescent="0.25">
      <c r="AK120" s="348" t="s">
        <v>378</v>
      </c>
      <c r="AL120" s="221">
        <v>17</v>
      </c>
      <c r="AM120" s="355">
        <v>13</v>
      </c>
      <c r="AN120" s="350"/>
      <c r="AO120" s="221"/>
      <c r="AP120" s="221"/>
      <c r="AQ120" s="234">
        <v>3</v>
      </c>
      <c r="AR120" s="214">
        <v>3.99</v>
      </c>
      <c r="AS120" s="236">
        <v>4</v>
      </c>
      <c r="AT120" s="219">
        <v>5.99</v>
      </c>
      <c r="AU120" s="234">
        <v>1</v>
      </c>
      <c r="AV120" s="214">
        <v>1.99</v>
      </c>
      <c r="AW120" s="356">
        <v>5</v>
      </c>
      <c r="AX120" s="235">
        <v>5.99</v>
      </c>
      <c r="AY120" s="236">
        <v>6</v>
      </c>
      <c r="AZ120" s="222">
        <v>7</v>
      </c>
      <c r="BA120" s="221"/>
      <c r="BB120" s="221"/>
      <c r="BC120" s="208">
        <v>43744</v>
      </c>
      <c r="BD120" s="3"/>
      <c r="BE120" s="3"/>
      <c r="BF120" s="3"/>
    </row>
  </sheetData>
  <mergeCells count="1">
    <mergeCell ref="G31:N31"/>
  </mergeCells>
  <conditionalFormatting sqref="E13">
    <cfRule type="cellIs" dxfId="55" priority="1" stopIfTrue="1" operator="lessThan">
      <formula>1</formula>
    </cfRule>
  </conditionalFormatting>
  <conditionalFormatting sqref="E13">
    <cfRule type="cellIs" dxfId="54" priority="2" stopIfTrue="1" operator="between">
      <formula>1</formula>
      <formula>50</formula>
    </cfRule>
  </conditionalFormatting>
  <conditionalFormatting sqref="E13">
    <cfRule type="cellIs" dxfId="53" priority="3" stopIfTrue="1" operator="greaterThan">
      <formula>50</formula>
    </cfRule>
  </conditionalFormatting>
  <conditionalFormatting sqref="AC13:AH13">
    <cfRule type="cellIs" dxfId="52" priority="4" stopIfTrue="1" operator="between">
      <formula>4</formula>
      <formula>5</formula>
    </cfRule>
  </conditionalFormatting>
  <conditionalFormatting sqref="AC13:AH13">
    <cfRule type="cellIs" dxfId="51" priority="5" stopIfTrue="1" operator="lessThan">
      <formula>4</formula>
    </cfRule>
  </conditionalFormatting>
  <conditionalFormatting sqref="AC13:AH13">
    <cfRule type="cellIs" dxfId="50" priority="6" stopIfTrue="1" operator="greaterThan">
      <formula>5</formula>
    </cfRule>
  </conditionalFormatting>
  <conditionalFormatting sqref="BC31:BC43">
    <cfRule type="cellIs" dxfId="49" priority="7" stopIfTrue="1" operator="lessThan">
      <formula>4</formula>
    </cfRule>
  </conditionalFormatting>
  <conditionalFormatting sqref="BC31:BC43">
    <cfRule type="cellIs" dxfId="48" priority="8" stopIfTrue="1" operator="greaterThan">
      <formula>6.4</formula>
    </cfRule>
  </conditionalFormatting>
  <conditionalFormatting sqref="BC31:BC43">
    <cfRule type="cellIs" dxfId="47" priority="9" stopIfTrue="1" operator="lessThan">
      <formula>4</formula>
    </cfRule>
  </conditionalFormatting>
  <conditionalFormatting sqref="BC31:BC43">
    <cfRule type="cellIs" dxfId="46" priority="10" stopIfTrue="1" operator="greaterThan">
      <formula>6.4</formula>
    </cfRule>
  </conditionalFormatting>
  <conditionalFormatting sqref="BC31:BC43">
    <cfRule type="cellIs" dxfId="45" priority="11" stopIfTrue="1" operator="lessThan">
      <formula>4</formula>
    </cfRule>
  </conditionalFormatting>
  <conditionalFormatting sqref="BC31:BC43">
    <cfRule type="cellIs" dxfId="44" priority="12" stopIfTrue="1" operator="greaterThan">
      <formula>6.4</formula>
    </cfRule>
  </conditionalFormatting>
  <conditionalFormatting sqref="BC31:BC43">
    <cfRule type="cellIs" dxfId="43" priority="13" stopIfTrue="1" operator="lessThan">
      <formula>4</formula>
    </cfRule>
  </conditionalFormatting>
  <conditionalFormatting sqref="BC31:BC43">
    <cfRule type="cellIs" dxfId="42" priority="14" stopIfTrue="1" operator="greaterThan">
      <formula>6.4</formula>
    </cfRule>
  </conditionalFormatting>
  <conditionalFormatting sqref="BC31:BC43">
    <cfRule type="cellIs" dxfId="41" priority="15" stopIfTrue="1" operator="lessThan">
      <formula>4</formula>
    </cfRule>
  </conditionalFormatting>
  <conditionalFormatting sqref="BC31:BC43">
    <cfRule type="cellIs" dxfId="40" priority="16" stopIfTrue="1" operator="greaterThan">
      <formula>6.4</formula>
    </cfRule>
  </conditionalFormatting>
  <conditionalFormatting sqref="BC31:BC43">
    <cfRule type="cellIs" dxfId="39" priority="17" stopIfTrue="1" operator="lessThan">
      <formula>4</formula>
    </cfRule>
  </conditionalFormatting>
  <conditionalFormatting sqref="BC31:BC43">
    <cfRule type="cellIs" dxfId="38" priority="18" stopIfTrue="1" operator="greaterThan">
      <formula>6.4</formula>
    </cfRule>
  </conditionalFormatting>
  <conditionalFormatting sqref="BC31:BC43">
    <cfRule type="cellIs" dxfId="37" priority="19" stopIfTrue="1" operator="lessThan">
      <formula>4</formula>
    </cfRule>
  </conditionalFormatting>
  <conditionalFormatting sqref="BC31:BC43">
    <cfRule type="cellIs" dxfId="36" priority="20" stopIfTrue="1" operator="greaterThan">
      <formula>6.4</formula>
    </cfRule>
  </conditionalFormatting>
  <conditionalFormatting sqref="AC15:AH15">
    <cfRule type="cellIs" dxfId="35" priority="21" stopIfTrue="1" operator="between">
      <formula>4</formula>
      <formula>5</formula>
    </cfRule>
  </conditionalFormatting>
  <conditionalFormatting sqref="AC15:AH15">
    <cfRule type="cellIs" dxfId="34" priority="22" stopIfTrue="1" operator="lessThan">
      <formula>4</formula>
    </cfRule>
  </conditionalFormatting>
  <conditionalFormatting sqref="AC15:AH15">
    <cfRule type="cellIs" dxfId="33" priority="23" stopIfTrue="1" operator="greaterThan">
      <formula>5</formula>
    </cfRule>
  </conditionalFormatting>
  <conditionalFormatting sqref="AC12:AH12">
    <cfRule type="cellIs" dxfId="32" priority="24" stopIfTrue="1" operator="between">
      <formula>4</formula>
      <formula>5</formula>
    </cfRule>
  </conditionalFormatting>
  <conditionalFormatting sqref="AC12:AH12">
    <cfRule type="cellIs" dxfId="31" priority="25" stopIfTrue="1" operator="lessThan">
      <formula>4</formula>
    </cfRule>
  </conditionalFormatting>
  <conditionalFormatting sqref="AC12:AH12">
    <cfRule type="cellIs" dxfId="30" priority="26" stopIfTrue="1" operator="greaterThan">
      <formula>5</formula>
    </cfRule>
  </conditionalFormatting>
  <conditionalFormatting sqref="E3 E7:E8 E12:E17 E20:E28">
    <cfRule type="cellIs" dxfId="29" priority="27" stopIfTrue="1" operator="lessThan">
      <formula>1</formula>
    </cfRule>
  </conditionalFormatting>
  <conditionalFormatting sqref="E3 E7:E8 E12:E17 E20:E28">
    <cfRule type="cellIs" dxfId="28" priority="28" stopIfTrue="1" operator="between">
      <formula>1</formula>
      <formula>50</formula>
    </cfRule>
  </conditionalFormatting>
  <conditionalFormatting sqref="E3 E7:E8 E12:E17 E20:E28">
    <cfRule type="cellIs" dxfId="27" priority="29" stopIfTrue="1" operator="greaterThan">
      <formula>50</formula>
    </cfRule>
  </conditionalFormatting>
  <conditionalFormatting sqref="AC3:AH3 AC7:AH8 AC12:AH17 AC20:AH28">
    <cfRule type="cellIs" dxfId="26" priority="30" stopIfTrue="1" operator="between">
      <formula>4</formula>
      <formula>5</formula>
    </cfRule>
  </conditionalFormatting>
  <conditionalFormatting sqref="AC3:AH3 AC7:AH8 AC12:AH17 AC20:AH28">
    <cfRule type="cellIs" dxfId="25" priority="31" stopIfTrue="1" operator="lessThan">
      <formula>4</formula>
    </cfRule>
  </conditionalFormatting>
  <conditionalFormatting sqref="AC3:AH3 AC7:AH8 AC12:AH17 AC20:AH28">
    <cfRule type="cellIs" dxfId="24" priority="32" stopIfTrue="1" operator="greaterThan">
      <formula>5</formula>
    </cfRule>
  </conditionalFormatting>
  <conditionalFormatting sqref="X3:Y3 X7:Y8 X12:Y17 X20:Y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8B7"/>
  </sheetPr>
  <dimension ref="A1:W19"/>
  <sheetViews>
    <sheetView zoomScale="110" workbookViewId="0">
      <selection activeCell="D17" sqref="D17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2" t="s">
        <v>379</v>
      </c>
      <c r="B1" s="402" t="s">
        <v>380</v>
      </c>
      <c r="C1" s="402" t="s">
        <v>381</v>
      </c>
      <c r="D1" s="402" t="s">
        <v>382</v>
      </c>
      <c r="E1" s="402" t="s">
        <v>383</v>
      </c>
      <c r="F1" s="402" t="s">
        <v>384</v>
      </c>
      <c r="G1" s="402" t="s">
        <v>385</v>
      </c>
      <c r="H1" s="402" t="s">
        <v>127</v>
      </c>
      <c r="I1" s="402" t="s">
        <v>386</v>
      </c>
      <c r="J1" s="402" t="s">
        <v>387</v>
      </c>
      <c r="K1" s="402" t="s">
        <v>388</v>
      </c>
      <c r="L1" s="402" t="s">
        <v>389</v>
      </c>
      <c r="M1" s="402" t="s">
        <v>390</v>
      </c>
      <c r="N1" s="402" t="s">
        <v>391</v>
      </c>
      <c r="O1" s="402" t="s">
        <v>392</v>
      </c>
      <c r="P1" s="402" t="s">
        <v>201</v>
      </c>
      <c r="Q1" s="402" t="s">
        <v>178</v>
      </c>
      <c r="R1" s="402" t="s">
        <v>168</v>
      </c>
      <c r="S1" s="402" t="s">
        <v>269</v>
      </c>
      <c r="T1" s="402" t="s">
        <v>165</v>
      </c>
      <c r="U1" s="402" t="s">
        <v>393</v>
      </c>
      <c r="V1" s="402" t="s">
        <v>394</v>
      </c>
      <c r="W1" s="402" t="s">
        <v>395</v>
      </c>
    </row>
    <row r="2" spans="1:23" x14ac:dyDescent="0.25">
      <c r="A2" s="42" t="s">
        <v>396</v>
      </c>
      <c r="B2" s="113">
        <v>41884</v>
      </c>
      <c r="C2" s="42" t="s">
        <v>397</v>
      </c>
      <c r="D2" s="42" t="s">
        <v>398</v>
      </c>
      <c r="E2" s="403">
        <v>47129110</v>
      </c>
      <c r="F2" s="403">
        <v>36220760</v>
      </c>
      <c r="G2" s="42">
        <v>115</v>
      </c>
      <c r="H2" s="404">
        <v>1109350</v>
      </c>
      <c r="I2" s="403">
        <v>294908</v>
      </c>
      <c r="J2" s="404">
        <v>1036370</v>
      </c>
      <c r="K2" s="403">
        <v>264270</v>
      </c>
      <c r="L2" s="42">
        <v>5.5</v>
      </c>
      <c r="M2" s="42">
        <v>6.5</v>
      </c>
      <c r="N2" s="42">
        <v>5.5</v>
      </c>
      <c r="O2" s="42" t="s">
        <v>399</v>
      </c>
      <c r="P2" s="42">
        <v>0</v>
      </c>
      <c r="Q2" s="42">
        <v>5</v>
      </c>
      <c r="R2" s="42">
        <v>0</v>
      </c>
      <c r="S2" s="42">
        <v>1</v>
      </c>
      <c r="T2" s="42">
        <v>5</v>
      </c>
      <c r="U2" s="42">
        <f t="shared" ref="U2:U9" si="0">SUM(P2:T2)</f>
        <v>11</v>
      </c>
      <c r="V2" s="42" t="s">
        <v>400</v>
      </c>
      <c r="W2" s="42" t="s">
        <v>401</v>
      </c>
    </row>
    <row r="3" spans="1:23" x14ac:dyDescent="0.25">
      <c r="A3" s="42" t="s">
        <v>402</v>
      </c>
      <c r="B3" s="113">
        <v>39559</v>
      </c>
      <c r="C3" s="42" t="s">
        <v>403</v>
      </c>
      <c r="D3" s="42" t="s">
        <v>404</v>
      </c>
      <c r="E3" s="403">
        <v>256348598</v>
      </c>
      <c r="F3" s="403">
        <v>272162542</v>
      </c>
      <c r="G3" s="42">
        <v>482</v>
      </c>
      <c r="H3" s="404">
        <v>1213540</v>
      </c>
      <c r="I3" s="403">
        <v>226018</v>
      </c>
      <c r="J3" s="404">
        <v>1085590</v>
      </c>
      <c r="K3" s="403">
        <v>181988</v>
      </c>
      <c r="L3" s="42">
        <v>5.75</v>
      </c>
      <c r="M3" s="42">
        <v>6.75</v>
      </c>
      <c r="N3" s="42">
        <v>4.5</v>
      </c>
      <c r="O3" s="42" t="s">
        <v>405</v>
      </c>
      <c r="P3" s="42">
        <v>0</v>
      </c>
      <c r="Q3" s="42">
        <v>1</v>
      </c>
      <c r="R3" s="42">
        <v>1</v>
      </c>
      <c r="S3" s="42">
        <v>1</v>
      </c>
      <c r="T3" s="42">
        <v>1</v>
      </c>
      <c r="U3" s="42">
        <f t="shared" si="0"/>
        <v>4</v>
      </c>
      <c r="V3" s="42" t="s">
        <v>406</v>
      </c>
      <c r="W3" s="42" t="s">
        <v>407</v>
      </c>
    </row>
    <row r="4" spans="1:23" x14ac:dyDescent="0.25">
      <c r="A4" s="42" t="s">
        <v>408</v>
      </c>
      <c r="B4" s="113">
        <v>42028</v>
      </c>
      <c r="C4" s="42" t="s">
        <v>409</v>
      </c>
      <c r="D4" s="42" t="s">
        <v>410</v>
      </c>
      <c r="E4" s="403">
        <v>90598139</v>
      </c>
      <c r="F4" s="403">
        <v>95834988</v>
      </c>
      <c r="G4" s="42">
        <v>246</v>
      </c>
      <c r="H4" s="404">
        <v>1323480</v>
      </c>
      <c r="I4" s="403">
        <v>367712</v>
      </c>
      <c r="J4" s="404">
        <v>1200260</v>
      </c>
      <c r="K4" s="403">
        <v>313134</v>
      </c>
      <c r="L4" s="42">
        <v>6</v>
      </c>
      <c r="M4" s="42">
        <v>6</v>
      </c>
      <c r="N4" s="42">
        <v>5.5</v>
      </c>
      <c r="O4" s="42" t="s">
        <v>411</v>
      </c>
      <c r="P4" s="42">
        <v>2</v>
      </c>
      <c r="Q4" s="42">
        <v>1</v>
      </c>
      <c r="R4" s="42">
        <v>0</v>
      </c>
      <c r="S4" s="42">
        <v>3</v>
      </c>
      <c r="T4" s="42">
        <v>0</v>
      </c>
      <c r="U4" s="42">
        <f t="shared" si="0"/>
        <v>6</v>
      </c>
      <c r="V4" s="42" t="s">
        <v>412</v>
      </c>
      <c r="W4" s="42" t="s">
        <v>413</v>
      </c>
    </row>
    <row r="5" spans="1:23" x14ac:dyDescent="0.25">
      <c r="A5" s="42" t="s">
        <v>414</v>
      </c>
      <c r="B5" s="113">
        <v>39638</v>
      </c>
      <c r="C5" s="42" t="s">
        <v>409</v>
      </c>
      <c r="D5" s="42" t="s">
        <v>415</v>
      </c>
      <c r="E5" s="403">
        <v>101904410</v>
      </c>
      <c r="F5" s="403">
        <v>106728274</v>
      </c>
      <c r="G5" s="42">
        <v>369</v>
      </c>
      <c r="H5" s="404">
        <v>1091490</v>
      </c>
      <c r="I5" s="403">
        <v>314820</v>
      </c>
      <c r="J5" s="404">
        <v>1035660</v>
      </c>
      <c r="K5" s="403">
        <v>295298</v>
      </c>
      <c r="L5" s="42">
        <v>5.25</v>
      </c>
      <c r="M5" s="42">
        <v>5</v>
      </c>
      <c r="N5" s="42">
        <v>6.25</v>
      </c>
      <c r="O5" s="42" t="s">
        <v>416</v>
      </c>
      <c r="P5" s="42">
        <v>0</v>
      </c>
      <c r="Q5" s="42">
        <v>2</v>
      </c>
      <c r="R5" s="42">
        <v>0</v>
      </c>
      <c r="S5" s="42">
        <v>2</v>
      </c>
      <c r="T5" s="42">
        <v>0</v>
      </c>
      <c r="U5" s="42">
        <f t="shared" si="0"/>
        <v>4</v>
      </c>
      <c r="V5" s="42" t="s">
        <v>417</v>
      </c>
      <c r="W5" s="42" t="s">
        <v>418</v>
      </c>
    </row>
    <row r="6" spans="1:23" x14ac:dyDescent="0.25">
      <c r="A6" s="42" t="s">
        <v>419</v>
      </c>
      <c r="B6" s="113">
        <v>38176</v>
      </c>
      <c r="C6" s="42" t="s">
        <v>420</v>
      </c>
      <c r="D6" s="42" t="s">
        <v>404</v>
      </c>
      <c r="E6" s="403">
        <v>114552212</v>
      </c>
      <c r="F6" s="403">
        <v>106068085</v>
      </c>
      <c r="G6" s="42">
        <v>332</v>
      </c>
      <c r="H6" s="404">
        <v>613770</v>
      </c>
      <c r="I6" s="403">
        <v>214342</v>
      </c>
      <c r="J6" s="404">
        <v>594970</v>
      </c>
      <c r="K6" s="403">
        <v>196056</v>
      </c>
      <c r="L6" s="42">
        <v>5.75</v>
      </c>
      <c r="M6" s="42">
        <v>6.5</v>
      </c>
      <c r="N6" s="42">
        <v>5.25</v>
      </c>
      <c r="O6" s="42" t="s">
        <v>421</v>
      </c>
      <c r="P6" s="42">
        <v>0</v>
      </c>
      <c r="Q6" s="42">
        <v>2</v>
      </c>
      <c r="R6" s="42">
        <v>2</v>
      </c>
      <c r="S6" s="42">
        <v>0</v>
      </c>
      <c r="T6" s="42">
        <v>0</v>
      </c>
      <c r="U6" s="42">
        <f t="shared" si="0"/>
        <v>4</v>
      </c>
      <c r="V6" s="42" t="s">
        <v>422</v>
      </c>
      <c r="W6" s="42" t="s">
        <v>423</v>
      </c>
    </row>
    <row r="7" spans="1:23" x14ac:dyDescent="0.25">
      <c r="A7" s="42" t="s">
        <v>424</v>
      </c>
      <c r="B7" s="113">
        <v>37938</v>
      </c>
      <c r="C7" s="42" t="s">
        <v>425</v>
      </c>
      <c r="D7" s="42" t="s">
        <v>404</v>
      </c>
      <c r="E7" s="403">
        <v>152808114</v>
      </c>
      <c r="F7" s="403">
        <v>152569289</v>
      </c>
      <c r="G7" s="42">
        <v>454</v>
      </c>
      <c r="H7" s="404">
        <v>735430</v>
      </c>
      <c r="I7" s="403">
        <v>218146</v>
      </c>
      <c r="J7" s="404">
        <v>656840</v>
      </c>
      <c r="K7" s="403">
        <v>183738</v>
      </c>
      <c r="L7" s="42">
        <v>6.25</v>
      </c>
      <c r="M7" s="42">
        <v>6.5</v>
      </c>
      <c r="N7" s="42">
        <v>5.5</v>
      </c>
      <c r="O7" s="42" t="s">
        <v>426</v>
      </c>
      <c r="P7" s="42">
        <v>0</v>
      </c>
      <c r="Q7" s="42">
        <v>0</v>
      </c>
      <c r="R7" s="42">
        <v>0</v>
      </c>
      <c r="S7" s="42">
        <v>2</v>
      </c>
      <c r="T7" s="42">
        <v>1</v>
      </c>
      <c r="U7" s="42">
        <f t="shared" si="0"/>
        <v>3</v>
      </c>
      <c r="V7" s="42" t="s">
        <v>427</v>
      </c>
      <c r="W7" s="42">
        <v>352</v>
      </c>
    </row>
    <row r="8" spans="1:23" x14ac:dyDescent="0.25">
      <c r="A8" s="42" t="s">
        <v>428</v>
      </c>
      <c r="B8" s="113">
        <v>40968</v>
      </c>
      <c r="C8" s="42" t="s">
        <v>420</v>
      </c>
      <c r="D8" s="42" t="s">
        <v>429</v>
      </c>
      <c r="E8" s="403">
        <v>37248599</v>
      </c>
      <c r="F8" s="403">
        <v>18434858</v>
      </c>
      <c r="G8" s="42">
        <v>83</v>
      </c>
      <c r="H8" s="404">
        <v>926910</v>
      </c>
      <c r="I8" s="403">
        <v>175590</v>
      </c>
      <c r="J8" s="404">
        <v>811840</v>
      </c>
      <c r="K8" s="403">
        <v>152758</v>
      </c>
      <c r="L8" s="42">
        <v>6</v>
      </c>
      <c r="M8" s="42">
        <v>5.75</v>
      </c>
      <c r="N8" s="42">
        <v>5.75</v>
      </c>
      <c r="O8" s="42" t="s">
        <v>430</v>
      </c>
      <c r="P8" s="42">
        <v>1</v>
      </c>
      <c r="Q8" s="42">
        <v>0</v>
      </c>
      <c r="R8" s="42">
        <v>2</v>
      </c>
      <c r="S8" s="42">
        <v>4</v>
      </c>
      <c r="T8" s="42">
        <v>1</v>
      </c>
      <c r="U8" s="42">
        <f t="shared" si="0"/>
        <v>8</v>
      </c>
      <c r="V8" s="42" t="s">
        <v>431</v>
      </c>
      <c r="W8" s="42" t="s">
        <v>401</v>
      </c>
    </row>
    <row r="9" spans="1:23" x14ac:dyDescent="0.25">
      <c r="A9" s="42" t="s">
        <v>432</v>
      </c>
      <c r="B9" s="113">
        <v>40792</v>
      </c>
      <c r="C9" s="42" t="s">
        <v>425</v>
      </c>
      <c r="D9" s="42" t="s">
        <v>433</v>
      </c>
      <c r="E9" s="403">
        <v>276071009</v>
      </c>
      <c r="F9" s="403">
        <v>299255460</v>
      </c>
      <c r="G9" s="42">
        <v>893</v>
      </c>
      <c r="H9" s="404">
        <v>1389140</v>
      </c>
      <c r="I9" s="403">
        <v>226850</v>
      </c>
      <c r="J9" s="404">
        <v>1203640</v>
      </c>
      <c r="K9" s="403">
        <v>176410</v>
      </c>
      <c r="L9" s="42">
        <v>5.25</v>
      </c>
      <c r="M9" s="42">
        <v>6.25</v>
      </c>
      <c r="N9" s="42">
        <v>4.5</v>
      </c>
      <c r="O9" s="42" t="s">
        <v>434</v>
      </c>
      <c r="P9" s="42">
        <v>1</v>
      </c>
      <c r="Q9" s="42">
        <v>1</v>
      </c>
      <c r="R9" s="42">
        <v>3</v>
      </c>
      <c r="S9" s="42">
        <v>0</v>
      </c>
      <c r="T9" s="42">
        <v>6</v>
      </c>
      <c r="U9" s="42">
        <f t="shared" si="0"/>
        <v>11</v>
      </c>
      <c r="V9" s="42" t="s">
        <v>435</v>
      </c>
      <c r="W9" s="42" t="s">
        <v>436</v>
      </c>
    </row>
    <row r="11" spans="1:23" x14ac:dyDescent="0.25">
      <c r="A11" s="402" t="s">
        <v>437</v>
      </c>
      <c r="B11" s="402" t="s">
        <v>380</v>
      </c>
      <c r="C11" s="402" t="s">
        <v>381</v>
      </c>
      <c r="D11" s="402" t="s">
        <v>382</v>
      </c>
      <c r="E11" s="402" t="s">
        <v>383</v>
      </c>
      <c r="F11" s="402" t="s">
        <v>384</v>
      </c>
      <c r="G11" s="402" t="s">
        <v>385</v>
      </c>
      <c r="H11" s="402" t="s">
        <v>127</v>
      </c>
      <c r="I11" s="402" t="s">
        <v>386</v>
      </c>
      <c r="J11" s="402" t="s">
        <v>387</v>
      </c>
      <c r="K11" s="402" t="s">
        <v>388</v>
      </c>
      <c r="L11" s="402" t="s">
        <v>389</v>
      </c>
      <c r="M11" s="402" t="s">
        <v>390</v>
      </c>
      <c r="N11" s="402" t="s">
        <v>391</v>
      </c>
      <c r="O11" s="402" t="s">
        <v>392</v>
      </c>
      <c r="P11" s="402" t="s">
        <v>201</v>
      </c>
      <c r="Q11" s="402" t="s">
        <v>178</v>
      </c>
      <c r="R11" s="402" t="s">
        <v>168</v>
      </c>
      <c r="S11" s="402" t="s">
        <v>269</v>
      </c>
      <c r="T11" s="402" t="s">
        <v>165</v>
      </c>
      <c r="U11" s="402" t="s">
        <v>393</v>
      </c>
      <c r="V11" s="402" t="s">
        <v>394</v>
      </c>
      <c r="W11" s="402" t="s">
        <v>395</v>
      </c>
    </row>
    <row r="12" spans="1:23" x14ac:dyDescent="0.25">
      <c r="A12" s="42" t="s">
        <v>438</v>
      </c>
      <c r="B12" s="113">
        <v>42188</v>
      </c>
      <c r="C12" s="42" t="s">
        <v>439</v>
      </c>
      <c r="D12" s="42" t="s">
        <v>440</v>
      </c>
      <c r="E12" s="403">
        <v>82460995</v>
      </c>
      <c r="F12" s="403">
        <v>96298020</v>
      </c>
      <c r="G12" s="42">
        <v>203</v>
      </c>
      <c r="H12" s="404">
        <v>815450</v>
      </c>
      <c r="I12" s="403">
        <v>255716</v>
      </c>
      <c r="J12" s="404">
        <v>694460</v>
      </c>
      <c r="K12" s="403">
        <v>181616</v>
      </c>
      <c r="L12" s="42">
        <v>5.5</v>
      </c>
      <c r="M12" s="42">
        <v>6.25</v>
      </c>
      <c r="N12" s="42">
        <v>5.5</v>
      </c>
      <c r="O12" s="42" t="s">
        <v>399</v>
      </c>
      <c r="P12" s="42">
        <v>2</v>
      </c>
      <c r="Q12" s="42">
        <v>1</v>
      </c>
      <c r="R12" s="42">
        <v>2</v>
      </c>
      <c r="S12" s="42">
        <v>1</v>
      </c>
      <c r="T12" s="42">
        <v>0</v>
      </c>
      <c r="U12" s="42">
        <f t="shared" ref="U12:U19" si="1">SUM(P12:T12)</f>
        <v>6</v>
      </c>
      <c r="V12" s="42" t="s">
        <v>427</v>
      </c>
      <c r="W12" s="42" t="s">
        <v>441</v>
      </c>
    </row>
    <row r="13" spans="1:23" x14ac:dyDescent="0.25">
      <c r="A13" s="42" t="s">
        <v>442</v>
      </c>
      <c r="B13" s="113">
        <v>41373</v>
      </c>
      <c r="C13" s="42" t="s">
        <v>443</v>
      </c>
      <c r="D13" s="42" t="s">
        <v>444</v>
      </c>
      <c r="E13" s="403">
        <v>60889118</v>
      </c>
      <c r="F13" s="403">
        <v>48697720</v>
      </c>
      <c r="G13" s="42">
        <v>89</v>
      </c>
      <c r="H13" s="404">
        <v>1177340</v>
      </c>
      <c r="I13" s="403">
        <v>300932</v>
      </c>
      <c r="J13" s="404">
        <v>1140440</v>
      </c>
      <c r="K13" s="403">
        <v>291780</v>
      </c>
      <c r="L13" s="42">
        <v>5.75</v>
      </c>
      <c r="M13" s="42">
        <v>6.25</v>
      </c>
      <c r="N13" s="42">
        <v>6.5</v>
      </c>
      <c r="O13" s="42" t="s">
        <v>411</v>
      </c>
      <c r="P13" s="42">
        <v>0</v>
      </c>
      <c r="Q13" s="42">
        <v>1</v>
      </c>
      <c r="R13" s="42">
        <v>0</v>
      </c>
      <c r="S13" s="42">
        <v>1</v>
      </c>
      <c r="T13" s="42">
        <v>0</v>
      </c>
      <c r="U13" s="42">
        <f t="shared" si="1"/>
        <v>2</v>
      </c>
      <c r="V13" s="42" t="s">
        <v>445</v>
      </c>
      <c r="W13" s="42">
        <v>352</v>
      </c>
    </row>
    <row r="14" spans="1:23" x14ac:dyDescent="0.25">
      <c r="A14" s="42" t="s">
        <v>446</v>
      </c>
      <c r="B14" s="113">
        <v>40967</v>
      </c>
      <c r="C14" s="42" t="s">
        <v>439</v>
      </c>
      <c r="D14" s="42" t="s">
        <v>410</v>
      </c>
      <c r="E14" s="403">
        <v>82442500</v>
      </c>
      <c r="F14" s="403">
        <v>87332141</v>
      </c>
      <c r="G14" s="42">
        <v>178</v>
      </c>
      <c r="H14" s="404">
        <v>777010</v>
      </c>
      <c r="I14" s="403">
        <v>290792</v>
      </c>
      <c r="J14" s="404">
        <v>723210</v>
      </c>
      <c r="K14" s="403">
        <v>261158</v>
      </c>
      <c r="L14" s="42">
        <v>5.5</v>
      </c>
      <c r="M14" s="42">
        <v>5.75</v>
      </c>
      <c r="N14" s="42">
        <v>6.75</v>
      </c>
      <c r="O14" s="42" t="s">
        <v>447</v>
      </c>
      <c r="P14" s="42">
        <v>0</v>
      </c>
      <c r="Q14" s="42">
        <v>2</v>
      </c>
      <c r="R14" s="42">
        <v>2</v>
      </c>
      <c r="S14" s="42">
        <v>4</v>
      </c>
      <c r="T14" s="42">
        <v>2</v>
      </c>
      <c r="U14" s="42">
        <f t="shared" si="1"/>
        <v>10</v>
      </c>
      <c r="V14" s="42" t="s">
        <v>422</v>
      </c>
      <c r="W14" s="42">
        <v>352</v>
      </c>
    </row>
    <row r="15" spans="1:23" x14ac:dyDescent="0.25">
      <c r="A15" s="42" t="s">
        <v>448</v>
      </c>
      <c r="B15" s="113">
        <v>38761</v>
      </c>
      <c r="C15" s="42" t="s">
        <v>449</v>
      </c>
      <c r="D15" s="42" t="s">
        <v>450</v>
      </c>
      <c r="E15" s="403">
        <v>338220879</v>
      </c>
      <c r="F15" s="403">
        <v>354040033</v>
      </c>
      <c r="G15" s="42">
        <v>1243</v>
      </c>
      <c r="H15" s="404">
        <v>643900</v>
      </c>
      <c r="I15" s="403">
        <v>150312</v>
      </c>
      <c r="J15" s="404">
        <v>556130</v>
      </c>
      <c r="K15" s="403">
        <v>111082</v>
      </c>
      <c r="L15" s="42">
        <v>6</v>
      </c>
      <c r="M15" s="42">
        <v>6.25</v>
      </c>
      <c r="N15" s="42">
        <v>6.25</v>
      </c>
      <c r="O15" s="42" t="s">
        <v>451</v>
      </c>
      <c r="P15" s="42">
        <v>1</v>
      </c>
      <c r="Q15" s="42">
        <v>4</v>
      </c>
      <c r="R15" s="42">
        <v>1</v>
      </c>
      <c r="S15" s="42">
        <v>1</v>
      </c>
      <c r="T15" s="42">
        <v>0</v>
      </c>
      <c r="U15" s="42">
        <f t="shared" si="1"/>
        <v>7</v>
      </c>
      <c r="V15" s="42" t="s">
        <v>417</v>
      </c>
      <c r="W15" s="42" t="s">
        <v>452</v>
      </c>
    </row>
    <row r="16" spans="1:23" x14ac:dyDescent="0.25">
      <c r="A16" s="42" t="s">
        <v>453</v>
      </c>
      <c r="B16" s="113">
        <v>42114</v>
      </c>
      <c r="C16" s="42" t="s">
        <v>439</v>
      </c>
      <c r="D16" s="42" t="s">
        <v>454</v>
      </c>
      <c r="E16" s="403">
        <v>46709570</v>
      </c>
      <c r="F16" s="403">
        <v>37113808</v>
      </c>
      <c r="G16" s="42">
        <v>218</v>
      </c>
      <c r="H16" s="404">
        <v>829470</v>
      </c>
      <c r="I16" s="403">
        <v>182412</v>
      </c>
      <c r="J16" s="404">
        <v>756500</v>
      </c>
      <c r="K16" s="403">
        <v>160334</v>
      </c>
      <c r="L16" s="42">
        <v>5.25</v>
      </c>
      <c r="M16" s="42">
        <v>6.5</v>
      </c>
      <c r="N16" s="42">
        <v>5</v>
      </c>
      <c r="O16" s="42" t="s">
        <v>455</v>
      </c>
      <c r="P16" s="42">
        <v>2</v>
      </c>
      <c r="Q16" s="42">
        <v>3</v>
      </c>
      <c r="R16" s="42">
        <v>1</v>
      </c>
      <c r="S16" s="42">
        <v>1</v>
      </c>
      <c r="T16" s="42">
        <v>2</v>
      </c>
      <c r="U16" s="42">
        <f t="shared" si="1"/>
        <v>9</v>
      </c>
      <c r="V16" s="42" t="s">
        <v>456</v>
      </c>
      <c r="W16" s="42" t="s">
        <v>457</v>
      </c>
    </row>
    <row r="17" spans="1:23" x14ac:dyDescent="0.25">
      <c r="A17" s="42" t="s">
        <v>458</v>
      </c>
      <c r="B17" s="113">
        <v>42081</v>
      </c>
      <c r="C17" s="42" t="s">
        <v>459</v>
      </c>
      <c r="D17" s="42" t="s">
        <v>440</v>
      </c>
      <c r="E17" s="403">
        <v>65518666</v>
      </c>
      <c r="F17" s="403">
        <v>79171407</v>
      </c>
      <c r="G17" s="42">
        <v>144</v>
      </c>
      <c r="H17" s="404">
        <v>1116530</v>
      </c>
      <c r="I17" s="403">
        <v>355742</v>
      </c>
      <c r="J17" s="404">
        <v>1052690</v>
      </c>
      <c r="K17" s="403">
        <v>319518</v>
      </c>
      <c r="L17" s="42">
        <v>5.25</v>
      </c>
      <c r="M17" s="42">
        <v>6.25</v>
      </c>
      <c r="N17" s="42">
        <v>5.75</v>
      </c>
      <c r="O17" s="42" t="s">
        <v>460</v>
      </c>
      <c r="P17" s="42">
        <v>0</v>
      </c>
      <c r="Q17" s="42">
        <v>2</v>
      </c>
      <c r="R17" s="42">
        <v>0</v>
      </c>
      <c r="S17" s="42">
        <v>1</v>
      </c>
      <c r="T17" s="42">
        <v>1</v>
      </c>
      <c r="U17" s="42">
        <f t="shared" si="1"/>
        <v>4</v>
      </c>
      <c r="V17" s="42" t="s">
        <v>461</v>
      </c>
      <c r="W17" s="42" t="s">
        <v>462</v>
      </c>
    </row>
    <row r="18" spans="1:23" x14ac:dyDescent="0.25">
      <c r="A18" s="42" t="s">
        <v>463</v>
      </c>
      <c r="B18" s="113">
        <v>42987</v>
      </c>
      <c r="C18" s="42" t="s">
        <v>425</v>
      </c>
      <c r="D18" s="42" t="s">
        <v>464</v>
      </c>
      <c r="E18" s="403">
        <v>12127780</v>
      </c>
      <c r="F18" s="403">
        <v>10570244</v>
      </c>
      <c r="G18" s="42">
        <v>41</v>
      </c>
      <c r="H18" s="404">
        <v>485360</v>
      </c>
      <c r="I18" s="403">
        <v>114784</v>
      </c>
      <c r="J18" s="404">
        <v>416940</v>
      </c>
      <c r="K18" s="403">
        <v>101762</v>
      </c>
      <c r="L18" s="42">
        <v>6</v>
      </c>
      <c r="M18" s="42">
        <v>6.5</v>
      </c>
      <c r="N18" s="42">
        <v>3.5</v>
      </c>
      <c r="O18" s="42" t="s">
        <v>465</v>
      </c>
      <c r="P18" s="42">
        <v>4</v>
      </c>
      <c r="Q18" s="42">
        <v>0</v>
      </c>
      <c r="R18" s="42">
        <v>1</v>
      </c>
      <c r="S18" s="42">
        <v>0</v>
      </c>
      <c r="T18" s="42">
        <v>3</v>
      </c>
      <c r="U18" s="42">
        <f t="shared" si="1"/>
        <v>8</v>
      </c>
      <c r="V18" s="42" t="s">
        <v>466</v>
      </c>
      <c r="W18" s="42">
        <v>343</v>
      </c>
    </row>
    <row r="19" spans="1:23" x14ac:dyDescent="0.25">
      <c r="A19" s="42" t="s">
        <v>432</v>
      </c>
      <c r="B19" s="113">
        <v>40792</v>
      </c>
      <c r="C19" s="42" t="s">
        <v>425</v>
      </c>
      <c r="D19" s="42" t="s">
        <v>433</v>
      </c>
      <c r="E19" s="403">
        <v>276071009</v>
      </c>
      <c r="F19" s="403">
        <v>299255460</v>
      </c>
      <c r="G19" s="42">
        <v>893</v>
      </c>
      <c r="H19" s="404">
        <v>1389140</v>
      </c>
      <c r="I19" s="403">
        <v>226850</v>
      </c>
      <c r="J19" s="404">
        <v>1203640</v>
      </c>
      <c r="K19" s="403">
        <v>176410</v>
      </c>
      <c r="L19" s="42">
        <v>5.25</v>
      </c>
      <c r="M19" s="42">
        <v>6.25</v>
      </c>
      <c r="N19" s="42">
        <v>4.5</v>
      </c>
      <c r="O19" s="42" t="s">
        <v>434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435</v>
      </c>
      <c r="W19" s="42" t="s">
        <v>436</v>
      </c>
    </row>
  </sheetData>
  <conditionalFormatting sqref="U1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7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30"/>
  <sheetViews>
    <sheetView workbookViewId="0">
      <selection activeCell="S12" sqref="S12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256448</v>
      </c>
      <c r="AH1" s="77">
        <f>SUM(AH3:AH15)</f>
        <v>192063.48</v>
      </c>
    </row>
    <row r="2" spans="1:45" x14ac:dyDescent="0.25">
      <c r="A2" s="96" t="s">
        <v>467</v>
      </c>
      <c r="B2" s="96" t="s">
        <v>109</v>
      </c>
      <c r="C2" s="96" t="s">
        <v>468</v>
      </c>
      <c r="D2" s="96" t="s">
        <v>111</v>
      </c>
      <c r="E2" s="96" t="s">
        <v>469</v>
      </c>
      <c r="F2" s="96" t="s">
        <v>470</v>
      </c>
      <c r="G2" s="96" t="s">
        <v>131</v>
      </c>
      <c r="H2" s="96" t="s">
        <v>132</v>
      </c>
      <c r="I2" s="96" t="s">
        <v>133</v>
      </c>
      <c r="J2" s="96" t="s">
        <v>134</v>
      </c>
      <c r="K2" s="96" t="s">
        <v>135</v>
      </c>
      <c r="L2" s="96" t="s">
        <v>136</v>
      </c>
      <c r="M2" s="96" t="s">
        <v>114</v>
      </c>
      <c r="N2" s="96" t="s">
        <v>471</v>
      </c>
      <c r="O2" s="96" t="s">
        <v>472</v>
      </c>
      <c r="P2" s="96" t="s">
        <v>473</v>
      </c>
      <c r="Q2" s="96" t="s">
        <v>474</v>
      </c>
      <c r="R2" s="96" t="s">
        <v>475</v>
      </c>
      <c r="S2" s="96" t="s">
        <v>476</v>
      </c>
      <c r="T2" s="96" t="s">
        <v>477</v>
      </c>
      <c r="U2" s="96" t="s">
        <v>478</v>
      </c>
      <c r="V2" s="96" t="s">
        <v>479</v>
      </c>
      <c r="X2" s="13" t="s">
        <v>467</v>
      </c>
      <c r="Y2" s="13" t="s">
        <v>469</v>
      </c>
      <c r="Z2" s="13" t="s">
        <v>470</v>
      </c>
      <c r="AA2" s="13" t="s">
        <v>131</v>
      </c>
      <c r="AB2" s="13" t="s">
        <v>132</v>
      </c>
      <c r="AC2" s="13" t="s">
        <v>133</v>
      </c>
      <c r="AD2" s="13" t="s">
        <v>134</v>
      </c>
      <c r="AE2" s="13" t="s">
        <v>135</v>
      </c>
      <c r="AF2" s="13" t="s">
        <v>136</v>
      </c>
      <c r="AG2" s="13" t="s">
        <v>114</v>
      </c>
      <c r="AH2" s="13" t="s">
        <v>471</v>
      </c>
      <c r="AI2" s="13" t="s">
        <v>472</v>
      </c>
      <c r="AJ2" s="13" t="s">
        <v>473</v>
      </c>
      <c r="AK2" s="13" t="s">
        <v>474</v>
      </c>
      <c r="AL2" s="13" t="s">
        <v>475</v>
      </c>
      <c r="AM2" s="13" t="s">
        <v>476</v>
      </c>
      <c r="AN2" s="13" t="s">
        <v>477</v>
      </c>
      <c r="AO2" s="13" t="s">
        <v>478</v>
      </c>
      <c r="AP2" s="13" t="s">
        <v>479</v>
      </c>
    </row>
    <row r="3" spans="1:45" x14ac:dyDescent="0.25">
      <c r="A3" t="s">
        <v>153</v>
      </c>
      <c r="B3" s="18" t="s">
        <v>154</v>
      </c>
      <c r="C3" s="6"/>
      <c r="D3" s="6" t="s">
        <v>480</v>
      </c>
      <c r="E3" s="6">
        <f>Plantilla!E4</f>
        <v>26</v>
      </c>
      <c r="F3" s="20">
        <f ca="1">Plantilla!F4</f>
        <v>32</v>
      </c>
      <c r="G3" s="89">
        <f>Plantilla!X4</f>
        <v>15</v>
      </c>
      <c r="H3" s="89">
        <f>Plantilla!Y4</f>
        <v>12.363636363636363</v>
      </c>
      <c r="I3" s="89">
        <f>Plantilla!Z4</f>
        <v>0</v>
      </c>
      <c r="J3" s="89">
        <f>Plantilla!AA4</f>
        <v>1</v>
      </c>
      <c r="K3" s="89">
        <f>Plantilla!AB4</f>
        <v>1</v>
      </c>
      <c r="L3" s="89">
        <f>Plantilla!AC4</f>
        <v>1</v>
      </c>
      <c r="M3" s="89">
        <f>Plantilla!AD4</f>
        <v>15</v>
      </c>
      <c r="N3" s="37">
        <f>Plantilla!V4</f>
        <v>31230</v>
      </c>
      <c r="O3" s="42">
        <v>51.5</v>
      </c>
      <c r="P3" s="42">
        <v>61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358">
        <f t="shared" ref="V3:V15" si="0">SUM(O3:U3)</f>
        <v>130.5</v>
      </c>
      <c r="X3" t="s">
        <v>153</v>
      </c>
      <c r="Y3" s="6">
        <f>E3</f>
        <v>26</v>
      </c>
      <c r="Z3" s="6">
        <f ca="1">F3+(7*$AR$8)</f>
        <v>32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1</v>
      </c>
      <c r="AE3" s="55">
        <f>K3</f>
        <v>1</v>
      </c>
      <c r="AF3" s="55">
        <f>L3</f>
        <v>1</v>
      </c>
      <c r="AG3" s="55">
        <f>M3</f>
        <v>15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61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358">
        <f t="shared" ref="AP3:AP15" si="9">SUM(AI3:AO3)</f>
        <v>130.5</v>
      </c>
    </row>
    <row r="4" spans="1:45" x14ac:dyDescent="0.25">
      <c r="A4" t="s">
        <v>156</v>
      </c>
      <c r="B4" s="18" t="s">
        <v>194</v>
      </c>
      <c r="C4" s="6"/>
      <c r="D4" s="6" t="s">
        <v>481</v>
      </c>
      <c r="E4" s="6">
        <f>Plantilla!E6</f>
        <v>26</v>
      </c>
      <c r="F4" s="20">
        <f ca="1">Plantilla!F6</f>
        <v>29</v>
      </c>
      <c r="G4" s="89">
        <f>Plantilla!X6</f>
        <v>0</v>
      </c>
      <c r="H4" s="89">
        <f>Plantilla!Y6</f>
        <v>15.488194444444444</v>
      </c>
      <c r="I4" s="89">
        <f>Plantilla!Z6</f>
        <v>6</v>
      </c>
      <c r="J4" s="89">
        <f>Plantilla!AA6</f>
        <v>6.666666666666667</v>
      </c>
      <c r="K4" s="89">
        <f>Plantilla!AB6</f>
        <v>9</v>
      </c>
      <c r="L4" s="89">
        <f>Plantilla!AC6</f>
        <v>2</v>
      </c>
      <c r="M4" s="89">
        <f>Plantilla!AD6</f>
        <v>13.5</v>
      </c>
      <c r="N4" s="37">
        <f>Plantilla!V6</f>
        <v>34490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358">
        <f t="shared" si="0"/>
        <v>165.3</v>
      </c>
      <c r="X4" t="s">
        <v>156</v>
      </c>
      <c r="Y4" s="6">
        <f>E4</f>
        <v>26</v>
      </c>
      <c r="Z4" s="6">
        <f ca="1">F4+(7*$AR$8)</f>
        <v>29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6</v>
      </c>
      <c r="AD4" s="55">
        <f>5+2/10</f>
        <v>5.2</v>
      </c>
      <c r="AE4" s="55">
        <f t="shared" ref="AE4:AE15" si="11">K4</f>
        <v>9</v>
      </c>
      <c r="AF4" s="55">
        <f t="shared" ref="AF4:AF15" si="12">L4</f>
        <v>2</v>
      </c>
      <c r="AG4" s="55">
        <f t="shared" ref="AG4:AG15" si="13">M4</f>
        <v>13.5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358">
        <f t="shared" si="9"/>
        <v>165.3</v>
      </c>
    </row>
    <row r="5" spans="1:45" x14ac:dyDescent="0.25">
      <c r="A5" t="s">
        <v>166</v>
      </c>
      <c r="B5" s="18" t="s">
        <v>194</v>
      </c>
      <c r="C5" s="6"/>
      <c r="D5" s="6" t="s">
        <v>482</v>
      </c>
      <c r="E5" s="6">
        <f>Plantilla!E8</f>
        <v>26</v>
      </c>
      <c r="F5" s="20">
        <f ca="1">Plantilla!F8</f>
        <v>60</v>
      </c>
      <c r="G5" s="89">
        <f>Plantilla!X8</f>
        <v>0</v>
      </c>
      <c r="H5" s="89">
        <f>Plantilla!Y8</f>
        <v>14.125</v>
      </c>
      <c r="I5" s="89">
        <f>Plantilla!Z8</f>
        <v>3</v>
      </c>
      <c r="J5" s="89">
        <f>Plantilla!AA8</f>
        <v>8.1111111111111107</v>
      </c>
      <c r="K5" s="89">
        <f>Plantilla!AB8</f>
        <v>11.857142857142858</v>
      </c>
      <c r="L5" s="89">
        <f>Plantilla!AC8</f>
        <v>4</v>
      </c>
      <c r="M5" s="89">
        <f>Plantilla!AD8</f>
        <v>14</v>
      </c>
      <c r="N5" s="37">
        <f>Plantilla!V8</f>
        <v>22400</v>
      </c>
      <c r="O5" s="42">
        <v>0</v>
      </c>
      <c r="P5" s="42">
        <v>82</v>
      </c>
      <c r="Q5" s="42">
        <v>3</v>
      </c>
      <c r="R5" s="42">
        <v>15</v>
      </c>
      <c r="S5" s="42">
        <v>43</v>
      </c>
      <c r="T5" s="42">
        <v>5</v>
      </c>
      <c r="U5" s="42">
        <v>16</v>
      </c>
      <c r="V5" s="358">
        <f t="shared" si="0"/>
        <v>164</v>
      </c>
      <c r="X5" t="s">
        <v>166</v>
      </c>
      <c r="Y5" s="6">
        <f>E5</f>
        <v>26</v>
      </c>
      <c r="Z5" s="6">
        <f ca="1">F5+(7*$AR$8)</f>
        <v>60</v>
      </c>
      <c r="AA5" s="55">
        <f t="shared" si="1"/>
        <v>0</v>
      </c>
      <c r="AB5" s="55">
        <f>13+5/12</f>
        <v>13.416666666666666</v>
      </c>
      <c r="AC5" s="55">
        <f t="shared" si="10"/>
        <v>3</v>
      </c>
      <c r="AD5" s="55">
        <f>7+1/12</f>
        <v>7.083333333333333</v>
      </c>
      <c r="AE5" s="55">
        <f t="shared" si="11"/>
        <v>11.857142857142858</v>
      </c>
      <c r="AF5" s="55">
        <f t="shared" si="12"/>
        <v>4</v>
      </c>
      <c r="AG5" s="55">
        <f t="shared" si="13"/>
        <v>14</v>
      </c>
      <c r="AH5" s="37">
        <f>(195+13000+190)*1.008</f>
        <v>13492.08</v>
      </c>
      <c r="AI5" s="42">
        <f t="shared" si="2"/>
        <v>0</v>
      </c>
      <c r="AJ5" s="42">
        <f t="shared" si="3"/>
        <v>82</v>
      </c>
      <c r="AK5" s="42">
        <f t="shared" si="4"/>
        <v>3</v>
      </c>
      <c r="AL5" s="42">
        <f t="shared" si="5"/>
        <v>15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358">
        <f t="shared" si="9"/>
        <v>164</v>
      </c>
    </row>
    <row r="6" spans="1:45" x14ac:dyDescent="0.25">
      <c r="A6" t="s">
        <v>160</v>
      </c>
      <c r="B6" s="18" t="s">
        <v>194</v>
      </c>
      <c r="C6" s="6"/>
      <c r="D6" s="6" t="s">
        <v>483</v>
      </c>
      <c r="E6" s="6">
        <f>Plantilla!E7</f>
        <v>26</v>
      </c>
      <c r="F6" s="20">
        <f ca="1">Plantilla!F7</f>
        <v>10</v>
      </c>
      <c r="G6" s="89">
        <f>Plantilla!X7</f>
        <v>0</v>
      </c>
      <c r="H6" s="89">
        <f>Plantilla!Y7</f>
        <v>15.518750000000001</v>
      </c>
      <c r="I6" s="89">
        <f>Plantilla!Z7</f>
        <v>5</v>
      </c>
      <c r="J6" s="89">
        <f>Plantilla!AA7</f>
        <v>7.875</v>
      </c>
      <c r="K6" s="89">
        <f>Plantilla!AB7</f>
        <v>8.6666666666666661</v>
      </c>
      <c r="L6" s="89">
        <f>Plantilla!AC7</f>
        <v>1</v>
      </c>
      <c r="M6" s="89">
        <f>Plantilla!AD7</f>
        <v>13</v>
      </c>
      <c r="N6" s="37">
        <f>Plantilla!V7</f>
        <v>35040</v>
      </c>
      <c r="O6" s="42">
        <v>0</v>
      </c>
      <c r="P6" s="42">
        <v>104</v>
      </c>
      <c r="Q6" s="42">
        <v>9</v>
      </c>
      <c r="R6" s="42">
        <v>14</v>
      </c>
      <c r="S6" s="42">
        <v>22</v>
      </c>
      <c r="T6" s="42">
        <v>0</v>
      </c>
      <c r="U6" s="42">
        <v>14</v>
      </c>
      <c r="V6" s="358">
        <f t="shared" si="0"/>
        <v>163</v>
      </c>
      <c r="X6" t="s">
        <v>160</v>
      </c>
      <c r="Y6" s="6">
        <f>E6</f>
        <v>26</v>
      </c>
      <c r="Z6" s="6">
        <f ca="1">F6+(7*$AR$8)</f>
        <v>10</v>
      </c>
      <c r="AA6" s="55">
        <f t="shared" si="1"/>
        <v>0</v>
      </c>
      <c r="AB6" s="55">
        <f>15+3/18</f>
        <v>15.166666666666666</v>
      </c>
      <c r="AC6" s="55">
        <f t="shared" si="10"/>
        <v>5</v>
      </c>
      <c r="AD6" s="55">
        <f>J6+(0.5*AR9)/4</f>
        <v>7.875</v>
      </c>
      <c r="AE6" s="55">
        <f t="shared" si="11"/>
        <v>8.6666666666666661</v>
      </c>
      <c r="AF6" s="55">
        <f t="shared" si="12"/>
        <v>1</v>
      </c>
      <c r="AG6" s="55">
        <f t="shared" si="13"/>
        <v>13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104</v>
      </c>
      <c r="AK6" s="42">
        <f t="shared" si="4"/>
        <v>9</v>
      </c>
      <c r="AL6" s="42">
        <f t="shared" si="5"/>
        <v>14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358">
        <f t="shared" si="9"/>
        <v>163</v>
      </c>
    </row>
    <row r="7" spans="1:45" x14ac:dyDescent="0.25">
      <c r="A7" t="s">
        <v>169</v>
      </c>
      <c r="B7" s="18" t="s">
        <v>194</v>
      </c>
      <c r="C7" s="6"/>
      <c r="D7" s="6" t="s">
        <v>484</v>
      </c>
      <c r="E7" s="6">
        <f>Plantilla!E9</f>
        <v>26</v>
      </c>
      <c r="F7" s="20">
        <f ca="1">Plantilla!F9</f>
        <v>45</v>
      </c>
      <c r="G7" s="89">
        <f>Plantilla!X9</f>
        <v>0</v>
      </c>
      <c r="H7" s="89">
        <f>Plantilla!Y9</f>
        <v>12.381818181818183</v>
      </c>
      <c r="I7" s="89">
        <f>Plantilla!Z9</f>
        <v>11.111111111111111</v>
      </c>
      <c r="J7" s="89">
        <f>Plantilla!AA9</f>
        <v>4.4000000000000004</v>
      </c>
      <c r="K7" s="89">
        <f>Plantilla!AB9</f>
        <v>11</v>
      </c>
      <c r="L7" s="89">
        <f>Plantilla!AC9</f>
        <v>4</v>
      </c>
      <c r="M7" s="89">
        <f>Plantilla!AD9</f>
        <v>13.5</v>
      </c>
      <c r="N7" s="37">
        <f>Plantilla!V9</f>
        <v>12870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358">
        <f t="shared" si="0"/>
        <v>161.5</v>
      </c>
      <c r="X7" t="s">
        <v>169</v>
      </c>
      <c r="Y7" s="6">
        <f>E7</f>
        <v>26</v>
      </c>
      <c r="Z7" s="6">
        <f ca="1">F7+(7*$AR$8)</f>
        <v>45</v>
      </c>
      <c r="AA7" s="55">
        <f t="shared" si="1"/>
        <v>0</v>
      </c>
      <c r="AB7" s="55">
        <f>11+7/10</f>
        <v>11.7</v>
      </c>
      <c r="AC7" s="55">
        <f t="shared" si="10"/>
        <v>11.111111111111111</v>
      </c>
      <c r="AD7" s="55">
        <f>J7</f>
        <v>4.4000000000000004</v>
      </c>
      <c r="AE7" s="55">
        <f t="shared" si="11"/>
        <v>11</v>
      </c>
      <c r="AF7" s="55">
        <f t="shared" si="12"/>
        <v>4</v>
      </c>
      <c r="AG7" s="55">
        <f t="shared" si="13"/>
        <v>13.5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358">
        <f t="shared" si="9"/>
        <v>161.5</v>
      </c>
      <c r="AR7" s="90" t="s">
        <v>137</v>
      </c>
      <c r="AS7" s="90" t="s">
        <v>485</v>
      </c>
    </row>
    <row r="8" spans="1:45" x14ac:dyDescent="0.25">
      <c r="A8" t="s">
        <v>173</v>
      </c>
      <c r="B8" s="18" t="s">
        <v>194</v>
      </c>
      <c r="C8" s="6"/>
      <c r="D8" s="6" t="s">
        <v>486</v>
      </c>
      <c r="E8" s="6">
        <f>Plantilla!E10</f>
        <v>26</v>
      </c>
      <c r="F8" s="20">
        <f ca="1">Plantilla!F10</f>
        <v>88</v>
      </c>
      <c r="G8" s="89">
        <f>Plantilla!X10</f>
        <v>0</v>
      </c>
      <c r="H8" s="89">
        <f>Plantilla!Y10</f>
        <v>14.1875</v>
      </c>
      <c r="I8" s="89">
        <f>Plantilla!Z10</f>
        <v>5.125</v>
      </c>
      <c r="J8" s="89">
        <f>Plantilla!AA10</f>
        <v>2</v>
      </c>
      <c r="K8" s="89">
        <f>Plantilla!AB10</f>
        <v>12.111111111111111</v>
      </c>
      <c r="L8" s="89">
        <f>Plantilla!AC10</f>
        <v>6</v>
      </c>
      <c r="M8" s="89">
        <f>Plantilla!AD10</f>
        <v>12.5</v>
      </c>
      <c r="N8" s="37">
        <f>Plantilla!V10</f>
        <v>21410</v>
      </c>
      <c r="O8" s="42">
        <v>0</v>
      </c>
      <c r="P8" s="42">
        <v>82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358">
        <f t="shared" si="0"/>
        <v>160.5</v>
      </c>
      <c r="X8" t="s">
        <v>173</v>
      </c>
      <c r="Y8" s="6">
        <f>E8+1</f>
        <v>27</v>
      </c>
      <c r="Z8" s="6">
        <f ca="1">F8+(7*$AR$8)-112</f>
        <v>-24</v>
      </c>
      <c r="AA8" s="55">
        <f t="shared" si="1"/>
        <v>0</v>
      </c>
      <c r="AB8" s="55">
        <f>H8</f>
        <v>14.1875</v>
      </c>
      <c r="AC8" s="55">
        <f t="shared" si="10"/>
        <v>5.125</v>
      </c>
      <c r="AD8" s="55">
        <f>J8</f>
        <v>2</v>
      </c>
      <c r="AE8" s="55">
        <f t="shared" si="11"/>
        <v>12.111111111111111</v>
      </c>
      <c r="AF8" s="55">
        <f t="shared" si="12"/>
        <v>6</v>
      </c>
      <c r="AG8" s="55">
        <f t="shared" si="13"/>
        <v>12.5</v>
      </c>
      <c r="AH8" s="37"/>
      <c r="AI8" s="42">
        <f t="shared" si="2"/>
        <v>0</v>
      </c>
      <c r="AJ8" s="42">
        <f t="shared" si="3"/>
        <v>82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358">
        <f t="shared" si="9"/>
        <v>160.5</v>
      </c>
      <c r="AQ8" s="90" t="s">
        <v>194</v>
      </c>
      <c r="AR8" s="54">
        <v>0</v>
      </c>
      <c r="AS8" s="97">
        <f>AR8/16</f>
        <v>0</v>
      </c>
    </row>
    <row r="9" spans="1:45" x14ac:dyDescent="0.25">
      <c r="A9" t="s">
        <v>162</v>
      </c>
      <c r="B9" s="18" t="s">
        <v>194</v>
      </c>
      <c r="C9" s="6" t="s">
        <v>165</v>
      </c>
      <c r="D9" s="6" t="s">
        <v>487</v>
      </c>
      <c r="E9" s="6">
        <f>Plantilla!E11</f>
        <v>26</v>
      </c>
      <c r="F9" s="20">
        <f ca="1">Plantilla!F11</f>
        <v>25</v>
      </c>
      <c r="G9" s="89">
        <f>Plantilla!X11</f>
        <v>0</v>
      </c>
      <c r="H9" s="89">
        <f>Plantilla!Y11</f>
        <v>13.583333333333334</v>
      </c>
      <c r="I9" s="89">
        <f>Plantilla!Z11</f>
        <v>4</v>
      </c>
      <c r="J9" s="89">
        <f>Plantilla!AA11</f>
        <v>13.133333333333333</v>
      </c>
      <c r="K9" s="89">
        <f>Plantilla!AB11</f>
        <v>8</v>
      </c>
      <c r="L9" s="89">
        <f>Plantilla!AC11</f>
        <v>7</v>
      </c>
      <c r="M9" s="89">
        <f>Plantilla!AD11</f>
        <v>14</v>
      </c>
      <c r="N9" s="37">
        <f>Plantilla!V11</f>
        <v>20710</v>
      </c>
      <c r="O9" s="42">
        <v>0</v>
      </c>
      <c r="P9" s="42">
        <v>75</v>
      </c>
      <c r="Q9" s="42">
        <v>6</v>
      </c>
      <c r="R9" s="42">
        <v>40</v>
      </c>
      <c r="S9" s="42">
        <v>18</v>
      </c>
      <c r="T9" s="42">
        <v>16</v>
      </c>
      <c r="U9" s="42">
        <v>16</v>
      </c>
      <c r="V9" s="358">
        <f t="shared" si="0"/>
        <v>171</v>
      </c>
      <c r="X9" t="s">
        <v>162</v>
      </c>
      <c r="Y9" s="6">
        <f>E9</f>
        <v>26</v>
      </c>
      <c r="Z9" s="6">
        <f ca="1">F9+(7*$AR$8)</f>
        <v>25</v>
      </c>
      <c r="AA9" s="55">
        <f t="shared" si="1"/>
        <v>0</v>
      </c>
      <c r="AB9" s="55">
        <f>12+10/11</f>
        <v>12.909090909090908</v>
      </c>
      <c r="AC9" s="55">
        <f t="shared" si="10"/>
        <v>4</v>
      </c>
      <c r="AD9" s="55">
        <v>12.5</v>
      </c>
      <c r="AE9" s="55">
        <f t="shared" si="11"/>
        <v>8</v>
      </c>
      <c r="AF9" s="55">
        <f t="shared" si="12"/>
        <v>7</v>
      </c>
      <c r="AG9" s="55">
        <f t="shared" si="13"/>
        <v>14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75</v>
      </c>
      <c r="AK9" s="42">
        <f t="shared" si="4"/>
        <v>6</v>
      </c>
      <c r="AL9" s="42">
        <f t="shared" si="5"/>
        <v>40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358">
        <f t="shared" si="9"/>
        <v>171</v>
      </c>
      <c r="AR9" s="98"/>
      <c r="AS9" s="98"/>
    </row>
    <row r="10" spans="1:45" x14ac:dyDescent="0.25">
      <c r="A10" t="s">
        <v>170</v>
      </c>
      <c r="B10" s="18" t="s">
        <v>194</v>
      </c>
      <c r="C10" s="6" t="s">
        <v>165</v>
      </c>
      <c r="D10" s="6" t="s">
        <v>488</v>
      </c>
      <c r="E10" s="6">
        <f>Plantilla!E13</f>
        <v>26</v>
      </c>
      <c r="F10" s="20">
        <f ca="1">Plantilla!F13</f>
        <v>25</v>
      </c>
      <c r="G10" s="89">
        <f>Plantilla!X13</f>
        <v>0</v>
      </c>
      <c r="H10" s="89">
        <f>Plantilla!Y13</f>
        <v>12.454545454545455</v>
      </c>
      <c r="I10" s="89">
        <f>Plantilla!Z13</f>
        <v>3.1666666666666665</v>
      </c>
      <c r="J10" s="89">
        <f>Plantilla!AA13</f>
        <v>12.714285714285714</v>
      </c>
      <c r="K10" s="89">
        <f>Plantilla!AB13</f>
        <v>9.1666666666666661</v>
      </c>
      <c r="L10" s="89">
        <f>Plantilla!AC13</f>
        <v>7.25</v>
      </c>
      <c r="M10" s="89">
        <f>Plantilla!AD13</f>
        <v>14.5</v>
      </c>
      <c r="N10" s="37">
        <f>Plantilla!V13</f>
        <v>12690</v>
      </c>
      <c r="O10" s="42">
        <v>0</v>
      </c>
      <c r="P10" s="42">
        <v>61</v>
      </c>
      <c r="Q10" s="42">
        <v>3.5</v>
      </c>
      <c r="R10" s="29">
        <v>41</v>
      </c>
      <c r="S10" s="42">
        <v>24</v>
      </c>
      <c r="T10" s="42">
        <v>17</v>
      </c>
      <c r="U10" s="42">
        <v>17</v>
      </c>
      <c r="V10" s="358">
        <f t="shared" si="0"/>
        <v>163.5</v>
      </c>
      <c r="X10" t="s">
        <v>170</v>
      </c>
      <c r="Y10" s="6">
        <f>E10</f>
        <v>26</v>
      </c>
      <c r="Z10" s="6">
        <f ca="1">F10+(7*$AR$8)</f>
        <v>25</v>
      </c>
      <c r="AA10" s="55">
        <f t="shared" si="1"/>
        <v>0</v>
      </c>
      <c r="AB10" s="55">
        <v>12</v>
      </c>
      <c r="AC10" s="55">
        <f t="shared" si="10"/>
        <v>3.1666666666666665</v>
      </c>
      <c r="AD10" s="55">
        <v>11.9</v>
      </c>
      <c r="AE10" s="55">
        <f t="shared" si="11"/>
        <v>9.1666666666666661</v>
      </c>
      <c r="AF10" s="55">
        <f t="shared" si="12"/>
        <v>7.25</v>
      </c>
      <c r="AG10" s="55">
        <f t="shared" si="13"/>
        <v>14.5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61</v>
      </c>
      <c r="AK10" s="42">
        <f t="shared" si="4"/>
        <v>3.5</v>
      </c>
      <c r="AL10" s="29">
        <f t="shared" si="5"/>
        <v>41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358">
        <f t="shared" si="9"/>
        <v>163.5</v>
      </c>
      <c r="AR10" s="98"/>
      <c r="AS10" s="98"/>
    </row>
    <row r="11" spans="1:45" x14ac:dyDescent="0.25">
      <c r="A11" t="s">
        <v>163</v>
      </c>
      <c r="B11" s="18" t="s">
        <v>489</v>
      </c>
      <c r="C11" s="6" t="s">
        <v>168</v>
      </c>
      <c r="D11" s="6" t="s">
        <v>490</v>
      </c>
      <c r="E11" s="6">
        <f>Plantilla!E16</f>
        <v>25</v>
      </c>
      <c r="F11" s="20">
        <f ca="1">Plantilla!F16</f>
        <v>107</v>
      </c>
      <c r="G11" s="89">
        <f>Plantilla!X16</f>
        <v>0</v>
      </c>
      <c r="H11" s="89">
        <f>Plantilla!Y16</f>
        <v>12.590909090909092</v>
      </c>
      <c r="I11" s="89">
        <f>Plantilla!Z16</f>
        <v>9.1428571428571423</v>
      </c>
      <c r="J11" s="89">
        <f>Plantilla!AA16</f>
        <v>4</v>
      </c>
      <c r="K11" s="89">
        <f>Plantilla!AB16</f>
        <v>8.8333333333333339</v>
      </c>
      <c r="L11" s="89">
        <f>Plantilla!AC16</f>
        <v>4</v>
      </c>
      <c r="M11" s="89">
        <f>Plantilla!AD16</f>
        <v>20</v>
      </c>
      <c r="N11" s="37">
        <f>Plantilla!V16</f>
        <v>13548</v>
      </c>
      <c r="O11" s="42">
        <v>0</v>
      </c>
      <c r="P11" s="42">
        <v>61.5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358">
        <f t="shared" si="0"/>
        <v>158</v>
      </c>
      <c r="X11" t="s">
        <v>163</v>
      </c>
      <c r="Y11" s="6">
        <f>E11</f>
        <v>25</v>
      </c>
      <c r="Z11" s="6">
        <f ca="1">F11+(7*$AR$8)</f>
        <v>107</v>
      </c>
      <c r="AA11" s="55">
        <f t="shared" si="1"/>
        <v>0</v>
      </c>
      <c r="AB11" s="55">
        <f>H11+2/10</f>
        <v>12.790909090909091</v>
      </c>
      <c r="AC11" s="55">
        <f t="shared" si="10"/>
        <v>9.1428571428571423</v>
      </c>
      <c r="AD11" s="55">
        <f>J11</f>
        <v>4</v>
      </c>
      <c r="AE11" s="55">
        <f t="shared" si="11"/>
        <v>8.8333333333333339</v>
      </c>
      <c r="AF11" s="55">
        <f t="shared" si="12"/>
        <v>4</v>
      </c>
      <c r="AG11" s="55">
        <f t="shared" si="13"/>
        <v>20</v>
      </c>
      <c r="AH11" s="37">
        <f>N11</f>
        <v>13548</v>
      </c>
      <c r="AI11" s="42">
        <f t="shared" si="2"/>
        <v>0</v>
      </c>
      <c r="AJ11" s="42">
        <f t="shared" si="3"/>
        <v>61.5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358">
        <f t="shared" si="9"/>
        <v>158</v>
      </c>
    </row>
    <row r="12" spans="1:45" x14ac:dyDescent="0.25">
      <c r="A12" t="s">
        <v>491</v>
      </c>
      <c r="B12" s="18" t="s">
        <v>489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358">
        <f t="shared" si="0"/>
        <v>0</v>
      </c>
      <c r="X12" t="s">
        <v>491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358">
        <f t="shared" si="9"/>
        <v>0</v>
      </c>
    </row>
    <row r="13" spans="1:45" x14ac:dyDescent="0.25">
      <c r="A13" t="s">
        <v>171</v>
      </c>
      <c r="B13" s="18" t="s">
        <v>492</v>
      </c>
      <c r="C13" s="6" t="s">
        <v>168</v>
      </c>
      <c r="D13" s="6" t="s">
        <v>493</v>
      </c>
      <c r="E13" s="6">
        <f>Plantilla!E14</f>
        <v>26</v>
      </c>
      <c r="F13" s="20">
        <f ca="1">Plantilla!F14</f>
        <v>21</v>
      </c>
      <c r="G13" s="89">
        <f>Plantilla!X14</f>
        <v>0</v>
      </c>
      <c r="H13" s="89">
        <f>Plantilla!Y14</f>
        <v>11.5</v>
      </c>
      <c r="I13" s="89">
        <f>Plantilla!Z14</f>
        <v>5.8250000000000002</v>
      </c>
      <c r="J13" s="89">
        <f>Plantilla!AA14</f>
        <v>14.888888888888889</v>
      </c>
      <c r="K13" s="89">
        <f>Plantilla!AB14</f>
        <v>9</v>
      </c>
      <c r="L13" s="89">
        <f>Plantilla!AC14</f>
        <v>7.5</v>
      </c>
      <c r="M13" s="89">
        <f>Plantilla!AD14</f>
        <v>15</v>
      </c>
      <c r="N13" s="37">
        <f>Plantilla!V14</f>
        <v>20760</v>
      </c>
      <c r="O13" s="42">
        <v>0</v>
      </c>
      <c r="P13" s="42">
        <v>51</v>
      </c>
      <c r="Q13" s="42">
        <v>11</v>
      </c>
      <c r="R13" s="42">
        <v>54</v>
      </c>
      <c r="S13" s="42">
        <v>23</v>
      </c>
      <c r="T13" s="42">
        <v>18</v>
      </c>
      <c r="U13" s="42">
        <v>18</v>
      </c>
      <c r="V13" s="358">
        <f t="shared" si="0"/>
        <v>175</v>
      </c>
      <c r="X13" t="s">
        <v>171</v>
      </c>
      <c r="Y13" s="6">
        <f>E13</f>
        <v>26</v>
      </c>
      <c r="Z13" s="6">
        <f ca="1">F13+(7*$AR$8)</f>
        <v>21</v>
      </c>
      <c r="AA13" s="55">
        <f t="shared" si="1"/>
        <v>0</v>
      </c>
      <c r="AB13" s="55">
        <f>10+6/9</f>
        <v>10.666666666666666</v>
      </c>
      <c r="AC13" s="55">
        <f t="shared" si="10"/>
        <v>5.8250000000000002</v>
      </c>
      <c r="AD13" s="55">
        <v>14</v>
      </c>
      <c r="AE13" s="55">
        <f t="shared" si="11"/>
        <v>9</v>
      </c>
      <c r="AF13" s="55">
        <f t="shared" si="12"/>
        <v>7.5</v>
      </c>
      <c r="AG13" s="55">
        <f t="shared" si="13"/>
        <v>15</v>
      </c>
      <c r="AH13" s="37">
        <f>(11610+300+145+150+1200)*1.016</f>
        <v>13619.48</v>
      </c>
      <c r="AI13" s="42">
        <f t="shared" si="2"/>
        <v>0</v>
      </c>
      <c r="AJ13" s="42">
        <f>P13+$AR$8</f>
        <v>51</v>
      </c>
      <c r="AK13" s="42">
        <f t="shared" si="4"/>
        <v>11</v>
      </c>
      <c r="AL13" s="42">
        <f t="shared" si="5"/>
        <v>54</v>
      </c>
      <c r="AM13" s="42">
        <f t="shared" si="6"/>
        <v>23</v>
      </c>
      <c r="AN13" s="42">
        <f t="shared" si="7"/>
        <v>18</v>
      </c>
      <c r="AO13" s="42">
        <f t="shared" si="8"/>
        <v>18</v>
      </c>
      <c r="AP13" s="358">
        <f t="shared" si="9"/>
        <v>175</v>
      </c>
    </row>
    <row r="14" spans="1:45" x14ac:dyDescent="0.25">
      <c r="A14" t="s">
        <v>494</v>
      </c>
      <c r="B14" s="18" t="s">
        <v>492</v>
      </c>
      <c r="C14" s="6" t="s">
        <v>168</v>
      </c>
      <c r="D14" s="6" t="s">
        <v>495</v>
      </c>
      <c r="E14" s="6">
        <f>Plantilla!E12</f>
        <v>25</v>
      </c>
      <c r="F14" s="20">
        <f ca="1">Plantilla!F12</f>
        <v>98</v>
      </c>
      <c r="G14" s="89">
        <f>Plantilla!X12</f>
        <v>0</v>
      </c>
      <c r="H14" s="89">
        <f>Plantilla!Y12</f>
        <v>13</v>
      </c>
      <c r="I14" s="89">
        <f>Plantilla!Z12</f>
        <v>3.1666666666666665</v>
      </c>
      <c r="J14" s="89">
        <f>Plantilla!AA12</f>
        <v>13.8</v>
      </c>
      <c r="K14" s="89">
        <f>Plantilla!AB12</f>
        <v>9.8333333333333339</v>
      </c>
      <c r="L14" s="89">
        <f>Plantilla!AC12</f>
        <v>7</v>
      </c>
      <c r="M14" s="89">
        <f>Plantilla!AD12</f>
        <v>14.5</v>
      </c>
      <c r="N14" s="37">
        <f>Plantilla!V12</f>
        <v>15490</v>
      </c>
      <c r="O14" s="42">
        <v>0</v>
      </c>
      <c r="P14" s="42">
        <v>67</v>
      </c>
      <c r="Q14" s="42">
        <v>3.5</v>
      </c>
      <c r="R14" s="42">
        <v>45.5</v>
      </c>
      <c r="S14" s="42">
        <v>26</v>
      </c>
      <c r="T14" s="42">
        <v>16</v>
      </c>
      <c r="U14" s="42">
        <v>17</v>
      </c>
      <c r="V14" s="358">
        <f t="shared" si="0"/>
        <v>175</v>
      </c>
      <c r="X14" t="s">
        <v>494</v>
      </c>
      <c r="Y14" s="6">
        <f>E14+1</f>
        <v>26</v>
      </c>
      <c r="Z14" s="6">
        <f ca="1">F14+(7*$AR$8)-112</f>
        <v>-14</v>
      </c>
      <c r="AA14" s="55">
        <f t="shared" si="1"/>
        <v>0</v>
      </c>
      <c r="AB14" s="55">
        <f>12+2/11</f>
        <v>12.181818181818182</v>
      </c>
      <c r="AC14" s="55">
        <f t="shared" si="10"/>
        <v>3.1666666666666665</v>
      </c>
      <c r="AD14" s="55">
        <f>12+5/6</f>
        <v>12.833333333333334</v>
      </c>
      <c r="AE14" s="55">
        <f t="shared" si="11"/>
        <v>9.8333333333333339</v>
      </c>
      <c r="AF14" s="55">
        <f t="shared" si="12"/>
        <v>7</v>
      </c>
      <c r="AG14" s="55">
        <f t="shared" si="13"/>
        <v>14.5</v>
      </c>
      <c r="AH14" s="37">
        <f>(7000+165+125+245+3505)*1.012</f>
        <v>11172.48</v>
      </c>
      <c r="AI14" s="42">
        <f t="shared" si="2"/>
        <v>0</v>
      </c>
      <c r="AJ14" s="42">
        <f>P14+$AR$8</f>
        <v>67</v>
      </c>
      <c r="AK14" s="42">
        <f t="shared" si="4"/>
        <v>3.5</v>
      </c>
      <c r="AL14" s="42">
        <f t="shared" si="5"/>
        <v>45.5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358">
        <f t="shared" si="9"/>
        <v>175</v>
      </c>
    </row>
    <row r="15" spans="1:45" x14ac:dyDescent="0.25">
      <c r="A15" t="s">
        <v>159</v>
      </c>
      <c r="B15" s="18" t="s">
        <v>492</v>
      </c>
      <c r="C15" s="6" t="s">
        <v>165</v>
      </c>
      <c r="D15" s="6" t="s">
        <v>496</v>
      </c>
      <c r="E15" s="6">
        <f>Plantilla!E15</f>
        <v>26</v>
      </c>
      <c r="F15" s="20">
        <f ca="1">Plantilla!F15</f>
        <v>21</v>
      </c>
      <c r="G15" s="89">
        <f>Plantilla!X15</f>
        <v>0</v>
      </c>
      <c r="H15" s="89">
        <f>Plantilla!Y15</f>
        <v>11.8</v>
      </c>
      <c r="I15" s="89">
        <f>Plantilla!Z15</f>
        <v>5.25</v>
      </c>
      <c r="J15" s="89">
        <f>Plantilla!AA15</f>
        <v>14</v>
      </c>
      <c r="K15" s="89">
        <f>Plantilla!AB15</f>
        <v>8.4</v>
      </c>
      <c r="L15" s="89">
        <f>Plantilla!AC15</f>
        <v>8</v>
      </c>
      <c r="M15" s="89">
        <f>Plantilla!AD15</f>
        <v>14</v>
      </c>
      <c r="N15" s="37">
        <f>Plantilla!V15</f>
        <v>15810</v>
      </c>
      <c r="O15" s="42">
        <v>0</v>
      </c>
      <c r="P15" s="42">
        <v>54</v>
      </c>
      <c r="Q15" s="42">
        <v>10</v>
      </c>
      <c r="R15" s="42">
        <v>45.5</v>
      </c>
      <c r="S15" s="42">
        <v>20</v>
      </c>
      <c r="T15" s="42">
        <v>21</v>
      </c>
      <c r="U15" s="42">
        <v>16</v>
      </c>
      <c r="V15" s="358">
        <f t="shared" si="0"/>
        <v>166.5</v>
      </c>
      <c r="X15" t="s">
        <v>159</v>
      </c>
      <c r="Y15" s="6">
        <f>E15</f>
        <v>26</v>
      </c>
      <c r="Z15" s="6">
        <f ca="1">F15+(7*$AR$8)</f>
        <v>21</v>
      </c>
      <c r="AA15" s="55">
        <f t="shared" si="1"/>
        <v>0</v>
      </c>
      <c r="AB15" s="55">
        <f>11+1/10</f>
        <v>11.1</v>
      </c>
      <c r="AC15" s="55">
        <f t="shared" si="10"/>
        <v>5.25</v>
      </c>
      <c r="AD15" s="55">
        <f>13+2/6</f>
        <v>13.333333333333334</v>
      </c>
      <c r="AE15" s="55">
        <f t="shared" si="11"/>
        <v>8.4</v>
      </c>
      <c r="AF15" s="55">
        <f t="shared" si="12"/>
        <v>8</v>
      </c>
      <c r="AG15" s="55">
        <f t="shared" si="13"/>
        <v>14</v>
      </c>
      <c r="AH15" s="37">
        <f>(9000+135+135+350+3900)*1.012</f>
        <v>13682.24</v>
      </c>
      <c r="AI15" s="42">
        <f t="shared" si="2"/>
        <v>0</v>
      </c>
      <c r="AJ15" s="42">
        <f>P15+$AR$8</f>
        <v>54</v>
      </c>
      <c r="AK15" s="42">
        <f t="shared" si="4"/>
        <v>10</v>
      </c>
      <c r="AL15" s="42">
        <f t="shared" si="5"/>
        <v>45.5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358">
        <f t="shared" si="9"/>
        <v>166.5</v>
      </c>
    </row>
    <row r="16" spans="1:45" x14ac:dyDescent="0.25">
      <c r="N16" s="77">
        <f>SUM(N18:N30)</f>
        <v>207709.18000000002</v>
      </c>
      <c r="AH16" s="77">
        <f>SUM(AH18:AH30)</f>
        <v>236304.655</v>
      </c>
    </row>
    <row r="17" spans="1:45" x14ac:dyDescent="0.25">
      <c r="A17" s="13" t="s">
        <v>467</v>
      </c>
      <c r="B17" s="13" t="s">
        <v>109</v>
      </c>
      <c r="C17" s="13" t="s">
        <v>468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131</v>
      </c>
      <c r="H17" s="13" t="s">
        <v>132</v>
      </c>
      <c r="I17" s="13" t="s">
        <v>133</v>
      </c>
      <c r="J17" s="13" t="s">
        <v>134</v>
      </c>
      <c r="K17" s="13" t="s">
        <v>135</v>
      </c>
      <c r="L17" s="13" t="s">
        <v>136</v>
      </c>
      <c r="M17" s="13" t="s">
        <v>114</v>
      </c>
      <c r="N17" s="13" t="s">
        <v>471</v>
      </c>
      <c r="O17" s="13" t="s">
        <v>472</v>
      </c>
      <c r="P17" s="13" t="s">
        <v>473</v>
      </c>
      <c r="Q17" s="13" t="s">
        <v>474</v>
      </c>
      <c r="R17" s="13" t="s">
        <v>475</v>
      </c>
      <c r="S17" s="13" t="s">
        <v>476</v>
      </c>
      <c r="T17" s="13" t="s">
        <v>477</v>
      </c>
      <c r="U17" s="13" t="s">
        <v>478</v>
      </c>
      <c r="V17" s="13" t="s">
        <v>479</v>
      </c>
      <c r="X17" s="13" t="s">
        <v>467</v>
      </c>
      <c r="Y17" s="13" t="str">
        <f>Y2</f>
        <v>Año</v>
      </c>
      <c r="Z17" s="13" t="str">
        <f>Z2</f>
        <v>Dia</v>
      </c>
      <c r="AA17" s="13" t="s">
        <v>131</v>
      </c>
      <c r="AB17" s="13" t="s">
        <v>132</v>
      </c>
      <c r="AC17" s="13" t="s">
        <v>133</v>
      </c>
      <c r="AD17" s="13" t="s">
        <v>134</v>
      </c>
      <c r="AE17" s="13" t="s">
        <v>135</v>
      </c>
      <c r="AF17" s="13" t="s">
        <v>136</v>
      </c>
      <c r="AG17" s="13" t="s">
        <v>114</v>
      </c>
      <c r="AH17" s="13" t="s">
        <v>471</v>
      </c>
      <c r="AI17" s="13" t="s">
        <v>472</v>
      </c>
      <c r="AJ17" s="13" t="s">
        <v>473</v>
      </c>
      <c r="AK17" s="13" t="s">
        <v>474</v>
      </c>
      <c r="AL17" s="13" t="s">
        <v>475</v>
      </c>
      <c r="AM17" s="13" t="s">
        <v>476</v>
      </c>
      <c r="AN17" s="13" t="s">
        <v>477</v>
      </c>
      <c r="AO17" s="13" t="s">
        <v>478</v>
      </c>
      <c r="AP17" s="13" t="s">
        <v>479</v>
      </c>
    </row>
    <row r="18" spans="1:45" x14ac:dyDescent="0.25">
      <c r="A18" t="s">
        <v>153</v>
      </c>
      <c r="B18" s="18" t="s">
        <v>154</v>
      </c>
      <c r="C18" s="6"/>
      <c r="D18" s="6" t="str">
        <f>D3</f>
        <v>C. Fonteboa</v>
      </c>
      <c r="E18" s="6">
        <f t="shared" ref="E18:E26" si="14">Y3</f>
        <v>26</v>
      </c>
      <c r="F18" s="6">
        <f t="shared" ref="F18:F26" ca="1" si="15">Z3</f>
        <v>32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1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15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61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358">
        <f t="shared" ref="V18:V30" si="31">SUM(O18:U18)</f>
        <v>130.5</v>
      </c>
      <c r="X18" t="s">
        <v>153</v>
      </c>
      <c r="Y18" s="6">
        <f>E18+2</f>
        <v>28</v>
      </c>
      <c r="Z18" s="6">
        <f ca="1">F18+(($AR$22+$AR$23)*7)-112-112</f>
        <v>11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1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61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358">
        <f t="shared" ref="AP18:AP30" si="35">SUM(AI18:AO18)</f>
        <v>145.5</v>
      </c>
    </row>
    <row r="19" spans="1:45" x14ac:dyDescent="0.25">
      <c r="A19" t="s">
        <v>156</v>
      </c>
      <c r="B19" s="18" t="s">
        <v>194</v>
      </c>
      <c r="C19" s="6"/>
      <c r="D19" s="6" t="str">
        <f>D4</f>
        <v>M. Fernandez</v>
      </c>
      <c r="E19" s="6">
        <f t="shared" si="14"/>
        <v>26</v>
      </c>
      <c r="F19" s="6">
        <f t="shared" ca="1" si="15"/>
        <v>29</v>
      </c>
      <c r="G19" s="55">
        <f t="shared" si="16"/>
        <v>0</v>
      </c>
      <c r="H19" s="55">
        <f t="shared" si="17"/>
        <v>15.166666666666666</v>
      </c>
      <c r="I19" s="55">
        <f t="shared" si="18"/>
        <v>6</v>
      </c>
      <c r="J19" s="55">
        <f t="shared" si="19"/>
        <v>5.2</v>
      </c>
      <c r="K19" s="55">
        <f t="shared" si="20"/>
        <v>9</v>
      </c>
      <c r="L19" s="55">
        <f t="shared" si="21"/>
        <v>2</v>
      </c>
      <c r="M19" s="55">
        <f t="shared" si="22"/>
        <v>13.5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358">
        <f t="shared" si="31"/>
        <v>165.3</v>
      </c>
      <c r="X19" t="s">
        <v>156</v>
      </c>
      <c r="Y19" s="6">
        <f>E19+2</f>
        <v>28</v>
      </c>
      <c r="Z19" s="6">
        <f ca="1">F19+(($AR$22+$AR$23)*7)-112-112</f>
        <v>8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6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2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358">
        <f t="shared" si="35"/>
        <v>194.3</v>
      </c>
    </row>
    <row r="20" spans="1:45" x14ac:dyDescent="0.25">
      <c r="A20" t="s">
        <v>166</v>
      </c>
      <c r="B20" s="18" t="s">
        <v>194</v>
      </c>
      <c r="C20" s="6"/>
      <c r="D20" s="6" t="str">
        <f>D5</f>
        <v>B. Abandero</v>
      </c>
      <c r="E20" s="6">
        <f t="shared" si="14"/>
        <v>26</v>
      </c>
      <c r="F20" s="6">
        <f t="shared" ca="1" si="15"/>
        <v>60</v>
      </c>
      <c r="G20" s="55">
        <f t="shared" si="16"/>
        <v>0</v>
      </c>
      <c r="H20" s="55">
        <f t="shared" si="17"/>
        <v>13.416666666666666</v>
      </c>
      <c r="I20" s="55">
        <f t="shared" si="18"/>
        <v>3</v>
      </c>
      <c r="J20" s="55">
        <f t="shared" si="19"/>
        <v>7.083333333333333</v>
      </c>
      <c r="K20" s="55">
        <f t="shared" si="20"/>
        <v>11.857142857142858</v>
      </c>
      <c r="L20" s="55">
        <f t="shared" si="21"/>
        <v>4</v>
      </c>
      <c r="M20" s="55">
        <f t="shared" si="22"/>
        <v>14</v>
      </c>
      <c r="N20" s="37">
        <f t="shared" si="23"/>
        <v>13492.08</v>
      </c>
      <c r="O20" s="42">
        <f t="shared" si="24"/>
        <v>0</v>
      </c>
      <c r="P20" s="42">
        <f t="shared" si="25"/>
        <v>82</v>
      </c>
      <c r="Q20" s="42">
        <f t="shared" si="26"/>
        <v>3</v>
      </c>
      <c r="R20" s="42">
        <f t="shared" si="27"/>
        <v>15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358">
        <f t="shared" si="31"/>
        <v>164</v>
      </c>
      <c r="X20" t="s">
        <v>166</v>
      </c>
      <c r="Y20" s="6">
        <f>E20+2</f>
        <v>28</v>
      </c>
      <c r="Z20" s="6">
        <f ca="1">F20+(($AR$22+$AR$23)*7)-112-112</f>
        <v>39</v>
      </c>
      <c r="AA20" s="55">
        <f t="shared" si="36"/>
        <v>0</v>
      </c>
      <c r="AB20" s="55">
        <f t="shared" si="37"/>
        <v>13.416666666666666</v>
      </c>
      <c r="AC20" s="55">
        <f t="shared" si="38"/>
        <v>3</v>
      </c>
      <c r="AD20" s="55">
        <f t="shared" si="39"/>
        <v>7.083333333333333</v>
      </c>
      <c r="AE20" s="55">
        <v>12</v>
      </c>
      <c r="AF20" s="55">
        <f t="shared" si="40"/>
        <v>4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82</v>
      </c>
      <c r="AK20" s="42">
        <f t="shared" si="43"/>
        <v>3</v>
      </c>
      <c r="AL20" s="42">
        <f t="shared" si="44"/>
        <v>15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358">
        <f t="shared" si="35"/>
        <v>193</v>
      </c>
      <c r="AQ20" s="90"/>
    </row>
    <row r="21" spans="1:45" x14ac:dyDescent="0.25">
      <c r="A21" t="s">
        <v>160</v>
      </c>
      <c r="B21" s="18" t="s">
        <v>194</v>
      </c>
      <c r="C21" s="6"/>
      <c r="D21" s="6" t="str">
        <f>D6</f>
        <v>I. R. Figueroa</v>
      </c>
      <c r="E21" s="6">
        <f t="shared" si="14"/>
        <v>26</v>
      </c>
      <c r="F21" s="6">
        <f t="shared" ca="1" si="15"/>
        <v>10</v>
      </c>
      <c r="G21" s="55">
        <f t="shared" si="16"/>
        <v>0</v>
      </c>
      <c r="H21" s="55">
        <f t="shared" si="17"/>
        <v>15.166666666666666</v>
      </c>
      <c r="I21" s="55">
        <f t="shared" si="18"/>
        <v>5</v>
      </c>
      <c r="J21" s="55">
        <f t="shared" si="19"/>
        <v>7.875</v>
      </c>
      <c r="K21" s="55">
        <f t="shared" si="20"/>
        <v>8.6666666666666661</v>
      </c>
      <c r="L21" s="55">
        <f t="shared" si="21"/>
        <v>1</v>
      </c>
      <c r="M21" s="55">
        <f t="shared" si="22"/>
        <v>13</v>
      </c>
      <c r="N21" s="37">
        <f t="shared" si="23"/>
        <v>28513.599999999999</v>
      </c>
      <c r="O21" s="42">
        <f t="shared" si="24"/>
        <v>0</v>
      </c>
      <c r="P21" s="42">
        <f t="shared" si="25"/>
        <v>104</v>
      </c>
      <c r="Q21" s="42">
        <f t="shared" si="26"/>
        <v>9</v>
      </c>
      <c r="R21" s="42">
        <f t="shared" si="27"/>
        <v>14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358">
        <f t="shared" si="31"/>
        <v>163</v>
      </c>
      <c r="X21" t="s">
        <v>160</v>
      </c>
      <c r="Y21" s="6">
        <f>E21+2</f>
        <v>28</v>
      </c>
      <c r="Z21" s="6">
        <f ca="1">F21+(($AR$22+$AR$23)*7)-112-112</f>
        <v>-11</v>
      </c>
      <c r="AA21" s="55">
        <f t="shared" si="36"/>
        <v>0</v>
      </c>
      <c r="AB21" s="55">
        <f t="shared" si="37"/>
        <v>15.166666666666666</v>
      </c>
      <c r="AC21" s="55">
        <f t="shared" si="38"/>
        <v>5</v>
      </c>
      <c r="AD21" s="55">
        <f t="shared" si="39"/>
        <v>7.875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104</v>
      </c>
      <c r="AK21" s="42">
        <f t="shared" si="43"/>
        <v>9</v>
      </c>
      <c r="AL21" s="42">
        <f t="shared" si="44"/>
        <v>14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358">
        <f t="shared" si="35"/>
        <v>192</v>
      </c>
      <c r="AQ21" s="90"/>
      <c r="AR21" s="90" t="s">
        <v>137</v>
      </c>
      <c r="AS21" s="90" t="s">
        <v>485</v>
      </c>
    </row>
    <row r="22" spans="1:45" x14ac:dyDescent="0.25">
      <c r="A22" t="s">
        <v>169</v>
      </c>
      <c r="B22" s="18" t="s">
        <v>194</v>
      </c>
      <c r="C22" s="6"/>
      <c r="D22" s="6" t="str">
        <f>D7</f>
        <v>G. Pedrajas</v>
      </c>
      <c r="E22" s="6">
        <f t="shared" si="14"/>
        <v>26</v>
      </c>
      <c r="F22" s="6">
        <f t="shared" ca="1" si="15"/>
        <v>45</v>
      </c>
      <c r="G22" s="55">
        <f t="shared" si="16"/>
        <v>0</v>
      </c>
      <c r="H22" s="55">
        <f t="shared" si="17"/>
        <v>11.7</v>
      </c>
      <c r="I22" s="55">
        <f t="shared" si="18"/>
        <v>11.111111111111111</v>
      </c>
      <c r="J22" s="55">
        <f t="shared" si="19"/>
        <v>4.4000000000000004</v>
      </c>
      <c r="K22" s="55">
        <f t="shared" si="20"/>
        <v>11</v>
      </c>
      <c r="L22" s="55">
        <f t="shared" si="21"/>
        <v>4</v>
      </c>
      <c r="M22" s="55">
        <f t="shared" si="22"/>
        <v>13.5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358">
        <f t="shared" si="31"/>
        <v>161.5</v>
      </c>
      <c r="X22" t="s">
        <v>169</v>
      </c>
      <c r="Y22" s="6">
        <f>E22+2</f>
        <v>28</v>
      </c>
      <c r="Z22" s="6">
        <f ca="1">F22+(($AR$22+$AR$23)*7)-112-112</f>
        <v>24</v>
      </c>
      <c r="AA22" s="55">
        <f t="shared" si="36"/>
        <v>0</v>
      </c>
      <c r="AB22" s="55">
        <f t="shared" si="37"/>
        <v>11.7</v>
      </c>
      <c r="AC22" s="55">
        <f t="shared" si="38"/>
        <v>11.111111111111111</v>
      </c>
      <c r="AD22" s="55">
        <f t="shared" si="39"/>
        <v>4.4000000000000004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358">
        <f t="shared" si="35"/>
        <v>190.5</v>
      </c>
      <c r="AQ22" s="90" t="s">
        <v>497</v>
      </c>
      <c r="AR22" s="54">
        <v>14</v>
      </c>
      <c r="AS22" s="97">
        <f>AR22/16</f>
        <v>0.875</v>
      </c>
    </row>
    <row r="23" spans="1:45" x14ac:dyDescent="0.25">
      <c r="A23" t="s">
        <v>173</v>
      </c>
      <c r="B23" s="18" t="s">
        <v>194</v>
      </c>
      <c r="C23" s="6"/>
      <c r="D23" s="6" t="s">
        <v>486</v>
      </c>
      <c r="E23" s="6">
        <f t="shared" si="14"/>
        <v>27</v>
      </c>
      <c r="F23" s="6">
        <f t="shared" ca="1" si="15"/>
        <v>-24</v>
      </c>
      <c r="G23" s="55">
        <f t="shared" si="16"/>
        <v>0</v>
      </c>
      <c r="H23" s="55">
        <f t="shared" si="17"/>
        <v>14.1875</v>
      </c>
      <c r="I23" s="55">
        <f t="shared" si="18"/>
        <v>5.125</v>
      </c>
      <c r="J23" s="55">
        <f t="shared" si="19"/>
        <v>2</v>
      </c>
      <c r="K23" s="55">
        <f t="shared" si="20"/>
        <v>12.111111111111111</v>
      </c>
      <c r="L23" s="55">
        <f t="shared" si="21"/>
        <v>6</v>
      </c>
      <c r="M23" s="55">
        <f t="shared" si="22"/>
        <v>12.5</v>
      </c>
      <c r="N23" s="37">
        <f t="shared" si="23"/>
        <v>0</v>
      </c>
      <c r="O23" s="42">
        <f t="shared" si="24"/>
        <v>0</v>
      </c>
      <c r="P23" s="42">
        <f t="shared" si="25"/>
        <v>82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358">
        <f t="shared" si="31"/>
        <v>160.5</v>
      </c>
      <c r="X23" t="s">
        <v>173</v>
      </c>
      <c r="Y23" s="6">
        <f>E23+1</f>
        <v>28</v>
      </c>
      <c r="Z23" s="6">
        <f ca="1">F23+(($AR$22+$AR$23)*7)-112</f>
        <v>67</v>
      </c>
      <c r="AA23" s="55">
        <f t="shared" si="36"/>
        <v>0</v>
      </c>
      <c r="AB23" s="55">
        <f t="shared" si="37"/>
        <v>14.1875</v>
      </c>
      <c r="AC23" s="55">
        <f t="shared" si="38"/>
        <v>5.125</v>
      </c>
      <c r="AD23" s="55">
        <f t="shared" si="39"/>
        <v>2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82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358">
        <f t="shared" si="35"/>
        <v>189.5</v>
      </c>
      <c r="AQ23" s="90" t="s">
        <v>199</v>
      </c>
      <c r="AR23" s="54">
        <v>15</v>
      </c>
      <c r="AS23" s="97">
        <f>AR23/16</f>
        <v>0.9375</v>
      </c>
    </row>
    <row r="24" spans="1:45" x14ac:dyDescent="0.25">
      <c r="A24" t="s">
        <v>162</v>
      </c>
      <c r="B24" s="18" t="s">
        <v>194</v>
      </c>
      <c r="C24" s="6" t="s">
        <v>165</v>
      </c>
      <c r="D24" s="6" t="s">
        <v>487</v>
      </c>
      <c r="E24" s="6">
        <f t="shared" si="14"/>
        <v>26</v>
      </c>
      <c r="F24" s="6">
        <f t="shared" ca="1" si="15"/>
        <v>25</v>
      </c>
      <c r="G24" s="55">
        <f t="shared" si="16"/>
        <v>0</v>
      </c>
      <c r="H24" s="55">
        <f t="shared" si="17"/>
        <v>12.909090909090908</v>
      </c>
      <c r="I24" s="55">
        <f t="shared" si="18"/>
        <v>4</v>
      </c>
      <c r="J24" s="55">
        <f t="shared" si="19"/>
        <v>12.5</v>
      </c>
      <c r="K24" s="55">
        <f t="shared" si="20"/>
        <v>8</v>
      </c>
      <c r="L24" s="55">
        <f t="shared" si="21"/>
        <v>7</v>
      </c>
      <c r="M24" s="55">
        <f t="shared" si="22"/>
        <v>14</v>
      </c>
      <c r="N24" s="37">
        <f t="shared" si="23"/>
        <v>16606.920000000002</v>
      </c>
      <c r="O24" s="42">
        <f t="shared" si="24"/>
        <v>0</v>
      </c>
      <c r="P24" s="42">
        <f t="shared" si="25"/>
        <v>75</v>
      </c>
      <c r="Q24" s="42">
        <f t="shared" si="26"/>
        <v>6</v>
      </c>
      <c r="R24" s="42">
        <f t="shared" si="27"/>
        <v>40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358">
        <f t="shared" si="31"/>
        <v>171</v>
      </c>
      <c r="X24" t="s">
        <v>162</v>
      </c>
      <c r="Y24" s="6">
        <f>E24+2</f>
        <v>28</v>
      </c>
      <c r="Z24" s="6">
        <f ca="1">F24+(($AR$22+$AR$23)*7)-112-112</f>
        <v>4</v>
      </c>
      <c r="AA24" s="55">
        <f t="shared" si="36"/>
        <v>0</v>
      </c>
      <c r="AB24" s="55">
        <f t="shared" si="37"/>
        <v>12.909090909090908</v>
      </c>
      <c r="AC24" s="55">
        <f t="shared" si="38"/>
        <v>4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75</v>
      </c>
      <c r="AK24" s="42">
        <f t="shared" si="43"/>
        <v>6</v>
      </c>
      <c r="AL24" s="42">
        <f t="shared" si="44"/>
        <v>40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358">
        <f t="shared" si="35"/>
        <v>200</v>
      </c>
      <c r="AQ24" s="90"/>
    </row>
    <row r="25" spans="1:45" x14ac:dyDescent="0.25">
      <c r="A25" t="s">
        <v>170</v>
      </c>
      <c r="B25" s="18" t="s">
        <v>194</v>
      </c>
      <c r="C25" s="6" t="s">
        <v>165</v>
      </c>
      <c r="D25" s="6" t="s">
        <v>488</v>
      </c>
      <c r="E25" s="6">
        <f t="shared" si="14"/>
        <v>26</v>
      </c>
      <c r="F25" s="6">
        <f t="shared" ca="1" si="15"/>
        <v>25</v>
      </c>
      <c r="G25" s="55">
        <f t="shared" si="16"/>
        <v>0</v>
      </c>
      <c r="H25" s="55">
        <f t="shared" si="17"/>
        <v>12</v>
      </c>
      <c r="I25" s="55">
        <f t="shared" si="18"/>
        <v>3.1666666666666665</v>
      </c>
      <c r="J25" s="55">
        <f t="shared" si="19"/>
        <v>11.9</v>
      </c>
      <c r="K25" s="55">
        <f t="shared" si="20"/>
        <v>9.1666666666666661</v>
      </c>
      <c r="L25" s="55">
        <f t="shared" si="21"/>
        <v>7.25</v>
      </c>
      <c r="M25" s="55">
        <f t="shared" si="22"/>
        <v>14.5</v>
      </c>
      <c r="N25" s="37">
        <f t="shared" si="23"/>
        <v>16606.920000000002</v>
      </c>
      <c r="O25" s="42">
        <f t="shared" si="24"/>
        <v>0</v>
      </c>
      <c r="P25" s="42">
        <f t="shared" si="25"/>
        <v>61</v>
      </c>
      <c r="Q25" s="42">
        <f t="shared" si="26"/>
        <v>3.5</v>
      </c>
      <c r="R25" s="29">
        <f t="shared" si="27"/>
        <v>41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358">
        <f t="shared" si="31"/>
        <v>163.5</v>
      </c>
      <c r="X25" t="s">
        <v>170</v>
      </c>
      <c r="Y25" s="6">
        <f>E25+2</f>
        <v>28</v>
      </c>
      <c r="Z25" s="6">
        <f ca="1">F25+(($AR$22+$AR$23)*7)-112-112</f>
        <v>4</v>
      </c>
      <c r="AA25" s="55">
        <f t="shared" si="36"/>
        <v>0</v>
      </c>
      <c r="AB25" s="55">
        <f t="shared" si="37"/>
        <v>12</v>
      </c>
      <c r="AC25" s="55">
        <f t="shared" si="38"/>
        <v>3.1666666666666665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61</v>
      </c>
      <c r="AK25" s="42">
        <f t="shared" si="43"/>
        <v>3.5</v>
      </c>
      <c r="AL25" s="29">
        <f t="shared" si="44"/>
        <v>41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358">
        <f t="shared" si="35"/>
        <v>192.5</v>
      </c>
      <c r="AQ25" s="90"/>
    </row>
    <row r="26" spans="1:45" x14ac:dyDescent="0.25">
      <c r="A26" t="s">
        <v>163</v>
      </c>
      <c r="B26" s="18" t="s">
        <v>489</v>
      </c>
      <c r="C26" s="6" t="s">
        <v>168</v>
      </c>
      <c r="D26" s="6" t="str">
        <f>D11</f>
        <v>J. Gräbitz</v>
      </c>
      <c r="E26" s="6">
        <f t="shared" si="14"/>
        <v>25</v>
      </c>
      <c r="F26" s="6">
        <f t="shared" ca="1" si="15"/>
        <v>107</v>
      </c>
      <c r="G26" s="55">
        <f t="shared" si="16"/>
        <v>0</v>
      </c>
      <c r="H26" s="55">
        <f t="shared" si="17"/>
        <v>12.790909090909091</v>
      </c>
      <c r="I26" s="55">
        <f t="shared" si="18"/>
        <v>9.1428571428571423</v>
      </c>
      <c r="J26" s="55">
        <f t="shared" si="19"/>
        <v>4</v>
      </c>
      <c r="K26" s="55">
        <f t="shared" si="20"/>
        <v>8.8333333333333339</v>
      </c>
      <c r="L26" s="55">
        <f t="shared" si="21"/>
        <v>4</v>
      </c>
      <c r="M26" s="55">
        <f t="shared" si="22"/>
        <v>20</v>
      </c>
      <c r="N26" s="37">
        <f t="shared" si="23"/>
        <v>13548</v>
      </c>
      <c r="O26" s="42">
        <f t="shared" si="24"/>
        <v>0</v>
      </c>
      <c r="P26" s="42">
        <f t="shared" si="25"/>
        <v>61.5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358">
        <f t="shared" si="31"/>
        <v>158</v>
      </c>
      <c r="X26" t="s">
        <v>163</v>
      </c>
      <c r="Y26" s="6">
        <f>E26+2</f>
        <v>27</v>
      </c>
      <c r="Z26" s="6">
        <f ca="1">F26+(($AR$22+$AR$23)*7)-112-112</f>
        <v>86</v>
      </c>
      <c r="AA26" s="55">
        <f t="shared" si="36"/>
        <v>0</v>
      </c>
      <c r="AB26" s="55">
        <f t="shared" si="37"/>
        <v>12.790909090909091</v>
      </c>
      <c r="AC26" s="55">
        <f t="shared" si="38"/>
        <v>9.1428571428571423</v>
      </c>
      <c r="AD26" s="55">
        <f t="shared" si="39"/>
        <v>4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61.5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358">
        <f t="shared" si="35"/>
        <v>187</v>
      </c>
    </row>
    <row r="27" spans="1:45" x14ac:dyDescent="0.25">
      <c r="A27" t="s">
        <v>491</v>
      </c>
      <c r="B27" s="18" t="s">
        <v>489</v>
      </c>
      <c r="C27" s="6" t="s">
        <v>498</v>
      </c>
      <c r="D27" s="6" t="s">
        <v>499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358">
        <f t="shared" si="31"/>
        <v>126</v>
      </c>
      <c r="X27" t="s">
        <v>491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358">
        <f t="shared" si="35"/>
        <v>155</v>
      </c>
    </row>
    <row r="28" spans="1:45" x14ac:dyDescent="0.25">
      <c r="A28" t="s">
        <v>171</v>
      </c>
      <c r="B28" s="18" t="s">
        <v>492</v>
      </c>
      <c r="C28" s="6" t="s">
        <v>168</v>
      </c>
      <c r="D28" s="6" t="s">
        <v>493</v>
      </c>
      <c r="E28" s="6">
        <f t="shared" ref="E28:F30" si="47">Y13</f>
        <v>26</v>
      </c>
      <c r="F28" s="6">
        <f t="shared" ca="1" si="47"/>
        <v>21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5.8250000000000002</v>
      </c>
      <c r="J28" s="55">
        <f t="shared" si="48"/>
        <v>14</v>
      </c>
      <c r="K28" s="55">
        <f t="shared" si="48"/>
        <v>9</v>
      </c>
      <c r="L28" s="55">
        <f t="shared" si="48"/>
        <v>7.5</v>
      </c>
      <c r="M28" s="55">
        <f t="shared" si="48"/>
        <v>15</v>
      </c>
      <c r="N28" s="37">
        <f t="shared" si="48"/>
        <v>13619.48</v>
      </c>
      <c r="O28" s="42">
        <f>AI13</f>
        <v>0</v>
      </c>
      <c r="P28" s="42">
        <f t="shared" ref="P28:U30" si="49">AJ13</f>
        <v>51</v>
      </c>
      <c r="Q28" s="42">
        <f t="shared" si="49"/>
        <v>11</v>
      </c>
      <c r="R28" s="42">
        <f t="shared" si="49"/>
        <v>54</v>
      </c>
      <c r="S28" s="42">
        <f t="shared" si="49"/>
        <v>23</v>
      </c>
      <c r="T28" s="42">
        <f t="shared" si="49"/>
        <v>18</v>
      </c>
      <c r="U28" s="42">
        <f t="shared" si="49"/>
        <v>18</v>
      </c>
      <c r="V28" s="358">
        <f t="shared" si="31"/>
        <v>175</v>
      </c>
      <c r="X28" t="s">
        <v>171</v>
      </c>
      <c r="Y28" s="6">
        <f>E28+2</f>
        <v>28</v>
      </c>
      <c r="Z28" s="6">
        <f ca="1">F28+(($AR$22+$AR$23)*7)-112-112</f>
        <v>0</v>
      </c>
      <c r="AA28" s="55">
        <f t="shared" si="36"/>
        <v>0</v>
      </c>
      <c r="AB28" s="55">
        <f t="shared" si="37"/>
        <v>10.666666666666666</v>
      </c>
      <c r="AC28" s="55">
        <f t="shared" si="38"/>
        <v>5.8250000000000002</v>
      </c>
      <c r="AD28" s="55">
        <f t="shared" si="39"/>
        <v>14</v>
      </c>
      <c r="AE28" s="55">
        <f>9+1/7</f>
        <v>9.1428571428571423</v>
      </c>
      <c r="AF28" s="55">
        <f t="shared" si="40"/>
        <v>7.5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51</v>
      </c>
      <c r="AK28" s="42">
        <f t="shared" si="43"/>
        <v>11</v>
      </c>
      <c r="AL28" s="42">
        <f t="shared" si="44"/>
        <v>54</v>
      </c>
      <c r="AM28" s="42">
        <f t="shared" si="45"/>
        <v>37</v>
      </c>
      <c r="AN28" s="42">
        <f t="shared" si="46"/>
        <v>18</v>
      </c>
      <c r="AO28" s="42">
        <f>U28+$AR$23</f>
        <v>33</v>
      </c>
      <c r="AP28" s="358">
        <f t="shared" si="35"/>
        <v>204</v>
      </c>
    </row>
    <row r="29" spans="1:45" x14ac:dyDescent="0.25">
      <c r="A29" t="s">
        <v>494</v>
      </c>
      <c r="B29" s="18" t="s">
        <v>492</v>
      </c>
      <c r="C29" s="6" t="s">
        <v>168</v>
      </c>
      <c r="D29" s="6" t="s">
        <v>495</v>
      </c>
      <c r="E29" s="6">
        <f t="shared" si="47"/>
        <v>26</v>
      </c>
      <c r="F29" s="6">
        <f t="shared" ca="1" si="47"/>
        <v>-14</v>
      </c>
      <c r="G29" s="55">
        <f>AA14</f>
        <v>0</v>
      </c>
      <c r="H29" s="55">
        <f t="shared" si="48"/>
        <v>12.181818181818182</v>
      </c>
      <c r="I29" s="55">
        <f t="shared" si="48"/>
        <v>3.1666666666666665</v>
      </c>
      <c r="J29" s="55">
        <f t="shared" si="48"/>
        <v>12.833333333333334</v>
      </c>
      <c r="K29" s="55">
        <f t="shared" si="48"/>
        <v>9.8333333333333339</v>
      </c>
      <c r="L29" s="55">
        <f t="shared" si="48"/>
        <v>7</v>
      </c>
      <c r="M29" s="55">
        <f t="shared" si="48"/>
        <v>14.5</v>
      </c>
      <c r="N29" s="37">
        <f t="shared" si="48"/>
        <v>11172.48</v>
      </c>
      <c r="O29" s="42">
        <f>AI14</f>
        <v>0</v>
      </c>
      <c r="P29" s="42">
        <f t="shared" si="49"/>
        <v>67</v>
      </c>
      <c r="Q29" s="42">
        <f t="shared" si="49"/>
        <v>3.5</v>
      </c>
      <c r="R29" s="42">
        <f t="shared" si="49"/>
        <v>45.5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358">
        <f t="shared" si="31"/>
        <v>175</v>
      </c>
      <c r="X29" t="s">
        <v>494</v>
      </c>
      <c r="Y29" s="6">
        <f>E29+1</f>
        <v>27</v>
      </c>
      <c r="Z29" s="6">
        <f ca="1">F29+(($AR$22+$AR$23)*7)-112</f>
        <v>77</v>
      </c>
      <c r="AA29" s="55">
        <f t="shared" si="36"/>
        <v>0</v>
      </c>
      <c r="AB29" s="55">
        <f t="shared" si="37"/>
        <v>12.181818181818182</v>
      </c>
      <c r="AC29" s="55">
        <f t="shared" si="38"/>
        <v>3.1666666666666665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67</v>
      </c>
      <c r="AK29" s="42">
        <f t="shared" si="43"/>
        <v>3.5</v>
      </c>
      <c r="AL29" s="42">
        <f t="shared" si="44"/>
        <v>45.5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358">
        <f t="shared" si="35"/>
        <v>204</v>
      </c>
    </row>
    <row r="30" spans="1:45" x14ac:dyDescent="0.25">
      <c r="A30" t="s">
        <v>159</v>
      </c>
      <c r="B30" s="18" t="s">
        <v>492</v>
      </c>
      <c r="C30" s="6" t="s">
        <v>165</v>
      </c>
      <c r="D30" s="6" t="s">
        <v>496</v>
      </c>
      <c r="E30" s="6">
        <f t="shared" si="47"/>
        <v>26</v>
      </c>
      <c r="F30" s="6">
        <f t="shared" ca="1" si="47"/>
        <v>21</v>
      </c>
      <c r="G30" s="55">
        <f>AA15</f>
        <v>0</v>
      </c>
      <c r="H30" s="55">
        <f t="shared" si="48"/>
        <v>11.1</v>
      </c>
      <c r="I30" s="55">
        <f t="shared" si="48"/>
        <v>5.25</v>
      </c>
      <c r="J30" s="55">
        <f t="shared" si="48"/>
        <v>13.333333333333334</v>
      </c>
      <c r="K30" s="55">
        <f t="shared" si="48"/>
        <v>8.4</v>
      </c>
      <c r="L30" s="55">
        <f t="shared" si="48"/>
        <v>8</v>
      </c>
      <c r="M30" s="55">
        <f t="shared" si="48"/>
        <v>14</v>
      </c>
      <c r="N30" s="37">
        <f t="shared" si="48"/>
        <v>13682.24</v>
      </c>
      <c r="O30" s="42">
        <f>AI15</f>
        <v>0</v>
      </c>
      <c r="P30" s="42">
        <f t="shared" si="49"/>
        <v>54</v>
      </c>
      <c r="Q30" s="42">
        <f t="shared" si="49"/>
        <v>10</v>
      </c>
      <c r="R30" s="42">
        <f t="shared" si="49"/>
        <v>45.5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358">
        <f t="shared" si="31"/>
        <v>166.5</v>
      </c>
      <c r="X30" t="s">
        <v>159</v>
      </c>
      <c r="Y30" s="6">
        <f>E30+2</f>
        <v>28</v>
      </c>
      <c r="Z30" s="6">
        <f ca="1">F30+(($AR$22+$AR$23)*7)-112-112</f>
        <v>0</v>
      </c>
      <c r="AA30" s="55">
        <f t="shared" si="36"/>
        <v>0</v>
      </c>
      <c r="AB30" s="55">
        <f t="shared" si="37"/>
        <v>11.1</v>
      </c>
      <c r="AC30" s="55">
        <f t="shared" si="38"/>
        <v>5.25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54</v>
      </c>
      <c r="AK30" s="42">
        <f t="shared" si="43"/>
        <v>10</v>
      </c>
      <c r="AL30" s="42">
        <f t="shared" si="44"/>
        <v>45.5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358">
        <f t="shared" si="35"/>
        <v>195.5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ABF8F"/>
  </sheetPr>
  <dimension ref="A1:AL120"/>
  <sheetViews>
    <sheetView zoomScale="80" workbookViewId="0">
      <pane xSplit="13" ySplit="1" topLeftCell="N2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.4257812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5" customWidth="1"/>
    <col min="11" max="11" width="23" customWidth="1"/>
    <col min="12" max="12" width="17.42578125" customWidth="1"/>
    <col min="13" max="30" width="18" customWidth="1"/>
  </cols>
  <sheetData>
    <row r="1" spans="1:37" ht="21" x14ac:dyDescent="0.35">
      <c r="A1" s="239"/>
      <c r="B1" s="239"/>
      <c r="C1" s="239"/>
      <c r="D1" s="476" t="s">
        <v>500</v>
      </c>
      <c r="E1" s="477"/>
      <c r="F1" s="477"/>
      <c r="G1" s="477"/>
      <c r="H1" s="477"/>
      <c r="I1" s="478"/>
      <c r="K1" s="239"/>
      <c r="L1" s="239"/>
      <c r="M1" s="239"/>
      <c r="N1" s="240">
        <v>43757</v>
      </c>
      <c r="O1" s="240">
        <f t="shared" ref="O1:AC1" si="0">N1+7</f>
        <v>43764</v>
      </c>
      <c r="P1" s="240">
        <f t="shared" si="0"/>
        <v>43771</v>
      </c>
      <c r="Q1" s="240">
        <f t="shared" si="0"/>
        <v>43778</v>
      </c>
      <c r="R1" s="240">
        <f t="shared" si="0"/>
        <v>43785</v>
      </c>
      <c r="S1" s="240">
        <f t="shared" si="0"/>
        <v>43792</v>
      </c>
      <c r="T1" s="240">
        <f t="shared" si="0"/>
        <v>43799</v>
      </c>
      <c r="U1" s="240">
        <f t="shared" si="0"/>
        <v>43806</v>
      </c>
      <c r="V1" s="240">
        <f t="shared" si="0"/>
        <v>43813</v>
      </c>
      <c r="W1" s="240">
        <f t="shared" si="0"/>
        <v>43820</v>
      </c>
      <c r="X1" s="240">
        <f t="shared" si="0"/>
        <v>43827</v>
      </c>
      <c r="Y1" s="240">
        <f t="shared" si="0"/>
        <v>43834</v>
      </c>
      <c r="Z1" s="240">
        <f t="shared" si="0"/>
        <v>43841</v>
      </c>
      <c r="AA1" s="240">
        <f t="shared" si="0"/>
        <v>43848</v>
      </c>
      <c r="AB1" s="240">
        <f t="shared" si="0"/>
        <v>43855</v>
      </c>
      <c r="AC1" s="240">
        <f t="shared" si="0"/>
        <v>43862</v>
      </c>
    </row>
    <row r="2" spans="1:37" x14ac:dyDescent="0.25">
      <c r="A2" s="43"/>
      <c r="B2" s="43"/>
      <c r="C2" s="43"/>
      <c r="D2" s="479" t="s">
        <v>501</v>
      </c>
      <c r="E2" s="480"/>
      <c r="F2" s="481"/>
      <c r="G2" s="481"/>
      <c r="H2" s="481"/>
      <c r="I2" s="482"/>
      <c r="K2" s="43"/>
      <c r="L2" s="43"/>
      <c r="M2" s="43" t="s">
        <v>502</v>
      </c>
      <c r="N2" s="408" t="s">
        <v>503</v>
      </c>
      <c r="O2" s="242" t="s">
        <v>504</v>
      </c>
      <c r="P2" s="242" t="s">
        <v>505</v>
      </c>
      <c r="Q2" s="242" t="s">
        <v>506</v>
      </c>
      <c r="R2" s="242" t="s">
        <v>507</v>
      </c>
      <c r="S2" s="242" t="s">
        <v>508</v>
      </c>
      <c r="T2" s="242" t="s">
        <v>509</v>
      </c>
      <c r="U2" s="242" t="s">
        <v>510</v>
      </c>
      <c r="V2" s="242" t="s">
        <v>511</v>
      </c>
      <c r="W2" s="242" t="s">
        <v>512</v>
      </c>
      <c r="X2" s="242" t="s">
        <v>513</v>
      </c>
      <c r="Y2" s="242" t="s">
        <v>514</v>
      </c>
      <c r="Z2" s="242" t="s">
        <v>515</v>
      </c>
      <c r="AA2" s="242" t="s">
        <v>516</v>
      </c>
      <c r="AB2" s="242" t="s">
        <v>517</v>
      </c>
      <c r="AC2" s="242" t="s">
        <v>518</v>
      </c>
    </row>
    <row r="3" spans="1:37" ht="18.75" x14ac:dyDescent="0.3">
      <c r="A3" s="41"/>
      <c r="B3" s="41"/>
      <c r="C3" s="41"/>
      <c r="D3" s="483" t="s">
        <v>519</v>
      </c>
      <c r="E3" s="484"/>
      <c r="F3" s="243"/>
      <c r="G3" s="485" t="s">
        <v>520</v>
      </c>
      <c r="H3" s="486"/>
      <c r="I3" s="244"/>
      <c r="K3" s="41"/>
      <c r="L3" s="90"/>
      <c r="M3" s="90" t="s">
        <v>521</v>
      </c>
      <c r="N3" s="409">
        <v>2101</v>
      </c>
      <c r="O3" s="246">
        <f t="shared" ref="O3:AC3" si="1">N3+N11/30</f>
        <v>2105</v>
      </c>
      <c r="P3" s="246">
        <f t="shared" si="1"/>
        <v>2113</v>
      </c>
      <c r="Q3" s="246">
        <f t="shared" si="1"/>
        <v>2123</v>
      </c>
      <c r="R3" s="246">
        <f t="shared" si="1"/>
        <v>2133</v>
      </c>
      <c r="S3" s="246">
        <f t="shared" si="1"/>
        <v>2142</v>
      </c>
      <c r="T3" s="246">
        <f t="shared" si="1"/>
        <v>2152</v>
      </c>
      <c r="U3" s="246">
        <f t="shared" si="1"/>
        <v>2160</v>
      </c>
      <c r="V3" s="246">
        <f t="shared" si="1"/>
        <v>2168</v>
      </c>
      <c r="W3" s="246">
        <f t="shared" si="1"/>
        <v>2176</v>
      </c>
      <c r="X3" s="246">
        <f t="shared" si="1"/>
        <v>2184</v>
      </c>
      <c r="Y3" s="246">
        <f t="shared" si="1"/>
        <v>2192</v>
      </c>
      <c r="Z3" s="246">
        <f t="shared" si="1"/>
        <v>2200</v>
      </c>
      <c r="AA3" s="246">
        <f t="shared" si="1"/>
        <v>2206</v>
      </c>
      <c r="AB3" s="246">
        <f t="shared" si="1"/>
        <v>2212</v>
      </c>
      <c r="AC3" s="246">
        <f t="shared" si="1"/>
        <v>2220</v>
      </c>
    </row>
    <row r="4" spans="1:37" ht="18.75" x14ac:dyDescent="0.3">
      <c r="A4" s="41"/>
      <c r="B4" s="41"/>
      <c r="C4" s="41"/>
      <c r="D4" s="247"/>
      <c r="E4" s="248"/>
      <c r="F4" s="249"/>
      <c r="G4" s="250"/>
      <c r="H4" s="249"/>
      <c r="I4" s="251"/>
      <c r="K4" s="252" t="s">
        <v>522</v>
      </c>
      <c r="L4" s="252"/>
      <c r="M4" s="253">
        <f>AD43-AD52</f>
        <v>11299694</v>
      </c>
      <c r="N4" s="416">
        <f>M4</f>
        <v>11299694</v>
      </c>
      <c r="O4" s="254">
        <f t="shared" ref="O4:AC4" si="2">N4-N13+N23</f>
        <v>10799694</v>
      </c>
      <c r="P4" s="254">
        <f t="shared" si="2"/>
        <v>10299694</v>
      </c>
      <c r="Q4" s="254">
        <f t="shared" si="2"/>
        <v>9799694</v>
      </c>
      <c r="R4" s="254">
        <f t="shared" si="2"/>
        <v>9299694</v>
      </c>
      <c r="S4" s="254">
        <f t="shared" si="2"/>
        <v>8799694</v>
      </c>
      <c r="T4" s="254">
        <f t="shared" si="2"/>
        <v>8299694</v>
      </c>
      <c r="U4" s="254">
        <f t="shared" si="2"/>
        <v>7799694</v>
      </c>
      <c r="V4" s="254">
        <f t="shared" si="2"/>
        <v>7299694</v>
      </c>
      <c r="W4" s="254">
        <f t="shared" si="2"/>
        <v>6799694</v>
      </c>
      <c r="X4" s="254">
        <f t="shared" si="2"/>
        <v>6299694</v>
      </c>
      <c r="Y4" s="254">
        <f t="shared" si="2"/>
        <v>5799694</v>
      </c>
      <c r="Z4" s="254">
        <f t="shared" si="2"/>
        <v>5299694</v>
      </c>
      <c r="AA4" s="254">
        <f t="shared" si="2"/>
        <v>4799694</v>
      </c>
      <c r="AB4" s="254">
        <f t="shared" si="2"/>
        <v>4299694</v>
      </c>
      <c r="AC4" s="254">
        <f t="shared" si="2"/>
        <v>3799694</v>
      </c>
    </row>
    <row r="5" spans="1:37" ht="18.75" x14ac:dyDescent="0.3">
      <c r="A5" s="255"/>
      <c r="B5" s="255"/>
      <c r="C5" s="255"/>
      <c r="D5" s="247" t="s">
        <v>523</v>
      </c>
      <c r="E5" s="256">
        <f>SUM(E6:E8)</f>
        <v>6219750</v>
      </c>
      <c r="F5" s="257">
        <f>E5/E35</f>
        <v>8.619008603164563E-2</v>
      </c>
      <c r="G5" s="247" t="s">
        <v>524</v>
      </c>
      <c r="H5" s="258">
        <f>H6+H7</f>
        <v>66666908</v>
      </c>
      <c r="I5" s="259">
        <f>H5/$H$74</f>
        <v>0.80764388557843592</v>
      </c>
      <c r="K5" s="260" t="s">
        <v>525</v>
      </c>
      <c r="L5" s="260"/>
      <c r="M5" s="261">
        <f>AD65</f>
        <v>10158019</v>
      </c>
      <c r="N5" s="416">
        <f>M5</f>
        <v>10158019</v>
      </c>
      <c r="O5" s="262">
        <f t="shared" ref="O5:AC5" si="3">N26</f>
        <v>10411148</v>
      </c>
      <c r="P5" s="262">
        <f t="shared" si="3"/>
        <v>10724597.384388324</v>
      </c>
      <c r="Q5" s="262">
        <f t="shared" si="3"/>
        <v>11515350.603804525</v>
      </c>
      <c r="R5" s="262">
        <f t="shared" si="3"/>
        <v>12026821.30665792</v>
      </c>
      <c r="S5" s="262">
        <f t="shared" si="3"/>
        <v>12648046.295178747</v>
      </c>
      <c r="T5" s="262">
        <f t="shared" si="3"/>
        <v>13310605.245654313</v>
      </c>
      <c r="U5" s="262">
        <f t="shared" si="3"/>
        <v>13605817.497868154</v>
      </c>
      <c r="V5" s="262">
        <f t="shared" si="3"/>
        <v>14273655.816005249</v>
      </c>
      <c r="W5" s="262">
        <f t="shared" si="3"/>
        <v>14543485.178091178</v>
      </c>
      <c r="X5" s="262">
        <f t="shared" si="3"/>
        <v>15201984.584125943</v>
      </c>
      <c r="Y5" s="262">
        <f t="shared" si="3"/>
        <v>15479739.034109544</v>
      </c>
      <c r="Z5" s="262">
        <f t="shared" si="3"/>
        <v>15748516.528041981</v>
      </c>
      <c r="AA5" s="262">
        <f t="shared" si="3"/>
        <v>16429515.065923255</v>
      </c>
      <c r="AB5" s="262">
        <f t="shared" si="3"/>
        <v>17148047.66972778</v>
      </c>
      <c r="AC5" s="262">
        <f t="shared" si="3"/>
        <v>17439369.317481142</v>
      </c>
    </row>
    <row r="6" spans="1:37" x14ac:dyDescent="0.25">
      <c r="A6" s="263" t="str">
        <f t="shared" ref="A6:A13" si="4">L6</f>
        <v>Taquillas</v>
      </c>
      <c r="B6" s="264">
        <f t="shared" ref="B6:B13" si="5">M6/$M$53</f>
        <v>0.20024518541390554</v>
      </c>
      <c r="D6" s="265" t="s">
        <v>526</v>
      </c>
      <c r="E6" s="266">
        <f>2231620+305380</f>
        <v>2537000</v>
      </c>
      <c r="F6" s="58">
        <f>E6/E35</f>
        <v>3.5156436876447601E-2</v>
      </c>
      <c r="G6" s="267" t="s">
        <v>527</v>
      </c>
      <c r="H6" s="268">
        <v>300000</v>
      </c>
      <c r="I6" s="269">
        <f>H6/$H$74</f>
        <v>3.6343843286316918E-3</v>
      </c>
      <c r="K6" s="270" t="s">
        <v>528</v>
      </c>
      <c r="L6" s="270" t="s">
        <v>528</v>
      </c>
      <c r="M6" s="271">
        <f t="shared" ref="M6:M25" si="6">SUM(N6:AC6)</f>
        <v>3474771</v>
      </c>
      <c r="N6" s="410">
        <v>7904</v>
      </c>
      <c r="O6" s="272">
        <v>74243</v>
      </c>
      <c r="P6" s="272">
        <v>543126</v>
      </c>
      <c r="Q6" s="272">
        <v>259003</v>
      </c>
      <c r="R6" s="272">
        <f>29598+336329</f>
        <v>365927</v>
      </c>
      <c r="S6" s="272">
        <f>36229+369218</f>
        <v>405447</v>
      </c>
      <c r="T6" s="272">
        <v>37304</v>
      </c>
      <c r="U6" s="272">
        <f>400709+8561</f>
        <v>409270</v>
      </c>
      <c r="V6" s="272">
        <v>10821</v>
      </c>
      <c r="W6" s="272">
        <v>399051</v>
      </c>
      <c r="X6" s="272">
        <v>17866</v>
      </c>
      <c r="Y6" s="272">
        <v>8449</v>
      </c>
      <c r="Z6" s="272">
        <v>420290</v>
      </c>
      <c r="AA6" s="272">
        <v>457164</v>
      </c>
      <c r="AB6" s="272">
        <v>29453</v>
      </c>
      <c r="AC6" s="272">
        <v>29453</v>
      </c>
    </row>
    <row r="7" spans="1:37" x14ac:dyDescent="0.25">
      <c r="A7" s="263" t="str">
        <f t="shared" si="4"/>
        <v>Patrocinadores</v>
      </c>
      <c r="B7" s="264">
        <f t="shared" si="5"/>
        <v>0.11081295943361641</v>
      </c>
      <c r="D7" s="265" t="s">
        <v>394</v>
      </c>
      <c r="E7" s="266">
        <f>102000+300+2105000+1475000+450</f>
        <v>3682750</v>
      </c>
      <c r="F7" s="58">
        <f>E7/E35</f>
        <v>5.1033649155198028E-2</v>
      </c>
      <c r="G7" s="267" t="s">
        <v>529</v>
      </c>
      <c r="H7" s="268">
        <f>63754290+151930+937650+1523038</f>
        <v>66366908</v>
      </c>
      <c r="I7" s="269">
        <f>H7/$H$74</f>
        <v>0.80400950124980419</v>
      </c>
      <c r="K7" s="270" t="s">
        <v>530</v>
      </c>
      <c r="L7" s="270" t="s">
        <v>530</v>
      </c>
      <c r="M7" s="271">
        <f t="shared" si="6"/>
        <v>1922890.9652345022</v>
      </c>
      <c r="N7" s="411">
        <v>90655</v>
      </c>
      <c r="O7" s="273">
        <v>104516.38438832403</v>
      </c>
      <c r="P7" s="273">
        <v>112877.219416202</v>
      </c>
      <c r="Q7" s="273">
        <v>117717.70285339454</v>
      </c>
      <c r="R7" s="273">
        <v>120577.98852082647</v>
      </c>
      <c r="S7" s="273">
        <v>122361.95047556573</v>
      </c>
      <c r="T7" s="273">
        <v>123218.25221384056</v>
      </c>
      <c r="U7" s="273">
        <v>123878.31813709407</v>
      </c>
      <c r="V7" s="273">
        <v>124318.36208592977</v>
      </c>
      <c r="W7" s="273">
        <v>124758.40603476544</v>
      </c>
      <c r="X7" s="273">
        <v>125198.44998360112</v>
      </c>
      <c r="Y7" s="273">
        <v>125638.4939324368</v>
      </c>
      <c r="Z7" s="273">
        <v>126078.53788127248</v>
      </c>
      <c r="AA7" s="273">
        <v>126738.60380452601</v>
      </c>
      <c r="AB7" s="273">
        <v>127178.64775336169</v>
      </c>
      <c r="AC7" s="273">
        <f>AB7</f>
        <v>127178.64775336169</v>
      </c>
    </row>
    <row r="8" spans="1:37" x14ac:dyDescent="0.25">
      <c r="A8" s="263" t="str">
        <f t="shared" si="4"/>
        <v>Ventas</v>
      </c>
      <c r="B8" s="264">
        <f t="shared" si="5"/>
        <v>0</v>
      </c>
      <c r="D8" s="274" t="s">
        <v>531</v>
      </c>
      <c r="E8" s="275">
        <v>0</v>
      </c>
      <c r="F8" s="58">
        <f>E8/E35</f>
        <v>0</v>
      </c>
      <c r="G8" s="276"/>
      <c r="H8" s="277"/>
      <c r="I8" s="259"/>
      <c r="K8" s="270" t="s">
        <v>532</v>
      </c>
      <c r="L8" s="270" t="s">
        <v>533</v>
      </c>
      <c r="M8" s="271">
        <f t="shared" si="6"/>
        <v>0</v>
      </c>
      <c r="N8" s="410">
        <v>0</v>
      </c>
      <c r="O8" s="272">
        <v>0</v>
      </c>
      <c r="P8" s="272">
        <v>0</v>
      </c>
      <c r="Q8" s="272">
        <v>0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v>0</v>
      </c>
      <c r="Z8" s="272">
        <v>0</v>
      </c>
      <c r="AA8" s="272">
        <v>0</v>
      </c>
      <c r="AB8" s="272">
        <v>0</v>
      </c>
      <c r="AC8" s="272">
        <v>0</v>
      </c>
      <c r="AE8" s="277"/>
      <c r="AF8" s="277"/>
    </row>
    <row r="9" spans="1:37" x14ac:dyDescent="0.25">
      <c r="A9" s="263" t="str">
        <f t="shared" si="4"/>
        <v>VentasCantera</v>
      </c>
      <c r="B9" s="264">
        <f t="shared" si="5"/>
        <v>0</v>
      </c>
      <c r="D9" s="278"/>
      <c r="E9" s="248"/>
      <c r="F9" s="257"/>
      <c r="G9" s="276"/>
      <c r="H9" s="277"/>
      <c r="I9" s="259"/>
      <c r="K9" s="270"/>
      <c r="L9" s="270" t="s">
        <v>534</v>
      </c>
      <c r="M9" s="271">
        <f t="shared" si="6"/>
        <v>0</v>
      </c>
      <c r="N9" s="410">
        <v>0</v>
      </c>
      <c r="O9" s="272">
        <v>0</v>
      </c>
      <c r="P9" s="272">
        <v>0</v>
      </c>
      <c r="Q9" s="272">
        <v>0</v>
      </c>
      <c r="R9" s="272">
        <v>0</v>
      </c>
      <c r="S9" s="272">
        <v>0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v>0</v>
      </c>
      <c r="Z9" s="272">
        <v>0</v>
      </c>
      <c r="AA9" s="272">
        <v>0</v>
      </c>
      <c r="AB9" s="272">
        <v>0</v>
      </c>
      <c r="AC9" s="272">
        <v>0</v>
      </c>
    </row>
    <row r="10" spans="1:37" x14ac:dyDescent="0.25">
      <c r="A10" s="263" t="str">
        <f t="shared" si="4"/>
        <v>Comisiones</v>
      </c>
      <c r="B10" s="264">
        <f t="shared" si="5"/>
        <v>1.8441059664780722E-3</v>
      </c>
      <c r="D10" s="247" t="s">
        <v>535</v>
      </c>
      <c r="E10" s="256">
        <f>E11+E12+E13</f>
        <v>3299694</v>
      </c>
      <c r="F10" s="257">
        <f>E10/E35</f>
        <v>4.5725456768858058E-2</v>
      </c>
      <c r="G10" s="247" t="s">
        <v>536</v>
      </c>
      <c r="H10" s="258">
        <f>SUM(H11:H16)</f>
        <v>-364536.03476549778</v>
      </c>
      <c r="I10" s="259">
        <f t="shared" ref="I10:I16" si="7">H10/$H$74</f>
        <v>-4.4162135065775425E-3</v>
      </c>
      <c r="K10" s="270" t="s">
        <v>537</v>
      </c>
      <c r="L10" s="270" t="s">
        <v>537</v>
      </c>
      <c r="M10" s="271">
        <f t="shared" si="6"/>
        <v>32000</v>
      </c>
      <c r="N10" s="411">
        <v>2000</v>
      </c>
      <c r="O10" s="273">
        <f t="shared" ref="O10:AC10" si="8">N10</f>
        <v>2000</v>
      </c>
      <c r="P10" s="273">
        <f t="shared" si="8"/>
        <v>2000</v>
      </c>
      <c r="Q10" s="273">
        <f t="shared" si="8"/>
        <v>2000</v>
      </c>
      <c r="R10" s="273">
        <f t="shared" si="8"/>
        <v>2000</v>
      </c>
      <c r="S10" s="273">
        <f t="shared" si="8"/>
        <v>2000</v>
      </c>
      <c r="T10" s="273">
        <f t="shared" si="8"/>
        <v>2000</v>
      </c>
      <c r="U10" s="273">
        <f t="shared" si="8"/>
        <v>2000</v>
      </c>
      <c r="V10" s="273">
        <f t="shared" si="8"/>
        <v>2000</v>
      </c>
      <c r="W10" s="273">
        <f t="shared" si="8"/>
        <v>2000</v>
      </c>
      <c r="X10" s="273">
        <f t="shared" si="8"/>
        <v>2000</v>
      </c>
      <c r="Y10" s="273">
        <f t="shared" si="8"/>
        <v>2000</v>
      </c>
      <c r="Z10" s="273">
        <f t="shared" si="8"/>
        <v>2000</v>
      </c>
      <c r="AA10" s="273">
        <f t="shared" si="8"/>
        <v>2000</v>
      </c>
      <c r="AB10" s="273">
        <f t="shared" si="8"/>
        <v>2000</v>
      </c>
      <c r="AC10" s="273">
        <f t="shared" si="8"/>
        <v>2000</v>
      </c>
    </row>
    <row r="11" spans="1:37" x14ac:dyDescent="0.25">
      <c r="A11" s="263" t="str">
        <f t="shared" si="4"/>
        <v>Nuevos Socios</v>
      </c>
      <c r="B11" s="264">
        <f t="shared" si="5"/>
        <v>3.8381607993553928E-3</v>
      </c>
      <c r="D11" s="279" t="s">
        <v>538</v>
      </c>
      <c r="E11" s="280">
        <f>N4</f>
        <v>11299694</v>
      </c>
      <c r="F11" s="58">
        <f>E11/E35</f>
        <v>0.15658532866936292</v>
      </c>
      <c r="G11" s="281" t="s">
        <v>539</v>
      </c>
      <c r="H11" s="282">
        <v>0</v>
      </c>
      <c r="I11" s="269">
        <f t="shared" si="7"/>
        <v>0</v>
      </c>
      <c r="K11" s="467" t="s">
        <v>540</v>
      </c>
      <c r="L11" s="270" t="s">
        <v>541</v>
      </c>
      <c r="M11" s="271">
        <f t="shared" si="6"/>
        <v>66602</v>
      </c>
      <c r="N11" s="411">
        <v>120</v>
      </c>
      <c r="O11" s="273">
        <v>240</v>
      </c>
      <c r="P11" s="273">
        <v>300</v>
      </c>
      <c r="Q11" s="273">
        <v>300</v>
      </c>
      <c r="R11" s="273">
        <v>270</v>
      </c>
      <c r="S11" s="273">
        <v>300</v>
      </c>
      <c r="T11" s="273">
        <v>240</v>
      </c>
      <c r="U11" s="273">
        <v>240</v>
      </c>
      <c r="V11" s="273">
        <v>240</v>
      </c>
      <c r="W11" s="273">
        <v>240</v>
      </c>
      <c r="X11" s="273">
        <f>W11</f>
        <v>240</v>
      </c>
      <c r="Y11" s="273">
        <f>X11</f>
        <v>240</v>
      </c>
      <c r="Z11" s="273">
        <v>180</v>
      </c>
      <c r="AA11" s="273">
        <v>180</v>
      </c>
      <c r="AB11" s="273">
        <v>240</v>
      </c>
      <c r="AC11" s="273">
        <f>57032+5730+150+120</f>
        <v>63032</v>
      </c>
    </row>
    <row r="12" spans="1:37" x14ac:dyDescent="0.25">
      <c r="A12" s="263" t="str">
        <f t="shared" si="4"/>
        <v>Premios</v>
      </c>
      <c r="B12" s="264">
        <f t="shared" si="5"/>
        <v>0</v>
      </c>
      <c r="D12" s="279" t="str">
        <f>L13</f>
        <v>Ing Reservas</v>
      </c>
      <c r="E12" s="347">
        <f>M13*-1</f>
        <v>-8000000</v>
      </c>
      <c r="F12" s="58">
        <f>E12/E35</f>
        <v>-0.11085987190050485</v>
      </c>
      <c r="G12" s="281" t="s">
        <v>542</v>
      </c>
      <c r="H12" s="282">
        <v>0</v>
      </c>
      <c r="I12" s="269">
        <f t="shared" si="7"/>
        <v>0</v>
      </c>
      <c r="K12" s="468"/>
      <c r="L12" s="270" t="s">
        <v>543</v>
      </c>
      <c r="M12" s="271">
        <f t="shared" si="6"/>
        <v>0</v>
      </c>
      <c r="N12" s="411">
        <v>0</v>
      </c>
      <c r="O12" s="273">
        <v>0</v>
      </c>
      <c r="P12" s="273">
        <v>0</v>
      </c>
      <c r="Q12" s="273">
        <v>0</v>
      </c>
      <c r="R12" s="273">
        <v>0</v>
      </c>
      <c r="S12" s="273">
        <v>0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</row>
    <row r="13" spans="1:37" ht="18.75" x14ac:dyDescent="0.3">
      <c r="A13" s="263" t="str">
        <f t="shared" si="4"/>
        <v>Ing Reservas</v>
      </c>
      <c r="B13" s="264">
        <f t="shared" si="5"/>
        <v>0.46102649161951809</v>
      </c>
      <c r="C13" s="283"/>
      <c r="D13" s="279" t="str">
        <f>L23</f>
        <v>Pago Reservas</v>
      </c>
      <c r="E13" s="280">
        <f>M23</f>
        <v>0</v>
      </c>
      <c r="F13" s="58">
        <f>E13/E35</f>
        <v>0</v>
      </c>
      <c r="G13" s="281" t="s">
        <v>544</v>
      </c>
      <c r="H13" s="282">
        <v>0</v>
      </c>
      <c r="I13" s="269">
        <f t="shared" si="7"/>
        <v>0</v>
      </c>
      <c r="J13" s="284"/>
      <c r="K13" s="469"/>
      <c r="L13" s="270" t="s">
        <v>545</v>
      </c>
      <c r="M13" s="271">
        <f t="shared" si="6"/>
        <v>8000000</v>
      </c>
      <c r="N13" s="411">
        <v>500000</v>
      </c>
      <c r="O13" s="273">
        <f t="shared" ref="O13:AC13" si="9">N13</f>
        <v>500000</v>
      </c>
      <c r="P13" s="273">
        <f t="shared" si="9"/>
        <v>500000</v>
      </c>
      <c r="Q13" s="273">
        <f t="shared" si="9"/>
        <v>500000</v>
      </c>
      <c r="R13" s="273">
        <f t="shared" si="9"/>
        <v>500000</v>
      </c>
      <c r="S13" s="273">
        <f t="shared" si="9"/>
        <v>500000</v>
      </c>
      <c r="T13" s="273">
        <f t="shared" si="9"/>
        <v>500000</v>
      </c>
      <c r="U13" s="273">
        <f t="shared" si="9"/>
        <v>500000</v>
      </c>
      <c r="V13" s="273">
        <f t="shared" si="9"/>
        <v>500000</v>
      </c>
      <c r="W13" s="273">
        <f t="shared" si="9"/>
        <v>500000</v>
      </c>
      <c r="X13" s="273">
        <f t="shared" si="9"/>
        <v>500000</v>
      </c>
      <c r="Y13" s="273">
        <f t="shared" si="9"/>
        <v>500000</v>
      </c>
      <c r="Z13" s="273">
        <f t="shared" si="9"/>
        <v>500000</v>
      </c>
      <c r="AA13" s="273">
        <f t="shared" si="9"/>
        <v>500000</v>
      </c>
      <c r="AB13" s="273">
        <f t="shared" si="9"/>
        <v>500000</v>
      </c>
      <c r="AC13" s="273">
        <f t="shared" si="9"/>
        <v>500000</v>
      </c>
      <c r="AD13" s="284"/>
      <c r="AE13" s="284"/>
      <c r="AF13" s="284"/>
      <c r="AG13" s="284"/>
      <c r="AH13" s="284"/>
      <c r="AI13" s="284"/>
      <c r="AJ13" s="284"/>
      <c r="AK13" s="284"/>
    </row>
    <row r="14" spans="1:37" ht="18.75" x14ac:dyDescent="0.3">
      <c r="A14" s="283"/>
      <c r="B14" s="285">
        <f>SUM(B6:B13)</f>
        <v>0.77776690323287345</v>
      </c>
      <c r="D14" s="278"/>
      <c r="E14" s="286"/>
      <c r="G14" s="281" t="s">
        <v>546</v>
      </c>
      <c r="H14" s="282">
        <v>0</v>
      </c>
      <c r="I14" s="269">
        <f t="shared" si="7"/>
        <v>0</v>
      </c>
      <c r="K14" s="287" t="s">
        <v>547</v>
      </c>
      <c r="L14" s="288"/>
      <c r="M14" s="289">
        <f t="shared" si="6"/>
        <v>13496263.965234503</v>
      </c>
      <c r="N14" s="412">
        <f t="shared" ref="N14:AC14" si="10">SUM(N6:N13)</f>
        <v>600679</v>
      </c>
      <c r="O14" s="290">
        <f t="shared" si="10"/>
        <v>680999.38438832411</v>
      </c>
      <c r="P14" s="290">
        <f t="shared" si="10"/>
        <v>1158303.219416202</v>
      </c>
      <c r="Q14" s="290">
        <f t="shared" si="10"/>
        <v>879020.70285339456</v>
      </c>
      <c r="R14" s="290">
        <f t="shared" si="10"/>
        <v>988774.98852082645</v>
      </c>
      <c r="S14" s="290">
        <f t="shared" si="10"/>
        <v>1030108.9504755657</v>
      </c>
      <c r="T14" s="290">
        <f t="shared" si="10"/>
        <v>662762.25221384061</v>
      </c>
      <c r="U14" s="290">
        <f t="shared" si="10"/>
        <v>1035388.318137094</v>
      </c>
      <c r="V14" s="290">
        <f t="shared" si="10"/>
        <v>637379.36208592984</v>
      </c>
      <c r="W14" s="290">
        <f t="shared" si="10"/>
        <v>1026049.4060347654</v>
      </c>
      <c r="X14" s="290">
        <f t="shared" si="10"/>
        <v>645304.44998360111</v>
      </c>
      <c r="Y14" s="290">
        <f t="shared" si="10"/>
        <v>636327.4939324368</v>
      </c>
      <c r="Z14" s="290">
        <f t="shared" si="10"/>
        <v>1048548.5378812725</v>
      </c>
      <c r="AA14" s="290">
        <f t="shared" si="10"/>
        <v>1086082.6038045259</v>
      </c>
      <c r="AB14" s="290">
        <f t="shared" si="10"/>
        <v>658871.64775336161</v>
      </c>
      <c r="AC14" s="290">
        <f t="shared" si="10"/>
        <v>721663.64775336161</v>
      </c>
    </row>
    <row r="15" spans="1:37" ht="18.75" x14ac:dyDescent="0.3">
      <c r="A15" s="470">
        <f>M14</f>
        <v>13496263.965234503</v>
      </c>
      <c r="B15" s="470"/>
      <c r="D15" s="247" t="s">
        <v>548</v>
      </c>
      <c r="E15" s="256">
        <f>SUM(E16:E19)</f>
        <v>38989445</v>
      </c>
      <c r="F15" s="257">
        <f>E15/E35</f>
        <v>0.5402956097714724</v>
      </c>
      <c r="G15" s="281" t="s">
        <v>549</v>
      </c>
      <c r="H15" s="282">
        <v>0</v>
      </c>
      <c r="I15" s="269">
        <f t="shared" si="7"/>
        <v>0</v>
      </c>
      <c r="K15" s="291" t="s">
        <v>386</v>
      </c>
      <c r="L15" s="292" t="str">
        <f>K15</f>
        <v>Sueldos</v>
      </c>
      <c r="M15" s="293">
        <f t="shared" si="6"/>
        <v>3934400</v>
      </c>
      <c r="N15" s="413">
        <f>AD54</f>
        <v>227150</v>
      </c>
      <c r="O15" s="294">
        <f>N15+20000</f>
        <v>247150</v>
      </c>
      <c r="P15" s="294">
        <f t="shared" ref="P15:AC15" si="11">O15</f>
        <v>247150</v>
      </c>
      <c r="Q15" s="294">
        <f t="shared" si="11"/>
        <v>247150</v>
      </c>
      <c r="R15" s="294">
        <f t="shared" si="11"/>
        <v>247150</v>
      </c>
      <c r="S15" s="294">
        <f t="shared" si="11"/>
        <v>247150</v>
      </c>
      <c r="T15" s="294">
        <f t="shared" si="11"/>
        <v>247150</v>
      </c>
      <c r="U15" s="294">
        <f t="shared" si="11"/>
        <v>247150</v>
      </c>
      <c r="V15" s="294">
        <f t="shared" si="11"/>
        <v>247150</v>
      </c>
      <c r="W15" s="294">
        <f t="shared" si="11"/>
        <v>247150</v>
      </c>
      <c r="X15" s="294">
        <f t="shared" si="11"/>
        <v>247150</v>
      </c>
      <c r="Y15" s="294">
        <f t="shared" si="11"/>
        <v>247150</v>
      </c>
      <c r="Z15" s="294">
        <f t="shared" si="11"/>
        <v>247150</v>
      </c>
      <c r="AA15" s="294">
        <f t="shared" si="11"/>
        <v>247150</v>
      </c>
      <c r="AB15" s="294">
        <f t="shared" si="11"/>
        <v>247150</v>
      </c>
      <c r="AC15" s="294">
        <f t="shared" si="11"/>
        <v>247150</v>
      </c>
    </row>
    <row r="16" spans="1:37" x14ac:dyDescent="0.25">
      <c r="D16" s="279" t="s">
        <v>550</v>
      </c>
      <c r="E16" s="280">
        <f>E55</f>
        <v>0</v>
      </c>
      <c r="F16" s="58">
        <f>E16/E35</f>
        <v>0</v>
      </c>
      <c r="G16" s="295" t="s">
        <v>551</v>
      </c>
      <c r="H16" s="296">
        <f>E29-H26</f>
        <v>-364536.03476549778</v>
      </c>
      <c r="I16" s="269">
        <f t="shared" si="7"/>
        <v>-4.4162135065775425E-3</v>
      </c>
      <c r="K16" s="291" t="s">
        <v>552</v>
      </c>
      <c r="L16" s="292" t="str">
        <f>K16</f>
        <v xml:space="preserve">Mantenimiento </v>
      </c>
      <c r="M16" s="293">
        <f t="shared" si="6"/>
        <v>465920</v>
      </c>
      <c r="N16" s="413">
        <v>29120</v>
      </c>
      <c r="O16" s="294">
        <f>N16</f>
        <v>29120</v>
      </c>
      <c r="P16" s="294">
        <f t="shared" ref="P16:AC16" si="12">O16</f>
        <v>29120</v>
      </c>
      <c r="Q16" s="294">
        <f t="shared" si="12"/>
        <v>29120</v>
      </c>
      <c r="R16" s="294">
        <f t="shared" si="12"/>
        <v>29120</v>
      </c>
      <c r="S16" s="294">
        <f t="shared" si="12"/>
        <v>29120</v>
      </c>
      <c r="T16" s="294">
        <f t="shared" si="12"/>
        <v>29120</v>
      </c>
      <c r="U16" s="294">
        <f t="shared" si="12"/>
        <v>29120</v>
      </c>
      <c r="V16" s="294">
        <f t="shared" si="12"/>
        <v>29120</v>
      </c>
      <c r="W16" s="294">
        <f t="shared" si="12"/>
        <v>29120</v>
      </c>
      <c r="X16" s="294">
        <f t="shared" si="12"/>
        <v>29120</v>
      </c>
      <c r="Y16" s="294">
        <f t="shared" si="12"/>
        <v>29120</v>
      </c>
      <c r="Z16" s="294">
        <f t="shared" si="12"/>
        <v>29120</v>
      </c>
      <c r="AA16" s="294">
        <f t="shared" si="12"/>
        <v>29120</v>
      </c>
      <c r="AB16" s="294">
        <f t="shared" si="12"/>
        <v>29120</v>
      </c>
      <c r="AC16" s="294">
        <f t="shared" si="12"/>
        <v>29120</v>
      </c>
    </row>
    <row r="17" spans="1:29" ht="20.25" customHeight="1" x14ac:dyDescent="0.25">
      <c r="D17" s="279" t="s">
        <v>548</v>
      </c>
      <c r="E17" s="280">
        <f>14003+1100+450+378420+6200+2100000+19100+99021+350+895000+8000+1838000+8434+5000+1570248+4162000+13170</f>
        <v>11118496</v>
      </c>
      <c r="F17" s="58">
        <f>E17/E35</f>
        <v>0.15407438028578446</v>
      </c>
      <c r="G17" s="278"/>
      <c r="H17" s="277"/>
      <c r="I17" s="297"/>
      <c r="K17" s="291" t="s">
        <v>553</v>
      </c>
      <c r="L17" s="292" t="s">
        <v>526</v>
      </c>
      <c r="M17" s="293">
        <f t="shared" si="6"/>
        <v>0</v>
      </c>
      <c r="N17" s="413">
        <v>0</v>
      </c>
      <c r="O17" s="294">
        <v>0</v>
      </c>
      <c r="P17" s="294">
        <v>0</v>
      </c>
      <c r="Q17" s="294">
        <v>0</v>
      </c>
      <c r="R17" s="294">
        <v>0</v>
      </c>
      <c r="S17" s="294">
        <v>0</v>
      </c>
      <c r="T17" s="294">
        <v>0</v>
      </c>
      <c r="U17" s="294">
        <v>0</v>
      </c>
      <c r="V17" s="294">
        <v>0</v>
      </c>
      <c r="W17" s="294">
        <v>0</v>
      </c>
      <c r="X17" s="294">
        <v>0</v>
      </c>
      <c r="Y17" s="294">
        <v>0</v>
      </c>
      <c r="Z17" s="294">
        <v>0</v>
      </c>
      <c r="AA17" s="294">
        <v>0</v>
      </c>
      <c r="AB17" s="294">
        <v>0</v>
      </c>
      <c r="AC17" s="294">
        <v>0</v>
      </c>
    </row>
    <row r="18" spans="1:29" x14ac:dyDescent="0.25">
      <c r="D18" s="279" t="s">
        <v>554</v>
      </c>
      <c r="E18" s="280">
        <f>7000000+19000+600000+4000+496109+4000+1530000+5500+3450000+10000+2500000+5000+3600000+15000+3869000+5000+245000+2000+4500000+11340</f>
        <v>27870949</v>
      </c>
      <c r="F18" s="58">
        <f>E18/E35</f>
        <v>0.38622122948568799</v>
      </c>
      <c r="G18" s="247" t="s">
        <v>555</v>
      </c>
      <c r="H18" s="298">
        <f>H19</f>
        <v>0</v>
      </c>
      <c r="I18" s="259">
        <f>H18/$H$74</f>
        <v>0</v>
      </c>
      <c r="K18" s="291" t="s">
        <v>556</v>
      </c>
      <c r="L18" s="292" t="str">
        <f>K18</f>
        <v>Empleados</v>
      </c>
      <c r="M18" s="293">
        <f t="shared" si="6"/>
        <v>1044480</v>
      </c>
      <c r="N18" s="413">
        <v>65280</v>
      </c>
      <c r="O18" s="294">
        <f t="shared" ref="O18:AC18" si="13">N18</f>
        <v>65280</v>
      </c>
      <c r="P18" s="294">
        <f t="shared" si="13"/>
        <v>65280</v>
      </c>
      <c r="Q18" s="294">
        <f t="shared" si="13"/>
        <v>65280</v>
      </c>
      <c r="R18" s="294">
        <f t="shared" si="13"/>
        <v>65280</v>
      </c>
      <c r="S18" s="294">
        <f t="shared" si="13"/>
        <v>65280</v>
      </c>
      <c r="T18" s="294">
        <f t="shared" si="13"/>
        <v>65280</v>
      </c>
      <c r="U18" s="294">
        <f t="shared" si="13"/>
        <v>65280</v>
      </c>
      <c r="V18" s="294">
        <f t="shared" si="13"/>
        <v>65280</v>
      </c>
      <c r="W18" s="294">
        <f t="shared" si="13"/>
        <v>65280</v>
      </c>
      <c r="X18" s="294">
        <f t="shared" si="13"/>
        <v>65280</v>
      </c>
      <c r="Y18" s="294">
        <f t="shared" si="13"/>
        <v>65280</v>
      </c>
      <c r="Z18" s="294">
        <f t="shared" si="13"/>
        <v>65280</v>
      </c>
      <c r="AA18" s="294">
        <f t="shared" si="13"/>
        <v>65280</v>
      </c>
      <c r="AB18" s="294">
        <f t="shared" si="13"/>
        <v>65280</v>
      </c>
      <c r="AC18" s="294">
        <f t="shared" si="13"/>
        <v>65280</v>
      </c>
    </row>
    <row r="19" spans="1:29" x14ac:dyDescent="0.25">
      <c r="D19" s="279" t="s">
        <v>557</v>
      </c>
      <c r="E19" s="280">
        <v>0</v>
      </c>
      <c r="F19" s="58">
        <f>E19/E35</f>
        <v>0</v>
      </c>
      <c r="G19" s="299" t="s">
        <v>558</v>
      </c>
      <c r="H19" s="300">
        <f>M20</f>
        <v>0</v>
      </c>
      <c r="I19" s="269">
        <f>H19/$H$74</f>
        <v>0</v>
      </c>
      <c r="K19" s="291" t="s">
        <v>559</v>
      </c>
      <c r="L19" s="292" t="str">
        <f>K19</f>
        <v>Juveniles</v>
      </c>
      <c r="M19" s="293">
        <f t="shared" si="6"/>
        <v>320000</v>
      </c>
      <c r="N19" s="413">
        <v>20000</v>
      </c>
      <c r="O19" s="294">
        <f t="shared" ref="O19:AC19" si="14">N19</f>
        <v>20000</v>
      </c>
      <c r="P19" s="294">
        <f t="shared" si="14"/>
        <v>20000</v>
      </c>
      <c r="Q19" s="294">
        <f t="shared" si="14"/>
        <v>20000</v>
      </c>
      <c r="R19" s="294">
        <f t="shared" si="14"/>
        <v>20000</v>
      </c>
      <c r="S19" s="294">
        <f t="shared" si="14"/>
        <v>20000</v>
      </c>
      <c r="T19" s="294">
        <f t="shared" si="14"/>
        <v>20000</v>
      </c>
      <c r="U19" s="294">
        <f t="shared" si="14"/>
        <v>20000</v>
      </c>
      <c r="V19" s="294">
        <f t="shared" si="14"/>
        <v>20000</v>
      </c>
      <c r="W19" s="294">
        <f t="shared" si="14"/>
        <v>20000</v>
      </c>
      <c r="X19" s="294">
        <f t="shared" si="14"/>
        <v>20000</v>
      </c>
      <c r="Y19" s="294">
        <f t="shared" si="14"/>
        <v>20000</v>
      </c>
      <c r="Z19" s="294">
        <f t="shared" si="14"/>
        <v>20000</v>
      </c>
      <c r="AA19" s="294">
        <f t="shared" si="14"/>
        <v>20000</v>
      </c>
      <c r="AB19" s="294">
        <f t="shared" si="14"/>
        <v>20000</v>
      </c>
      <c r="AC19" s="294">
        <f t="shared" si="14"/>
        <v>20000</v>
      </c>
    </row>
    <row r="20" spans="1:29" ht="20.25" customHeight="1" x14ac:dyDescent="0.25">
      <c r="D20" s="278"/>
      <c r="E20" s="286"/>
      <c r="G20" s="276"/>
      <c r="H20" s="277"/>
      <c r="I20" s="269"/>
      <c r="K20" s="291" t="s">
        <v>560</v>
      </c>
      <c r="L20" s="292" t="s">
        <v>558</v>
      </c>
      <c r="M20" s="293">
        <f t="shared" si="6"/>
        <v>0</v>
      </c>
      <c r="N20" s="413">
        <v>0</v>
      </c>
      <c r="O20" s="294">
        <v>0</v>
      </c>
      <c r="P20" s="294">
        <f t="shared" ref="P20:T24" si="15">O20</f>
        <v>0</v>
      </c>
      <c r="Q20" s="294">
        <f t="shared" si="15"/>
        <v>0</v>
      </c>
      <c r="R20" s="294">
        <f t="shared" si="15"/>
        <v>0</v>
      </c>
      <c r="S20" s="294">
        <f t="shared" si="15"/>
        <v>0</v>
      </c>
      <c r="T20" s="294">
        <f t="shared" si="15"/>
        <v>0</v>
      </c>
      <c r="U20" s="294">
        <v>0</v>
      </c>
      <c r="V20" s="294">
        <v>0</v>
      </c>
      <c r="W20" s="294">
        <v>0</v>
      </c>
      <c r="X20" s="294">
        <v>0</v>
      </c>
      <c r="Y20" s="294">
        <f t="shared" ref="Y20:Z24" si="16">X20</f>
        <v>0</v>
      </c>
      <c r="Z20" s="294">
        <f t="shared" si="16"/>
        <v>0</v>
      </c>
      <c r="AA20" s="294">
        <v>0</v>
      </c>
      <c r="AB20" s="294">
        <v>0</v>
      </c>
      <c r="AC20" s="294">
        <v>0</v>
      </c>
    </row>
    <row r="21" spans="1:29" x14ac:dyDescent="0.25">
      <c r="D21" s="247" t="s">
        <v>533</v>
      </c>
      <c r="E21" s="301">
        <f>E22</f>
        <v>0</v>
      </c>
      <c r="F21" s="257">
        <f>E21/E35</f>
        <v>0</v>
      </c>
      <c r="G21" s="276"/>
      <c r="H21" s="277"/>
      <c r="I21" s="269"/>
      <c r="K21" s="471" t="s">
        <v>540</v>
      </c>
      <c r="L21" s="292" t="s">
        <v>394</v>
      </c>
      <c r="M21" s="293">
        <f t="shared" si="6"/>
        <v>0</v>
      </c>
      <c r="N21" s="413">
        <v>0</v>
      </c>
      <c r="O21" s="294">
        <f>N21</f>
        <v>0</v>
      </c>
      <c r="P21" s="294">
        <f t="shared" si="15"/>
        <v>0</v>
      </c>
      <c r="Q21" s="294">
        <f t="shared" si="15"/>
        <v>0</v>
      </c>
      <c r="R21" s="294">
        <f t="shared" si="15"/>
        <v>0</v>
      </c>
      <c r="S21" s="294">
        <f t="shared" si="15"/>
        <v>0</v>
      </c>
      <c r="T21" s="294">
        <f t="shared" si="15"/>
        <v>0</v>
      </c>
      <c r="U21" s="294">
        <f t="shared" ref="U21:X24" si="17">T21</f>
        <v>0</v>
      </c>
      <c r="V21" s="294">
        <f t="shared" si="17"/>
        <v>0</v>
      </c>
      <c r="W21" s="294">
        <f t="shared" si="17"/>
        <v>0</v>
      </c>
      <c r="X21" s="294">
        <f t="shared" si="17"/>
        <v>0</v>
      </c>
      <c r="Y21" s="294">
        <f t="shared" si="16"/>
        <v>0</v>
      </c>
      <c r="Z21" s="294">
        <f t="shared" si="16"/>
        <v>0</v>
      </c>
      <c r="AA21" s="294">
        <v>0</v>
      </c>
      <c r="AB21" s="294">
        <f t="shared" ref="AB21:AC24" si="18">AA21</f>
        <v>0</v>
      </c>
      <c r="AC21" s="294">
        <f t="shared" si="18"/>
        <v>0</v>
      </c>
    </row>
    <row r="22" spans="1:29" x14ac:dyDescent="0.25">
      <c r="D22" s="279" t="s">
        <v>533</v>
      </c>
      <c r="E22" s="280">
        <f>M8+M9</f>
        <v>0</v>
      </c>
      <c r="F22" s="58">
        <f>E22/E35</f>
        <v>0</v>
      </c>
      <c r="G22" s="247" t="s">
        <v>561</v>
      </c>
      <c r="H22" s="258">
        <f>SUM(H23:H24)</f>
        <v>0</v>
      </c>
      <c r="I22" s="259">
        <f>H22/$H$74</f>
        <v>0</v>
      </c>
      <c r="K22" s="472"/>
      <c r="L22" s="292" t="s">
        <v>562</v>
      </c>
      <c r="M22" s="293">
        <f t="shared" si="6"/>
        <v>96000</v>
      </c>
      <c r="N22" s="413">
        <v>6000</v>
      </c>
      <c r="O22" s="294">
        <f>N22</f>
        <v>6000</v>
      </c>
      <c r="P22" s="294">
        <f t="shared" si="15"/>
        <v>6000</v>
      </c>
      <c r="Q22" s="294">
        <f t="shared" si="15"/>
        <v>6000</v>
      </c>
      <c r="R22" s="294">
        <f t="shared" si="15"/>
        <v>6000</v>
      </c>
      <c r="S22" s="294">
        <f t="shared" si="15"/>
        <v>6000</v>
      </c>
      <c r="T22" s="294">
        <f t="shared" si="15"/>
        <v>6000</v>
      </c>
      <c r="U22" s="294">
        <f t="shared" si="17"/>
        <v>6000</v>
      </c>
      <c r="V22" s="294">
        <f t="shared" si="17"/>
        <v>6000</v>
      </c>
      <c r="W22" s="294">
        <f t="shared" si="17"/>
        <v>6000</v>
      </c>
      <c r="X22" s="294">
        <f t="shared" si="17"/>
        <v>6000</v>
      </c>
      <c r="Y22" s="294">
        <f t="shared" si="16"/>
        <v>6000</v>
      </c>
      <c r="Z22" s="294">
        <f t="shared" si="16"/>
        <v>6000</v>
      </c>
      <c r="AA22" s="294">
        <f>Z22</f>
        <v>6000</v>
      </c>
      <c r="AB22" s="294">
        <f t="shared" si="18"/>
        <v>6000</v>
      </c>
      <c r="AC22" s="294">
        <f t="shared" si="18"/>
        <v>6000</v>
      </c>
    </row>
    <row r="23" spans="1:29" ht="18.75" x14ac:dyDescent="0.3">
      <c r="C23" s="302"/>
      <c r="D23" s="278"/>
      <c r="E23" s="286"/>
      <c r="G23" s="299" t="s">
        <v>526</v>
      </c>
      <c r="H23" s="303">
        <f>M17</f>
        <v>0</v>
      </c>
      <c r="I23" s="269">
        <f>H23/$H$74</f>
        <v>0</v>
      </c>
      <c r="K23" s="473"/>
      <c r="L23" s="292" t="s">
        <v>563</v>
      </c>
      <c r="M23" s="293">
        <f t="shared" si="6"/>
        <v>0</v>
      </c>
      <c r="N23" s="413">
        <v>0</v>
      </c>
      <c r="O23" s="294">
        <f>N23</f>
        <v>0</v>
      </c>
      <c r="P23" s="294">
        <f t="shared" si="15"/>
        <v>0</v>
      </c>
      <c r="Q23" s="294">
        <f t="shared" si="15"/>
        <v>0</v>
      </c>
      <c r="R23" s="294">
        <f t="shared" si="15"/>
        <v>0</v>
      </c>
      <c r="S23" s="294">
        <f t="shared" si="15"/>
        <v>0</v>
      </c>
      <c r="T23" s="294">
        <f t="shared" si="15"/>
        <v>0</v>
      </c>
      <c r="U23" s="294">
        <f t="shared" si="17"/>
        <v>0</v>
      </c>
      <c r="V23" s="294">
        <f t="shared" si="17"/>
        <v>0</v>
      </c>
      <c r="W23" s="294">
        <f t="shared" si="17"/>
        <v>0</v>
      </c>
      <c r="X23" s="294">
        <f t="shared" si="17"/>
        <v>0</v>
      </c>
      <c r="Y23" s="294">
        <f t="shared" si="16"/>
        <v>0</v>
      </c>
      <c r="Z23" s="294">
        <f t="shared" si="16"/>
        <v>0</v>
      </c>
      <c r="AA23" s="294">
        <v>0</v>
      </c>
      <c r="AB23" s="294">
        <f t="shared" si="18"/>
        <v>0</v>
      </c>
      <c r="AC23" s="294">
        <f t="shared" si="18"/>
        <v>0</v>
      </c>
    </row>
    <row r="24" spans="1:29" ht="18.75" x14ac:dyDescent="0.3">
      <c r="A24" s="304" t="str">
        <f t="shared" ref="A24:A31" si="19">L15</f>
        <v>Sueldos</v>
      </c>
      <c r="B24" s="305">
        <f t="shared" ref="B24:B31" si="20">M15/$M$64</f>
        <v>0.24778905080242364</v>
      </c>
      <c r="C24" s="255"/>
      <c r="D24" s="247" t="s">
        <v>564</v>
      </c>
      <c r="E24" s="256">
        <f>E25+E26-E27</f>
        <v>18158019</v>
      </c>
      <c r="F24" s="257">
        <f>E24/E35</f>
        <v>0.25162445753836665</v>
      </c>
      <c r="G24" s="299" t="s">
        <v>394</v>
      </c>
      <c r="H24" s="303">
        <f>M21</f>
        <v>0</v>
      </c>
      <c r="I24" s="269">
        <f>H24/$H$74</f>
        <v>0</v>
      </c>
      <c r="K24" s="291" t="s">
        <v>565</v>
      </c>
      <c r="L24" s="292" t="str">
        <f>K24</f>
        <v>Intereses</v>
      </c>
      <c r="M24" s="293">
        <f t="shared" si="6"/>
        <v>0</v>
      </c>
      <c r="N24" s="413">
        <v>0</v>
      </c>
      <c r="O24" s="294">
        <f>N24</f>
        <v>0</v>
      </c>
      <c r="P24" s="294">
        <f t="shared" si="15"/>
        <v>0</v>
      </c>
      <c r="Q24" s="294">
        <f t="shared" si="15"/>
        <v>0</v>
      </c>
      <c r="R24" s="294">
        <f t="shared" si="15"/>
        <v>0</v>
      </c>
      <c r="S24" s="294">
        <f t="shared" si="15"/>
        <v>0</v>
      </c>
      <c r="T24" s="294">
        <f t="shared" si="15"/>
        <v>0</v>
      </c>
      <c r="U24" s="294">
        <f t="shared" si="17"/>
        <v>0</v>
      </c>
      <c r="V24" s="294">
        <f t="shared" si="17"/>
        <v>0</v>
      </c>
      <c r="W24" s="294">
        <f t="shared" si="17"/>
        <v>0</v>
      </c>
      <c r="X24" s="294">
        <f t="shared" si="17"/>
        <v>0</v>
      </c>
      <c r="Y24" s="294">
        <f t="shared" si="16"/>
        <v>0</v>
      </c>
      <c r="Z24" s="294">
        <f t="shared" si="16"/>
        <v>0</v>
      </c>
      <c r="AA24" s="294">
        <v>0</v>
      </c>
      <c r="AB24" s="294">
        <f t="shared" si="18"/>
        <v>0</v>
      </c>
      <c r="AC24" s="294">
        <f t="shared" si="18"/>
        <v>0</v>
      </c>
    </row>
    <row r="25" spans="1:29" ht="18.75" x14ac:dyDescent="0.3">
      <c r="A25" s="304" t="str">
        <f t="shared" si="19"/>
        <v xml:space="preserve">Mantenimiento </v>
      </c>
      <c r="B25" s="305">
        <f t="shared" si="20"/>
        <v>2.9343705406126783E-2</v>
      </c>
      <c r="C25" s="239"/>
      <c r="D25" s="281" t="s">
        <v>566</v>
      </c>
      <c r="E25" s="306">
        <f>N5</f>
        <v>10158019</v>
      </c>
      <c r="F25" s="58">
        <f>E25/E35</f>
        <v>0.14076458563786179</v>
      </c>
      <c r="G25" s="276"/>
      <c r="H25" s="277"/>
      <c r="I25" s="269"/>
      <c r="K25" s="307" t="s">
        <v>567</v>
      </c>
      <c r="L25" s="308"/>
      <c r="M25" s="309">
        <f t="shared" si="6"/>
        <v>5860800</v>
      </c>
      <c r="N25" s="414">
        <f t="shared" ref="N25:AC25" si="21">SUM(N15:N24)</f>
        <v>347550</v>
      </c>
      <c r="O25" s="310">
        <f t="shared" si="21"/>
        <v>367550</v>
      </c>
      <c r="P25" s="310">
        <f t="shared" si="21"/>
        <v>367550</v>
      </c>
      <c r="Q25" s="310">
        <f t="shared" si="21"/>
        <v>367550</v>
      </c>
      <c r="R25" s="310">
        <f t="shared" si="21"/>
        <v>367550</v>
      </c>
      <c r="S25" s="310">
        <f t="shared" si="21"/>
        <v>367550</v>
      </c>
      <c r="T25" s="310">
        <f t="shared" si="21"/>
        <v>367550</v>
      </c>
      <c r="U25" s="310">
        <f t="shared" si="21"/>
        <v>367550</v>
      </c>
      <c r="V25" s="310">
        <f t="shared" si="21"/>
        <v>367550</v>
      </c>
      <c r="W25" s="310">
        <f t="shared" si="21"/>
        <v>367550</v>
      </c>
      <c r="X25" s="310">
        <f t="shared" si="21"/>
        <v>367550</v>
      </c>
      <c r="Y25" s="310">
        <f t="shared" si="21"/>
        <v>367550</v>
      </c>
      <c r="Z25" s="310">
        <f t="shared" si="21"/>
        <v>367550</v>
      </c>
      <c r="AA25" s="310">
        <f t="shared" si="21"/>
        <v>367550</v>
      </c>
      <c r="AB25" s="310">
        <f t="shared" si="21"/>
        <v>367550</v>
      </c>
      <c r="AC25" s="310">
        <f t="shared" si="21"/>
        <v>367550</v>
      </c>
    </row>
    <row r="26" spans="1:29" ht="18.75" x14ac:dyDescent="0.3">
      <c r="A26" s="304" t="str">
        <f t="shared" si="19"/>
        <v>Estadio</v>
      </c>
      <c r="B26" s="305">
        <f t="shared" si="20"/>
        <v>0</v>
      </c>
      <c r="C26" s="41"/>
      <c r="D26" s="281" t="str">
        <f>D12</f>
        <v>Ing Reservas</v>
      </c>
      <c r="E26" s="351">
        <f>M13</f>
        <v>8000000</v>
      </c>
      <c r="F26" s="58">
        <f>E26/E35</f>
        <v>0.11085987190050485</v>
      </c>
      <c r="G26" s="247" t="s">
        <v>568</v>
      </c>
      <c r="H26" s="258">
        <f>SUM(H27:H32)</f>
        <v>5860800</v>
      </c>
      <c r="I26" s="259">
        <f t="shared" ref="I26:I32" si="22">H26/$H$74</f>
        <v>7.1001332244148729E-2</v>
      </c>
      <c r="K26" s="311" t="s">
        <v>569</v>
      </c>
      <c r="L26" s="311"/>
      <c r="M26" s="262">
        <f t="shared" ref="M26:AC26" si="23">M5+M14-M25</f>
        <v>17793482.965234503</v>
      </c>
      <c r="N26" s="416">
        <f t="shared" si="23"/>
        <v>10411148</v>
      </c>
      <c r="O26" s="262">
        <f t="shared" si="23"/>
        <v>10724597.384388324</v>
      </c>
      <c r="P26" s="262">
        <f t="shared" si="23"/>
        <v>11515350.603804525</v>
      </c>
      <c r="Q26" s="262">
        <f t="shared" si="23"/>
        <v>12026821.30665792</v>
      </c>
      <c r="R26" s="262">
        <f t="shared" si="23"/>
        <v>12648046.295178747</v>
      </c>
      <c r="S26" s="262">
        <f t="shared" si="23"/>
        <v>13310605.245654313</v>
      </c>
      <c r="T26" s="262">
        <f t="shared" si="23"/>
        <v>13605817.497868154</v>
      </c>
      <c r="U26" s="262">
        <f t="shared" si="23"/>
        <v>14273655.816005249</v>
      </c>
      <c r="V26" s="262">
        <f t="shared" si="23"/>
        <v>14543485.178091178</v>
      </c>
      <c r="W26" s="262">
        <f t="shared" si="23"/>
        <v>15201984.584125943</v>
      </c>
      <c r="X26" s="262">
        <f t="shared" si="23"/>
        <v>15479739.034109544</v>
      </c>
      <c r="Y26" s="262">
        <f t="shared" si="23"/>
        <v>15748516.528041981</v>
      </c>
      <c r="Z26" s="262">
        <f t="shared" si="23"/>
        <v>16429515.065923255</v>
      </c>
      <c r="AA26" s="262">
        <f t="shared" si="23"/>
        <v>17148047.66972778</v>
      </c>
      <c r="AB26" s="262">
        <f t="shared" si="23"/>
        <v>17439369.317481142</v>
      </c>
      <c r="AC26" s="262">
        <f t="shared" si="23"/>
        <v>17793482.965234503</v>
      </c>
    </row>
    <row r="27" spans="1:29" x14ac:dyDescent="0.25">
      <c r="A27" s="304" t="str">
        <f t="shared" si="19"/>
        <v>Empleados</v>
      </c>
      <c r="B27" s="305">
        <f t="shared" si="20"/>
        <v>6.5781493437910593E-2</v>
      </c>
      <c r="C27" s="43"/>
      <c r="D27" s="281" t="str">
        <f>D13</f>
        <v>Pago Reservas</v>
      </c>
      <c r="E27" s="306">
        <f>M23*-1</f>
        <v>0</v>
      </c>
      <c r="F27" s="58">
        <f>E27/E35</f>
        <v>0</v>
      </c>
      <c r="G27" s="299" t="s">
        <v>570</v>
      </c>
      <c r="H27" s="303">
        <f>M15</f>
        <v>3934400</v>
      </c>
      <c r="I27" s="269">
        <f t="shared" si="22"/>
        <v>4.7663739008561759E-2</v>
      </c>
      <c r="K27" s="312"/>
      <c r="L27" s="312"/>
      <c r="M27" s="312"/>
      <c r="N27" s="415">
        <f>N1+7</f>
        <v>43764</v>
      </c>
      <c r="O27" s="313">
        <f t="shared" ref="O27:AC27" si="24">N27+7</f>
        <v>43771</v>
      </c>
      <c r="P27" s="313">
        <f t="shared" si="24"/>
        <v>43778</v>
      </c>
      <c r="Q27" s="313">
        <f t="shared" si="24"/>
        <v>43785</v>
      </c>
      <c r="R27" s="313">
        <f t="shared" si="24"/>
        <v>43792</v>
      </c>
      <c r="S27" s="313">
        <f t="shared" si="24"/>
        <v>43799</v>
      </c>
      <c r="T27" s="313">
        <f t="shared" si="24"/>
        <v>43806</v>
      </c>
      <c r="U27" s="313">
        <f t="shared" si="24"/>
        <v>43813</v>
      </c>
      <c r="V27" s="313">
        <f t="shared" si="24"/>
        <v>43820</v>
      </c>
      <c r="W27" s="313">
        <f t="shared" si="24"/>
        <v>43827</v>
      </c>
      <c r="X27" s="313">
        <f t="shared" si="24"/>
        <v>43834</v>
      </c>
      <c r="Y27" s="313">
        <f t="shared" si="24"/>
        <v>43841</v>
      </c>
      <c r="Z27" s="313">
        <f t="shared" si="24"/>
        <v>43848</v>
      </c>
      <c r="AA27" s="313">
        <f t="shared" si="24"/>
        <v>43855</v>
      </c>
      <c r="AB27" s="313">
        <f t="shared" si="24"/>
        <v>43862</v>
      </c>
      <c r="AC27" s="313">
        <f t="shared" si="24"/>
        <v>43869</v>
      </c>
    </row>
    <row r="28" spans="1:29" x14ac:dyDescent="0.25">
      <c r="A28" s="304" t="str">
        <f t="shared" si="19"/>
        <v>Juveniles</v>
      </c>
      <c r="B28" s="305">
        <f t="shared" si="20"/>
        <v>2.0153643822889273E-2</v>
      </c>
      <c r="C28" s="41"/>
      <c r="D28" s="276"/>
      <c r="E28" s="314"/>
      <c r="F28" s="58"/>
      <c r="G28" s="299" t="s">
        <v>552</v>
      </c>
      <c r="H28" s="303">
        <f>M16</f>
        <v>465920</v>
      </c>
      <c r="I28" s="269">
        <f t="shared" si="22"/>
        <v>5.6444411546535929E-3</v>
      </c>
      <c r="K28" s="315"/>
      <c r="L28" s="315"/>
      <c r="M28" s="315"/>
      <c r="N28" s="315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</row>
    <row r="29" spans="1:29" x14ac:dyDescent="0.25">
      <c r="A29" s="304" t="str">
        <f t="shared" si="19"/>
        <v>Compra</v>
      </c>
      <c r="B29" s="305">
        <f t="shared" si="20"/>
        <v>0</v>
      </c>
      <c r="D29" s="247" t="s">
        <v>571</v>
      </c>
      <c r="E29" s="256">
        <f>SUM(E30:E34)</f>
        <v>5496263.9652345022</v>
      </c>
      <c r="F29" s="257">
        <f>E29/E35</f>
        <v>7.6164389889657222E-2</v>
      </c>
      <c r="G29" s="299" t="s">
        <v>556</v>
      </c>
      <c r="H29" s="303">
        <f>M18</f>
        <v>1044480</v>
      </c>
      <c r="I29" s="269">
        <f t="shared" si="22"/>
        <v>1.2653472478564099E-2</v>
      </c>
      <c r="K29" s="316"/>
      <c r="L29" s="316"/>
      <c r="M29" s="317" t="s">
        <v>548</v>
      </c>
      <c r="N29" s="318">
        <v>18</v>
      </c>
      <c r="O29" s="318">
        <v>18</v>
      </c>
      <c r="P29" s="318">
        <v>18</v>
      </c>
      <c r="Q29" s="318">
        <v>18</v>
      </c>
      <c r="R29" s="318">
        <v>18</v>
      </c>
      <c r="S29" s="318">
        <v>18</v>
      </c>
      <c r="T29" s="318"/>
      <c r="U29" s="318"/>
      <c r="V29" s="318">
        <v>17</v>
      </c>
      <c r="W29" s="318">
        <v>17</v>
      </c>
      <c r="X29" s="318">
        <v>19</v>
      </c>
      <c r="Y29" s="318">
        <v>19</v>
      </c>
      <c r="Z29" s="318"/>
      <c r="AA29" s="318">
        <v>20</v>
      </c>
      <c r="AB29" s="318">
        <v>22</v>
      </c>
      <c r="AC29" s="318">
        <v>21</v>
      </c>
    </row>
    <row r="30" spans="1:29" x14ac:dyDescent="0.25">
      <c r="A30" s="304" t="str">
        <f t="shared" si="19"/>
        <v>Entrenador</v>
      </c>
      <c r="B30" s="305">
        <f t="shared" si="20"/>
        <v>0</v>
      </c>
      <c r="D30" s="281" t="s">
        <v>521</v>
      </c>
      <c r="E30" s="306">
        <f>M11</f>
        <v>66602</v>
      </c>
      <c r="F30" s="58">
        <f>E30/E35</f>
        <v>9.2293614853967802E-4</v>
      </c>
      <c r="G30" s="299" t="s">
        <v>559</v>
      </c>
      <c r="H30" s="303">
        <f>M19</f>
        <v>320000</v>
      </c>
      <c r="I30" s="269">
        <f t="shared" si="22"/>
        <v>3.8766766172071382E-3</v>
      </c>
      <c r="K30" s="41"/>
      <c r="L30" s="474" t="s">
        <v>572</v>
      </c>
      <c r="M30" s="319" t="s">
        <v>127</v>
      </c>
      <c r="N30" s="318">
        <v>950340</v>
      </c>
      <c r="O30" s="318">
        <v>949900</v>
      </c>
      <c r="P30" s="318">
        <v>1007530</v>
      </c>
      <c r="Q30" s="318">
        <v>1065770</v>
      </c>
      <c r="R30" s="318">
        <v>1065800</v>
      </c>
      <c r="S30" s="318">
        <v>1092850</v>
      </c>
      <c r="T30" s="318"/>
      <c r="U30" s="318"/>
      <c r="V30" s="318">
        <v>1154480</v>
      </c>
      <c r="W30" s="318">
        <v>1166260</v>
      </c>
      <c r="X30" s="318">
        <v>1290910</v>
      </c>
      <c r="Y30" s="318">
        <v>1318910</v>
      </c>
      <c r="Z30" s="318"/>
      <c r="AA30" s="318">
        <v>1335700</v>
      </c>
      <c r="AB30" s="318">
        <v>1391860</v>
      </c>
      <c r="AC30" s="318">
        <v>1417100</v>
      </c>
    </row>
    <row r="31" spans="1:29" x14ac:dyDescent="0.25">
      <c r="A31" s="304" t="str">
        <f t="shared" si="19"/>
        <v>Viajes+Venta</v>
      </c>
      <c r="B31" s="305">
        <f t="shared" si="20"/>
        <v>6.0460931468667824E-3</v>
      </c>
      <c r="D31" s="281" t="s">
        <v>543</v>
      </c>
      <c r="E31" s="306">
        <f>M12</f>
        <v>0</v>
      </c>
      <c r="F31" s="58">
        <f>E31/E35</f>
        <v>0</v>
      </c>
      <c r="G31" s="299" t="s">
        <v>562</v>
      </c>
      <c r="H31" s="303">
        <f>M22</f>
        <v>96000</v>
      </c>
      <c r="I31" s="269">
        <f t="shared" si="22"/>
        <v>1.1630029851621413E-3</v>
      </c>
      <c r="K31" s="41"/>
      <c r="L31" s="474"/>
      <c r="M31" s="319" t="s">
        <v>471</v>
      </c>
      <c r="N31" s="318">
        <v>162436</v>
      </c>
      <c r="O31" s="318">
        <v>162436</v>
      </c>
      <c r="P31" s="318">
        <v>162436</v>
      </c>
      <c r="Q31" s="318">
        <v>162436</v>
      </c>
      <c r="R31" s="318">
        <v>162436</v>
      </c>
      <c r="S31" s="318">
        <v>168396</v>
      </c>
      <c r="T31" s="318"/>
      <c r="U31" s="318"/>
      <c r="V31" s="318">
        <v>175918</v>
      </c>
      <c r="W31" s="318">
        <v>187048</v>
      </c>
      <c r="X31" s="318">
        <v>208526</v>
      </c>
      <c r="Y31" s="318">
        <v>208526</v>
      </c>
      <c r="Z31" s="318"/>
      <c r="AA31" s="318">
        <v>215974</v>
      </c>
      <c r="AB31" s="318">
        <v>225484</v>
      </c>
      <c r="AC31" s="318">
        <v>226850</v>
      </c>
    </row>
    <row r="32" spans="1:29" x14ac:dyDescent="0.25">
      <c r="A32" s="304" t="str">
        <f>L24</f>
        <v>Intereses</v>
      </c>
      <c r="B32" s="305">
        <f>M24/$M$64</f>
        <v>0</v>
      </c>
      <c r="D32" s="281" t="s">
        <v>528</v>
      </c>
      <c r="E32" s="306">
        <f>M6</f>
        <v>3474771</v>
      </c>
      <c r="F32" s="58">
        <f>E32/E35</f>
        <v>4.8151583492948645E-2</v>
      </c>
      <c r="G32" s="299" t="s">
        <v>565</v>
      </c>
      <c r="H32" s="303">
        <f>M24</f>
        <v>0</v>
      </c>
      <c r="I32" s="269">
        <f t="shared" si="22"/>
        <v>0</v>
      </c>
      <c r="K32" s="41"/>
      <c r="L32" s="474"/>
      <c r="M32" s="319" t="s">
        <v>387</v>
      </c>
      <c r="N32" s="318">
        <v>867000</v>
      </c>
      <c r="O32" s="318">
        <v>866870</v>
      </c>
      <c r="P32" s="318">
        <v>921130</v>
      </c>
      <c r="Q32" s="318">
        <v>981580</v>
      </c>
      <c r="R32" s="318">
        <v>981420</v>
      </c>
      <c r="S32" s="318">
        <v>1007480</v>
      </c>
      <c r="T32" s="318"/>
      <c r="U32" s="318"/>
      <c r="V32" s="318">
        <v>1062240</v>
      </c>
      <c r="W32" s="318">
        <v>1070780</v>
      </c>
      <c r="X32" s="318">
        <v>1132060</v>
      </c>
      <c r="Y32" s="318">
        <v>1158820</v>
      </c>
      <c r="Z32" s="318"/>
      <c r="AA32" s="318">
        <v>1184390</v>
      </c>
      <c r="AB32" s="318">
        <v>1192530</v>
      </c>
      <c r="AC32" s="318">
        <v>1226010</v>
      </c>
    </row>
    <row r="33" spans="1:33" ht="18.75" x14ac:dyDescent="0.3">
      <c r="A33" s="41"/>
      <c r="B33" s="320">
        <f>SUM(B24:B32)</f>
        <v>0.36911398661621703</v>
      </c>
      <c r="D33" s="281" t="s">
        <v>530</v>
      </c>
      <c r="E33" s="306">
        <f>M7</f>
        <v>1922890.9652345022</v>
      </c>
      <c r="F33" s="58">
        <f>E33/E35</f>
        <v>2.6646430760566879E-2</v>
      </c>
      <c r="G33" s="276"/>
      <c r="H33" s="277"/>
      <c r="I33" s="269"/>
      <c r="K33" s="41"/>
      <c r="L33" s="474"/>
      <c r="M33" s="319" t="s">
        <v>388</v>
      </c>
      <c r="N33" s="318">
        <v>140830</v>
      </c>
      <c r="O33" s="318">
        <v>140830</v>
      </c>
      <c r="P33" s="318">
        <v>140830</v>
      </c>
      <c r="Q33" s="318">
        <v>140830</v>
      </c>
      <c r="R33" s="318">
        <v>140830</v>
      </c>
      <c r="S33" s="318">
        <v>146790</v>
      </c>
      <c r="T33" s="318"/>
      <c r="U33" s="318"/>
      <c r="V33" s="318">
        <v>148210</v>
      </c>
      <c r="W33" s="318">
        <v>159030</v>
      </c>
      <c r="X33" s="318">
        <v>163720</v>
      </c>
      <c r="Y33" s="318">
        <v>163720</v>
      </c>
      <c r="Z33" s="318"/>
      <c r="AA33" s="318">
        <v>173310</v>
      </c>
      <c r="AB33" s="318">
        <v>173310</v>
      </c>
      <c r="AC33" s="318">
        <v>176410</v>
      </c>
    </row>
    <row r="34" spans="1:33" ht="18.75" x14ac:dyDescent="0.3">
      <c r="A34" s="43"/>
      <c r="B34" s="321"/>
      <c r="D34" s="322" t="s">
        <v>537</v>
      </c>
      <c r="E34" s="323">
        <f>M10</f>
        <v>32000</v>
      </c>
      <c r="F34" s="58">
        <f>E34/E35</f>
        <v>4.4343948760201942E-4</v>
      </c>
      <c r="G34" s="324"/>
      <c r="H34" s="325"/>
      <c r="I34" s="326"/>
      <c r="K34" s="41"/>
      <c r="L34" s="474"/>
      <c r="M34" s="319" t="s">
        <v>392</v>
      </c>
      <c r="N34" s="327" t="s">
        <v>573</v>
      </c>
      <c r="O34" s="327" t="s">
        <v>574</v>
      </c>
      <c r="P34" s="327" t="s">
        <v>575</v>
      </c>
      <c r="Q34" s="327" t="s">
        <v>576</v>
      </c>
      <c r="R34" s="327" t="s">
        <v>577</v>
      </c>
      <c r="S34" s="327" t="s">
        <v>578</v>
      </c>
      <c r="T34" s="327"/>
      <c r="U34" s="327"/>
      <c r="V34" s="327" t="s">
        <v>579</v>
      </c>
      <c r="W34" s="327" t="s">
        <v>580</v>
      </c>
      <c r="X34" s="327" t="s">
        <v>581</v>
      </c>
      <c r="Y34" s="327" t="s">
        <v>574</v>
      </c>
      <c r="Z34" s="327"/>
      <c r="AA34" s="327" t="s">
        <v>577</v>
      </c>
      <c r="AB34" s="327" t="s">
        <v>582</v>
      </c>
      <c r="AC34" s="327" t="s">
        <v>583</v>
      </c>
    </row>
    <row r="35" spans="1:33" ht="18.75" x14ac:dyDescent="0.3">
      <c r="A35" s="475">
        <f>M25</f>
        <v>5860800</v>
      </c>
      <c r="B35" s="475"/>
      <c r="D35" s="328" t="s">
        <v>584</v>
      </c>
      <c r="E35" s="329">
        <f>E29+E21+E15+E5+E10+E24</f>
        <v>72163171.965234503</v>
      </c>
      <c r="F35" s="330">
        <f>F29+F21+F15+F5+F10+F24</f>
        <v>1</v>
      </c>
      <c r="G35" s="328" t="s">
        <v>584</v>
      </c>
      <c r="H35" s="329">
        <f>H26+H18+H10+H5+H22</f>
        <v>72163171.965234503</v>
      </c>
      <c r="I35" s="331">
        <f>H35/$H$74</f>
        <v>0.87422900431600714</v>
      </c>
      <c r="K35" s="41"/>
      <c r="L35" s="474"/>
      <c r="M35" s="319" t="s">
        <v>585</v>
      </c>
      <c r="N35" s="332">
        <v>6</v>
      </c>
      <c r="O35" s="332">
        <v>6</v>
      </c>
      <c r="P35" s="332">
        <v>6</v>
      </c>
      <c r="Q35" s="332">
        <v>6</v>
      </c>
      <c r="R35" s="332">
        <v>6</v>
      </c>
      <c r="S35" s="332">
        <v>6</v>
      </c>
      <c r="T35" s="332"/>
      <c r="U35" s="332"/>
      <c r="V35" s="332">
        <v>6.25</v>
      </c>
      <c r="W35" s="332">
        <v>6.25</v>
      </c>
      <c r="X35" s="332">
        <v>6.25</v>
      </c>
      <c r="Y35" s="332">
        <v>6.25</v>
      </c>
      <c r="Z35" s="332"/>
      <c r="AA35" s="332">
        <v>6.5</v>
      </c>
      <c r="AB35" s="332">
        <v>6.5</v>
      </c>
      <c r="AC35" s="332">
        <v>6.5</v>
      </c>
    </row>
    <row r="36" spans="1:33" x14ac:dyDescent="0.25">
      <c r="E36" s="277"/>
      <c r="F36" s="249"/>
      <c r="G36" s="333"/>
      <c r="H36" s="334">
        <f>E35-H35</f>
        <v>0</v>
      </c>
      <c r="I36" s="277"/>
      <c r="K36" s="41">
        <v>1523038</v>
      </c>
      <c r="L36" s="474"/>
      <c r="M36" s="319" t="s">
        <v>389</v>
      </c>
      <c r="N36" s="332">
        <v>5.25</v>
      </c>
      <c r="O36" s="332">
        <v>5.25</v>
      </c>
      <c r="P36" s="332">
        <v>5.75</v>
      </c>
      <c r="Q36" s="332">
        <v>6</v>
      </c>
      <c r="R36" s="332">
        <v>6</v>
      </c>
      <c r="S36" s="332">
        <v>6</v>
      </c>
      <c r="T36" s="332"/>
      <c r="U36" s="332"/>
      <c r="V36" s="332">
        <v>6</v>
      </c>
      <c r="W36" s="332">
        <v>5.75</v>
      </c>
      <c r="X36" s="332">
        <v>5.75</v>
      </c>
      <c r="Y36" s="332">
        <v>5.75</v>
      </c>
      <c r="Z36" s="332"/>
      <c r="AA36" s="332">
        <v>5.5</v>
      </c>
      <c r="AB36" s="332">
        <v>5.5</v>
      </c>
      <c r="AC36" s="332">
        <v>5.25</v>
      </c>
    </row>
    <row r="37" spans="1:33" x14ac:dyDescent="0.25">
      <c r="E37" s="277"/>
      <c r="F37" s="277"/>
      <c r="H37" s="277"/>
      <c r="I37" s="277"/>
      <c r="K37" s="41"/>
      <c r="L37" s="474"/>
      <c r="M37" s="319" t="s">
        <v>586</v>
      </c>
      <c r="N37" s="332">
        <v>4.25</v>
      </c>
      <c r="O37" s="332">
        <v>4.25</v>
      </c>
      <c r="P37" s="332">
        <v>4.25</v>
      </c>
      <c r="Q37" s="332">
        <v>4.5</v>
      </c>
      <c r="R37" s="332">
        <v>4.5</v>
      </c>
      <c r="S37" s="332">
        <v>4.5</v>
      </c>
      <c r="T37" s="332"/>
      <c r="U37" s="332"/>
      <c r="V37" s="332">
        <v>4.5</v>
      </c>
      <c r="W37" s="332">
        <v>4.75</v>
      </c>
      <c r="X37" s="332">
        <v>4.5</v>
      </c>
      <c r="Y37" s="332">
        <v>4.5</v>
      </c>
      <c r="Z37" s="332"/>
      <c r="AA37" s="332">
        <v>4.5</v>
      </c>
      <c r="AB37" s="332">
        <v>4.5</v>
      </c>
      <c r="AC37" s="332">
        <v>4.5</v>
      </c>
    </row>
    <row r="38" spans="1:33" ht="15.75" x14ac:dyDescent="0.25">
      <c r="D38" s="335"/>
      <c r="E38" s="336"/>
      <c r="F38" s="277"/>
      <c r="G38" s="41"/>
      <c r="H38" s="258"/>
      <c r="I38" s="258"/>
      <c r="K38" s="41"/>
      <c r="L38" s="41"/>
      <c r="M38" s="90" t="s">
        <v>587</v>
      </c>
      <c r="N38" s="337">
        <f t="shared" ref="N38:S38" si="25">N30/N31</f>
        <v>5.8505503706075004</v>
      </c>
      <c r="O38" s="337">
        <f t="shared" si="25"/>
        <v>5.847841611465439</v>
      </c>
      <c r="P38" s="337">
        <f t="shared" si="25"/>
        <v>6.2026274963677999</v>
      </c>
      <c r="Q38" s="337">
        <f t="shared" si="25"/>
        <v>6.5611687064443842</v>
      </c>
      <c r="R38" s="337">
        <f t="shared" si="25"/>
        <v>6.5613533945677069</v>
      </c>
      <c r="S38" s="337">
        <f t="shared" si="25"/>
        <v>6.489762227131286</v>
      </c>
      <c r="T38" s="337"/>
      <c r="U38" s="337"/>
      <c r="V38" s="337">
        <f t="shared" ref="V38:AC38" si="26">V30/V31</f>
        <v>6.5626030309576056</v>
      </c>
      <c r="W38" s="337">
        <f t="shared" si="26"/>
        <v>6.2350840425986913</v>
      </c>
      <c r="X38" s="337">
        <f t="shared" si="26"/>
        <v>6.1906428934521358</v>
      </c>
      <c r="Y38" s="337">
        <f t="shared" si="26"/>
        <v>6.3249187151722088</v>
      </c>
      <c r="Z38" s="337" t="e">
        <f t="shared" si="26"/>
        <v>#DIV/0!</v>
      </c>
      <c r="AA38" s="337">
        <f t="shared" si="26"/>
        <v>6.1845407317547485</v>
      </c>
      <c r="AB38" s="337">
        <f t="shared" si="26"/>
        <v>6.1727661386173738</v>
      </c>
      <c r="AC38" s="337">
        <f t="shared" si="26"/>
        <v>6.246859158033943</v>
      </c>
    </row>
    <row r="39" spans="1:33" x14ac:dyDescent="0.25">
      <c r="E39" s="258"/>
      <c r="F39" s="277"/>
      <c r="H39" s="277"/>
      <c r="I39" s="277"/>
      <c r="K39" s="41"/>
      <c r="L39" s="41"/>
      <c r="M39" s="41"/>
      <c r="N39" s="42"/>
      <c r="O39" s="338"/>
      <c r="P39" s="465"/>
      <c r="Q39" s="465"/>
      <c r="R39" s="465"/>
      <c r="S39" s="465"/>
    </row>
    <row r="40" spans="1:33" ht="21" x14ac:dyDescent="0.35">
      <c r="A40" s="417"/>
      <c r="B40" s="417"/>
      <c r="C40" s="417"/>
      <c r="D40" s="476" t="s">
        <v>588</v>
      </c>
      <c r="E40" s="477"/>
      <c r="F40" s="477"/>
      <c r="G40" s="477"/>
      <c r="H40" s="477"/>
      <c r="I40" s="478"/>
      <c r="J40" s="418"/>
      <c r="K40" s="417"/>
      <c r="L40" s="417"/>
      <c r="M40" s="417"/>
      <c r="N40" s="419">
        <v>43637</v>
      </c>
      <c r="O40" s="419">
        <f t="shared" ref="O40:AD40" si="27">N40+7</f>
        <v>43644</v>
      </c>
      <c r="P40" s="419">
        <f t="shared" si="27"/>
        <v>43651</v>
      </c>
      <c r="Q40" s="419">
        <f t="shared" si="27"/>
        <v>43658</v>
      </c>
      <c r="R40" s="419">
        <f t="shared" si="27"/>
        <v>43665</v>
      </c>
      <c r="S40" s="419">
        <f t="shared" si="27"/>
        <v>43672</v>
      </c>
      <c r="T40" s="419">
        <f t="shared" si="27"/>
        <v>43679</v>
      </c>
      <c r="U40" s="419">
        <f t="shared" si="27"/>
        <v>43686</v>
      </c>
      <c r="V40" s="419">
        <f t="shared" si="27"/>
        <v>43693</v>
      </c>
      <c r="W40" s="419">
        <f t="shared" si="27"/>
        <v>43700</v>
      </c>
      <c r="X40" s="419">
        <f t="shared" si="27"/>
        <v>43707</v>
      </c>
      <c r="Y40" s="419">
        <f t="shared" si="27"/>
        <v>43714</v>
      </c>
      <c r="Z40" s="419">
        <f t="shared" si="27"/>
        <v>43721</v>
      </c>
      <c r="AA40" s="419">
        <f t="shared" si="27"/>
        <v>43728</v>
      </c>
      <c r="AB40" s="419">
        <f t="shared" si="27"/>
        <v>43735</v>
      </c>
      <c r="AC40" s="419">
        <f t="shared" si="27"/>
        <v>43742</v>
      </c>
      <c r="AD40" s="420">
        <f t="shared" si="27"/>
        <v>43749</v>
      </c>
      <c r="AE40" s="418"/>
    </row>
    <row r="41" spans="1:33" x14ac:dyDescent="0.25">
      <c r="A41" s="43"/>
      <c r="B41" s="43"/>
      <c r="C41" s="43"/>
      <c r="D41" s="479" t="s">
        <v>501</v>
      </c>
      <c r="E41" s="480"/>
      <c r="F41" s="481"/>
      <c r="G41" s="481"/>
      <c r="H41" s="481"/>
      <c r="I41" s="482"/>
      <c r="K41" s="43"/>
      <c r="L41" s="43"/>
      <c r="M41" s="43" t="s">
        <v>502</v>
      </c>
      <c r="N41" s="242" t="s">
        <v>518</v>
      </c>
      <c r="O41" s="242" t="s">
        <v>503</v>
      </c>
      <c r="P41" s="242" t="s">
        <v>504</v>
      </c>
      <c r="Q41" s="242" t="s">
        <v>505</v>
      </c>
      <c r="R41" s="242" t="s">
        <v>506</v>
      </c>
      <c r="S41" s="242" t="s">
        <v>507</v>
      </c>
      <c r="T41" s="242" t="s">
        <v>508</v>
      </c>
      <c r="U41" s="242" t="s">
        <v>509</v>
      </c>
      <c r="V41" s="242" t="s">
        <v>510</v>
      </c>
      <c r="W41" s="242" t="s">
        <v>511</v>
      </c>
      <c r="X41" s="242" t="s">
        <v>512</v>
      </c>
      <c r="Y41" s="242" t="s">
        <v>513</v>
      </c>
      <c r="Z41" s="242" t="s">
        <v>514</v>
      </c>
      <c r="AA41" s="242" t="s">
        <v>515</v>
      </c>
      <c r="AB41" s="242" t="s">
        <v>516</v>
      </c>
      <c r="AC41" s="242" t="s">
        <v>517</v>
      </c>
      <c r="AD41" s="241" t="s">
        <v>518</v>
      </c>
    </row>
    <row r="42" spans="1:33" ht="18.75" x14ac:dyDescent="0.3">
      <c r="A42" s="41"/>
      <c r="B42" s="41"/>
      <c r="C42" s="41"/>
      <c r="D42" s="483" t="s">
        <v>519</v>
      </c>
      <c r="E42" s="484"/>
      <c r="F42" s="243"/>
      <c r="G42" s="485" t="s">
        <v>520</v>
      </c>
      <c r="H42" s="486"/>
      <c r="I42" s="244"/>
      <c r="K42" s="41"/>
      <c r="L42" s="90"/>
      <c r="M42" s="90" t="s">
        <v>521</v>
      </c>
      <c r="N42" s="246">
        <v>1766</v>
      </c>
      <c r="O42" s="246">
        <v>1776</v>
      </c>
      <c r="P42" s="246">
        <f t="shared" ref="P42:AD42" si="28">O42+O50/30</f>
        <v>1784</v>
      </c>
      <c r="Q42" s="246">
        <f t="shared" si="28"/>
        <v>1794</v>
      </c>
      <c r="R42" s="246">
        <f t="shared" si="28"/>
        <v>1804</v>
      </c>
      <c r="S42" s="246">
        <f t="shared" si="28"/>
        <v>1813</v>
      </c>
      <c r="T42" s="246">
        <f t="shared" si="28"/>
        <v>1823</v>
      </c>
      <c r="U42" s="246">
        <f t="shared" si="28"/>
        <v>1831</v>
      </c>
      <c r="V42" s="246">
        <f t="shared" si="28"/>
        <v>1839</v>
      </c>
      <c r="W42" s="246">
        <f t="shared" si="28"/>
        <v>1847</v>
      </c>
      <c r="X42" s="246">
        <f t="shared" si="28"/>
        <v>1855</v>
      </c>
      <c r="Y42" s="246">
        <f t="shared" si="28"/>
        <v>1863</v>
      </c>
      <c r="Z42" s="246">
        <f t="shared" si="28"/>
        <v>1871</v>
      </c>
      <c r="AA42" s="246">
        <f t="shared" si="28"/>
        <v>1877</v>
      </c>
      <c r="AB42" s="246">
        <f t="shared" si="28"/>
        <v>1885</v>
      </c>
      <c r="AC42" s="246">
        <f t="shared" si="28"/>
        <v>1893</v>
      </c>
      <c r="AD42" s="245">
        <f t="shared" si="28"/>
        <v>1901</v>
      </c>
    </row>
    <row r="43" spans="1:33" ht="18.75" x14ac:dyDescent="0.3">
      <c r="A43" s="41"/>
      <c r="B43" s="41"/>
      <c r="C43" s="41"/>
      <c r="D43" s="247"/>
      <c r="E43" s="248"/>
      <c r="F43" s="249"/>
      <c r="G43" s="250"/>
      <c r="H43" s="249"/>
      <c r="I43" s="251"/>
      <c r="K43" s="252" t="s">
        <v>522</v>
      </c>
      <c r="L43" s="252"/>
      <c r="M43" s="253">
        <f>19299694+500000</f>
        <v>19799694</v>
      </c>
      <c r="N43" s="254">
        <f>M43</f>
        <v>19799694</v>
      </c>
      <c r="O43" s="254">
        <f t="shared" ref="O43:AD43" si="29">N43-N52+N62</f>
        <v>19299694</v>
      </c>
      <c r="P43" s="254">
        <f t="shared" si="29"/>
        <v>18799694</v>
      </c>
      <c r="Q43" s="254">
        <f t="shared" si="29"/>
        <v>18299694</v>
      </c>
      <c r="R43" s="254">
        <f t="shared" si="29"/>
        <v>17799694</v>
      </c>
      <c r="S43" s="254">
        <f t="shared" si="29"/>
        <v>17299694</v>
      </c>
      <c r="T43" s="254">
        <f t="shared" si="29"/>
        <v>16799694</v>
      </c>
      <c r="U43" s="254">
        <f t="shared" si="29"/>
        <v>16299694</v>
      </c>
      <c r="V43" s="254">
        <f t="shared" si="29"/>
        <v>15799694</v>
      </c>
      <c r="W43" s="254">
        <f t="shared" si="29"/>
        <v>15299694</v>
      </c>
      <c r="X43" s="254">
        <f t="shared" si="29"/>
        <v>14799694</v>
      </c>
      <c r="Y43" s="254">
        <f t="shared" si="29"/>
        <v>14299694</v>
      </c>
      <c r="Z43" s="254">
        <f t="shared" si="29"/>
        <v>13799694</v>
      </c>
      <c r="AA43" s="254">
        <f t="shared" si="29"/>
        <v>13299694</v>
      </c>
      <c r="AB43" s="254">
        <f t="shared" si="29"/>
        <v>12799694</v>
      </c>
      <c r="AC43" s="254">
        <f t="shared" si="29"/>
        <v>12299694</v>
      </c>
      <c r="AD43" s="254">
        <f t="shared" si="29"/>
        <v>11799694</v>
      </c>
    </row>
    <row r="44" spans="1:33" ht="18.75" x14ac:dyDescent="0.3">
      <c r="A44" s="255"/>
      <c r="B44" s="255"/>
      <c r="C44" s="255"/>
      <c r="D44" s="247" t="s">
        <v>523</v>
      </c>
      <c r="E44" s="256">
        <f>SUM(E45:E47)</f>
        <v>6219750</v>
      </c>
      <c r="F44" s="257">
        <f>E44/E74</f>
        <v>7.5349873093356556E-2</v>
      </c>
      <c r="G44" s="247" t="s">
        <v>524</v>
      </c>
      <c r="H44" s="258">
        <f>H45+H46</f>
        <v>64054290</v>
      </c>
      <c r="I44" s="259">
        <f>H44/$H$74</f>
        <v>0.77599302585876562</v>
      </c>
      <c r="K44" s="260" t="s">
        <v>525</v>
      </c>
      <c r="L44" s="260"/>
      <c r="M44" s="261">
        <f>8890545-289136+582050-500000</f>
        <v>8683459</v>
      </c>
      <c r="N44" s="262">
        <f>M44</f>
        <v>8683459</v>
      </c>
      <c r="O44" s="262">
        <f t="shared" ref="O44:AD44" si="30">N65</f>
        <v>9623483</v>
      </c>
      <c r="P44" s="262">
        <f t="shared" si="30"/>
        <v>9994868</v>
      </c>
      <c r="Q44" s="262">
        <f t="shared" si="30"/>
        <v>10377155</v>
      </c>
      <c r="R44" s="262">
        <f t="shared" si="30"/>
        <v>11240455</v>
      </c>
      <c r="S44" s="262">
        <f t="shared" si="30"/>
        <v>11827122</v>
      </c>
      <c r="T44" s="262">
        <f t="shared" si="30"/>
        <v>12507638</v>
      </c>
      <c r="U44" s="262">
        <f t="shared" si="30"/>
        <v>14308664</v>
      </c>
      <c r="V44" s="262">
        <f t="shared" si="30"/>
        <v>13015507</v>
      </c>
      <c r="W44" s="262">
        <f t="shared" si="30"/>
        <v>13799559</v>
      </c>
      <c r="X44" s="262">
        <f t="shared" si="30"/>
        <v>9963702</v>
      </c>
      <c r="Y44" s="262">
        <f t="shared" si="30"/>
        <v>10648895</v>
      </c>
      <c r="Z44" s="262">
        <f t="shared" si="30"/>
        <v>10943045</v>
      </c>
      <c r="AA44" s="262">
        <f t="shared" si="30"/>
        <v>11375008</v>
      </c>
      <c r="AB44" s="262">
        <f t="shared" si="30"/>
        <v>12059732</v>
      </c>
      <c r="AC44" s="262">
        <f t="shared" si="30"/>
        <v>12337744</v>
      </c>
      <c r="AD44" s="262">
        <f t="shared" si="30"/>
        <v>9052949</v>
      </c>
    </row>
    <row r="45" spans="1:33" x14ac:dyDescent="0.25">
      <c r="A45" s="263" t="str">
        <f t="shared" ref="A45:A52" si="31">L45</f>
        <v>Taquillas</v>
      </c>
      <c r="B45" s="264">
        <f t="shared" ref="B45:B52" si="32">M45/$M$53</f>
        <v>0.20206635531242556</v>
      </c>
      <c r="D45" s="265" t="s">
        <v>526</v>
      </c>
      <c r="E45" s="266">
        <f>2231620+305380</f>
        <v>2537000</v>
      </c>
      <c r="F45" s="58">
        <f>E45/E74</f>
        <v>3.0734776805795342E-2</v>
      </c>
      <c r="G45" s="267" t="s">
        <v>527</v>
      </c>
      <c r="H45" s="268">
        <v>300000</v>
      </c>
      <c r="I45" s="269">
        <f>H45/$H$74</f>
        <v>3.6343843286316918E-3</v>
      </c>
      <c r="K45" s="270" t="s">
        <v>528</v>
      </c>
      <c r="L45" s="270" t="s">
        <v>528</v>
      </c>
      <c r="M45" s="271">
        <f t="shared" ref="M45:M64" si="33">SUM(N45:AD45)</f>
        <v>3506373</v>
      </c>
      <c r="N45" s="272">
        <v>27383</v>
      </c>
      <c r="O45" s="272">
        <f>9097+21309</f>
        <v>30406</v>
      </c>
      <c r="P45" s="272">
        <v>74243</v>
      </c>
      <c r="Q45" s="272">
        <v>543126</v>
      </c>
      <c r="R45" s="272">
        <v>259003</v>
      </c>
      <c r="S45" s="272">
        <f>29598+336329</f>
        <v>365927</v>
      </c>
      <c r="T45" s="272">
        <f>36229+369218</f>
        <v>405447</v>
      </c>
      <c r="U45" s="272">
        <v>37304</v>
      </c>
      <c r="V45" s="272">
        <f>400709+8561</f>
        <v>409270</v>
      </c>
      <c r="W45" s="272">
        <v>10821</v>
      </c>
      <c r="X45" s="272">
        <v>399051</v>
      </c>
      <c r="Y45" s="272">
        <v>17866</v>
      </c>
      <c r="Z45" s="272">
        <v>8449</v>
      </c>
      <c r="AA45" s="272">
        <v>420290</v>
      </c>
      <c r="AB45" s="272">
        <v>11170</v>
      </c>
      <c r="AC45" s="272">
        <v>457164</v>
      </c>
      <c r="AD45" s="272">
        <v>29453</v>
      </c>
    </row>
    <row r="46" spans="1:33" x14ac:dyDescent="0.25">
      <c r="A46" s="263" t="str">
        <f t="shared" si="31"/>
        <v>Patrocinadores</v>
      </c>
      <c r="B46" s="264">
        <f t="shared" si="32"/>
        <v>9.8984981024725888E-2</v>
      </c>
      <c r="D46" s="265" t="s">
        <v>394</v>
      </c>
      <c r="E46" s="266">
        <f>102000+300+2105000+1475000+450</f>
        <v>3682750</v>
      </c>
      <c r="F46" s="58">
        <f>E46/E74</f>
        <v>4.4615096287561211E-2</v>
      </c>
      <c r="G46" s="267" t="s">
        <v>529</v>
      </c>
      <c r="H46" s="268">
        <f>63754290</f>
        <v>63754290</v>
      </c>
      <c r="I46" s="269">
        <f>H46/$H$74</f>
        <v>0.772358641530134</v>
      </c>
      <c r="K46" s="270" t="s">
        <v>530</v>
      </c>
      <c r="L46" s="270" t="s">
        <v>530</v>
      </c>
      <c r="M46" s="271">
        <f t="shared" si="33"/>
        <v>1717645</v>
      </c>
      <c r="N46" s="273">
        <v>101385</v>
      </c>
      <c r="O46" s="273">
        <v>76225</v>
      </c>
      <c r="P46" s="273">
        <v>87880</v>
      </c>
      <c r="Q46" s="273">
        <v>94910</v>
      </c>
      <c r="R46" s="273">
        <v>98980</v>
      </c>
      <c r="S46" s="273">
        <v>101385</v>
      </c>
      <c r="T46" s="273">
        <f>S46+1500</f>
        <v>102885</v>
      </c>
      <c r="U46" s="273">
        <v>103605</v>
      </c>
      <c r="V46" s="273">
        <v>104160</v>
      </c>
      <c r="W46" s="273">
        <v>104530</v>
      </c>
      <c r="X46" s="273">
        <v>104900</v>
      </c>
      <c r="Y46" s="273">
        <v>105270</v>
      </c>
      <c r="Z46" s="273">
        <v>105640</v>
      </c>
      <c r="AA46" s="273">
        <v>106010</v>
      </c>
      <c r="AB46" s="273">
        <v>106380</v>
      </c>
      <c r="AC46" s="273">
        <v>106565</v>
      </c>
      <c r="AD46" s="273">
        <v>106935</v>
      </c>
    </row>
    <row r="47" spans="1:33" x14ac:dyDescent="0.25">
      <c r="A47" s="263" t="str">
        <f t="shared" si="31"/>
        <v>Ventas</v>
      </c>
      <c r="B47" s="264">
        <f t="shared" si="32"/>
        <v>6.2008639405939703E-2</v>
      </c>
      <c r="D47" s="274" t="s">
        <v>531</v>
      </c>
      <c r="E47" s="275">
        <v>0</v>
      </c>
      <c r="F47" s="58">
        <f>E47/E74</f>
        <v>0</v>
      </c>
      <c r="G47" s="276"/>
      <c r="H47" s="277"/>
      <c r="I47" s="259"/>
      <c r="K47" s="270" t="s">
        <v>532</v>
      </c>
      <c r="L47" s="270" t="s">
        <v>533</v>
      </c>
      <c r="M47" s="271">
        <f t="shared" si="33"/>
        <v>1076010</v>
      </c>
      <c r="N47" s="272">
        <v>0</v>
      </c>
      <c r="O47" s="272">
        <v>0</v>
      </c>
      <c r="P47" s="272">
        <v>0</v>
      </c>
      <c r="Q47" s="272">
        <v>0</v>
      </c>
      <c r="R47" s="272">
        <v>0</v>
      </c>
      <c r="S47" s="272">
        <v>0</v>
      </c>
      <c r="T47" s="272">
        <f>959760+116250</f>
        <v>1076010</v>
      </c>
      <c r="U47" s="272">
        <v>0</v>
      </c>
      <c r="V47" s="272">
        <v>0</v>
      </c>
      <c r="W47" s="272">
        <v>0</v>
      </c>
      <c r="X47" s="272">
        <v>0</v>
      </c>
      <c r="Y47" s="272">
        <v>0</v>
      </c>
      <c r="Z47" s="272">
        <v>0</v>
      </c>
      <c r="AA47" s="272">
        <v>0</v>
      </c>
      <c r="AB47" s="272">
        <v>0</v>
      </c>
      <c r="AC47" s="272">
        <v>0</v>
      </c>
      <c r="AD47" s="272">
        <v>0</v>
      </c>
      <c r="AF47" s="277"/>
      <c r="AG47" s="277"/>
    </row>
    <row r="48" spans="1:33" x14ac:dyDescent="0.25">
      <c r="A48" s="263" t="str">
        <f t="shared" si="31"/>
        <v>VentasCantera</v>
      </c>
      <c r="B48" s="264">
        <f t="shared" si="32"/>
        <v>5.4035186233380141E-2</v>
      </c>
      <c r="D48" s="278"/>
      <c r="E48" s="248"/>
      <c r="F48" s="257"/>
      <c r="G48" s="276"/>
      <c r="H48" s="277"/>
      <c r="I48" s="259"/>
      <c r="K48" s="270"/>
      <c r="L48" s="270" t="s">
        <v>534</v>
      </c>
      <c r="M48" s="271">
        <f t="shared" si="33"/>
        <v>937650</v>
      </c>
      <c r="N48" s="272">
        <v>133000</v>
      </c>
      <c r="O48" s="272">
        <v>44650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72">
        <v>0</v>
      </c>
      <c r="V48" s="272">
        <v>0</v>
      </c>
      <c r="W48" s="272">
        <v>25650</v>
      </c>
      <c r="X48" s="272">
        <v>0</v>
      </c>
      <c r="Y48" s="272">
        <v>0</v>
      </c>
      <c r="Z48" s="272">
        <v>0</v>
      </c>
      <c r="AA48" s="272">
        <v>0</v>
      </c>
      <c r="AB48" s="272">
        <v>0</v>
      </c>
      <c r="AC48" s="272">
        <v>734350</v>
      </c>
      <c r="AD48" s="272">
        <v>0</v>
      </c>
    </row>
    <row r="49" spans="1:38" x14ac:dyDescent="0.25">
      <c r="A49" s="263" t="str">
        <f t="shared" si="31"/>
        <v>Comisiones</v>
      </c>
      <c r="B49" s="264">
        <f t="shared" si="32"/>
        <v>2.1313254707570319E-2</v>
      </c>
      <c r="D49" s="247" t="s">
        <v>535</v>
      </c>
      <c r="E49" s="256">
        <f>E50+E51+E52</f>
        <v>11299694</v>
      </c>
      <c r="F49" s="257">
        <f>E49/E74</f>
        <v>0.13689143597311185</v>
      </c>
      <c r="G49" s="247" t="s">
        <v>536</v>
      </c>
      <c r="H49" s="258">
        <f>SUM(H50:H55)</f>
        <v>2612618</v>
      </c>
      <c r="I49" s="259">
        <f t="shared" ref="I49:I55" si="34">H49/$H$74</f>
        <v>3.1650859719670243E-2</v>
      </c>
      <c r="K49" s="270" t="s">
        <v>537</v>
      </c>
      <c r="L49" s="270" t="s">
        <v>537</v>
      </c>
      <c r="M49" s="271">
        <f t="shared" si="33"/>
        <v>369840</v>
      </c>
      <c r="N49" s="273">
        <f>1750+16320+2040</f>
        <v>20110</v>
      </c>
      <c r="O49" s="273">
        <v>0</v>
      </c>
      <c r="P49" s="273">
        <v>0</v>
      </c>
      <c r="Q49" s="273">
        <v>5100</v>
      </c>
      <c r="R49" s="273">
        <v>8550</v>
      </c>
      <c r="S49" s="273">
        <v>0</v>
      </c>
      <c r="T49" s="273">
        <v>4040</v>
      </c>
      <c r="U49" s="273">
        <v>0</v>
      </c>
      <c r="V49" s="273">
        <f>33660+30340</f>
        <v>64000</v>
      </c>
      <c r="W49" s="273">
        <v>0</v>
      </c>
      <c r="X49" s="273">
        <v>3920</v>
      </c>
      <c r="Y49" s="273">
        <v>0</v>
      </c>
      <c r="Z49" s="273">
        <v>146920</v>
      </c>
      <c r="AA49" s="273">
        <v>0</v>
      </c>
      <c r="AB49" s="273">
        <v>0</v>
      </c>
      <c r="AC49" s="273">
        <v>78000</v>
      </c>
      <c r="AD49" s="273">
        <v>39200</v>
      </c>
    </row>
    <row r="50" spans="1:38" x14ac:dyDescent="0.25">
      <c r="A50" s="263" t="str">
        <f t="shared" si="31"/>
        <v>Nuevos Socios</v>
      </c>
      <c r="B50" s="264">
        <f t="shared" si="32"/>
        <v>6.919085586225727E-3</v>
      </c>
      <c r="D50" s="279" t="s">
        <v>538</v>
      </c>
      <c r="E50" s="280">
        <f>N43</f>
        <v>19799694</v>
      </c>
      <c r="F50" s="58">
        <f>E50/E74</f>
        <v>0.23986565861767645</v>
      </c>
      <c r="G50" s="281" t="s">
        <v>539</v>
      </c>
      <c r="H50" s="282">
        <f>37680+114250</f>
        <v>151930</v>
      </c>
      <c r="I50" s="269">
        <f t="shared" si="34"/>
        <v>1.8405733701633764E-3</v>
      </c>
      <c r="K50" s="467" t="s">
        <v>540</v>
      </c>
      <c r="L50" s="270" t="s">
        <v>541</v>
      </c>
      <c r="M50" s="271">
        <f t="shared" si="33"/>
        <v>120064</v>
      </c>
      <c r="N50" s="273">
        <f>52982+150+150</f>
        <v>53282</v>
      </c>
      <c r="O50" s="273">
        <v>240</v>
      </c>
      <c r="P50" s="273">
        <v>300</v>
      </c>
      <c r="Q50" s="273">
        <v>300</v>
      </c>
      <c r="R50" s="273">
        <v>270</v>
      </c>
      <c r="S50" s="273">
        <v>300</v>
      </c>
      <c r="T50" s="273">
        <v>240</v>
      </c>
      <c r="U50" s="273">
        <v>240</v>
      </c>
      <c r="V50" s="273">
        <v>240</v>
      </c>
      <c r="W50" s="273">
        <v>240</v>
      </c>
      <c r="X50" s="273">
        <f>W50</f>
        <v>240</v>
      </c>
      <c r="Y50" s="273">
        <f>X50</f>
        <v>240</v>
      </c>
      <c r="Z50" s="273">
        <v>180</v>
      </c>
      <c r="AA50" s="273">
        <v>240</v>
      </c>
      <c r="AB50" s="273">
        <f>AA50</f>
        <v>240</v>
      </c>
      <c r="AC50" s="273">
        <v>240</v>
      </c>
      <c r="AD50" s="273">
        <f>57032+5730+150+120</f>
        <v>63032</v>
      </c>
    </row>
    <row r="51" spans="1:38" x14ac:dyDescent="0.25">
      <c r="A51" s="263" t="str">
        <f t="shared" si="31"/>
        <v>Premios</v>
      </c>
      <c r="B51" s="264">
        <f t="shared" si="32"/>
        <v>6.4831850383994721E-2</v>
      </c>
      <c r="D51" s="279" t="str">
        <f>L52</f>
        <v>Ing Reservas</v>
      </c>
      <c r="E51" s="347">
        <f>M52*-1</f>
        <v>-8500000</v>
      </c>
      <c r="F51" s="58">
        <f>E51/E74</f>
        <v>-0.1029742226445646</v>
      </c>
      <c r="G51" s="281" t="s">
        <v>542</v>
      </c>
      <c r="H51" s="282">
        <v>0</v>
      </c>
      <c r="I51" s="269">
        <f t="shared" si="34"/>
        <v>0</v>
      </c>
      <c r="K51" s="468"/>
      <c r="L51" s="270" t="s">
        <v>543</v>
      </c>
      <c r="M51" s="271">
        <f t="shared" si="33"/>
        <v>1125000</v>
      </c>
      <c r="N51" s="273">
        <v>400000</v>
      </c>
      <c r="O51" s="273">
        <v>0</v>
      </c>
      <c r="P51" s="273">
        <v>0</v>
      </c>
      <c r="Q51" s="273">
        <v>0</v>
      </c>
      <c r="R51" s="273">
        <v>0</v>
      </c>
      <c r="S51" s="273">
        <v>0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0</v>
      </c>
      <c r="AB51" s="273">
        <v>0</v>
      </c>
      <c r="AC51" s="273">
        <v>0</v>
      </c>
      <c r="AD51" s="273">
        <f>525000+200000</f>
        <v>725000</v>
      </c>
    </row>
    <row r="52" spans="1:38" ht="18.75" x14ac:dyDescent="0.3">
      <c r="A52" s="263" t="str">
        <f t="shared" si="31"/>
        <v>Ing Reservas</v>
      </c>
      <c r="B52" s="264">
        <f t="shared" si="32"/>
        <v>0.48984064734573796</v>
      </c>
      <c r="C52" s="283"/>
      <c r="D52" s="279" t="str">
        <f>L62</f>
        <v>Pago Reservas</v>
      </c>
      <c r="E52" s="280">
        <f>M62</f>
        <v>0</v>
      </c>
      <c r="F52" s="58">
        <f>E52/E74</f>
        <v>0</v>
      </c>
      <c r="G52" s="281" t="s">
        <v>544</v>
      </c>
      <c r="H52" s="282">
        <f>133000+44650+25650+734350</f>
        <v>937650</v>
      </c>
      <c r="I52" s="269">
        <f t="shared" si="34"/>
        <v>1.1359268219138352E-2</v>
      </c>
      <c r="J52" s="284"/>
      <c r="K52" s="469"/>
      <c r="L52" s="270" t="s">
        <v>545</v>
      </c>
      <c r="M52" s="271">
        <f t="shared" si="33"/>
        <v>8500000</v>
      </c>
      <c r="N52" s="273">
        <v>500000</v>
      </c>
      <c r="O52" s="273">
        <f t="shared" ref="O52:AD52" si="35">N52</f>
        <v>500000</v>
      </c>
      <c r="P52" s="273">
        <f t="shared" si="35"/>
        <v>500000</v>
      </c>
      <c r="Q52" s="273">
        <f t="shared" si="35"/>
        <v>500000</v>
      </c>
      <c r="R52" s="273">
        <f t="shared" si="35"/>
        <v>500000</v>
      </c>
      <c r="S52" s="273">
        <f t="shared" si="35"/>
        <v>500000</v>
      </c>
      <c r="T52" s="273">
        <f t="shared" si="35"/>
        <v>500000</v>
      </c>
      <c r="U52" s="273">
        <f t="shared" si="35"/>
        <v>500000</v>
      </c>
      <c r="V52" s="273">
        <f t="shared" si="35"/>
        <v>500000</v>
      </c>
      <c r="W52" s="273">
        <f t="shared" si="35"/>
        <v>500000</v>
      </c>
      <c r="X52" s="273">
        <f t="shared" si="35"/>
        <v>500000</v>
      </c>
      <c r="Y52" s="273">
        <f t="shared" si="35"/>
        <v>500000</v>
      </c>
      <c r="Z52" s="273">
        <f t="shared" si="35"/>
        <v>500000</v>
      </c>
      <c r="AA52" s="273">
        <f t="shared" si="35"/>
        <v>500000</v>
      </c>
      <c r="AB52" s="273">
        <f t="shared" si="35"/>
        <v>500000</v>
      </c>
      <c r="AC52" s="273">
        <f t="shared" si="35"/>
        <v>500000</v>
      </c>
      <c r="AD52" s="273">
        <f t="shared" si="35"/>
        <v>500000</v>
      </c>
      <c r="AE52" s="284"/>
      <c r="AF52" s="284"/>
      <c r="AG52" s="284"/>
      <c r="AH52" s="284"/>
      <c r="AI52" s="284"/>
      <c r="AJ52" s="284"/>
      <c r="AK52" s="284"/>
      <c r="AL52" s="284"/>
    </row>
    <row r="53" spans="1:38" ht="18.75" x14ac:dyDescent="0.3">
      <c r="A53" s="283"/>
      <c r="B53" s="285">
        <f>SUM(B45:B52)</f>
        <v>1</v>
      </c>
      <c r="D53" s="278"/>
      <c r="E53" s="286"/>
      <c r="G53" s="281" t="s">
        <v>546</v>
      </c>
      <c r="H53" s="282">
        <v>0</v>
      </c>
      <c r="I53" s="269">
        <f t="shared" si="34"/>
        <v>0</v>
      </c>
      <c r="K53" s="287" t="s">
        <v>547</v>
      </c>
      <c r="L53" s="288"/>
      <c r="M53" s="289">
        <f t="shared" si="33"/>
        <v>17352582</v>
      </c>
      <c r="N53" s="290">
        <f t="shared" ref="N53:AD53" si="36">SUM(N45:N52)</f>
        <v>1235160</v>
      </c>
      <c r="O53" s="290">
        <f t="shared" si="36"/>
        <v>651521</v>
      </c>
      <c r="P53" s="290">
        <f t="shared" si="36"/>
        <v>662423</v>
      </c>
      <c r="Q53" s="290">
        <f t="shared" si="36"/>
        <v>1143436</v>
      </c>
      <c r="R53" s="290">
        <f t="shared" si="36"/>
        <v>866803</v>
      </c>
      <c r="S53" s="290">
        <f t="shared" si="36"/>
        <v>967612</v>
      </c>
      <c r="T53" s="290">
        <f t="shared" si="36"/>
        <v>2088622</v>
      </c>
      <c r="U53" s="290">
        <f t="shared" si="36"/>
        <v>641149</v>
      </c>
      <c r="V53" s="290">
        <f t="shared" si="36"/>
        <v>1077670</v>
      </c>
      <c r="W53" s="290">
        <f t="shared" si="36"/>
        <v>641241</v>
      </c>
      <c r="X53" s="290">
        <f t="shared" si="36"/>
        <v>1008111</v>
      </c>
      <c r="Y53" s="290">
        <f t="shared" si="36"/>
        <v>623376</v>
      </c>
      <c r="Z53" s="290">
        <f t="shared" si="36"/>
        <v>761189</v>
      </c>
      <c r="AA53" s="290">
        <f t="shared" si="36"/>
        <v>1026540</v>
      </c>
      <c r="AB53" s="290">
        <f t="shared" si="36"/>
        <v>617790</v>
      </c>
      <c r="AC53" s="290">
        <f t="shared" si="36"/>
        <v>1876319</v>
      </c>
      <c r="AD53" s="290">
        <f t="shared" si="36"/>
        <v>1463620</v>
      </c>
    </row>
    <row r="54" spans="1:38" ht="18.75" x14ac:dyDescent="0.3">
      <c r="A54" s="470">
        <f>M53</f>
        <v>17352582</v>
      </c>
      <c r="B54" s="470"/>
      <c r="D54" s="247" t="s">
        <v>548</v>
      </c>
      <c r="E54" s="256">
        <f>SUM(E55:E58)</f>
        <v>38989445</v>
      </c>
      <c r="F54" s="257">
        <f>E54/E74</f>
        <v>0.47234209296682422</v>
      </c>
      <c r="G54" s="281" t="s">
        <v>549</v>
      </c>
      <c r="H54" s="282">
        <v>0</v>
      </c>
      <c r="I54" s="269">
        <f t="shared" si="34"/>
        <v>0</v>
      </c>
      <c r="K54" s="291" t="s">
        <v>386</v>
      </c>
      <c r="L54" s="292" t="str">
        <f>K54</f>
        <v>Sueldos</v>
      </c>
      <c r="M54" s="293">
        <f t="shared" si="33"/>
        <v>3165576</v>
      </c>
      <c r="N54" s="294">
        <v>162736</v>
      </c>
      <c r="O54" s="294">
        <v>162736</v>
      </c>
      <c r="P54" s="294">
        <v>162736</v>
      </c>
      <c r="Q54" s="294">
        <f>P54</f>
        <v>162736</v>
      </c>
      <c r="R54" s="294">
        <v>162736</v>
      </c>
      <c r="S54" s="294">
        <v>168696</v>
      </c>
      <c r="T54" s="294">
        <f>S54+1500</f>
        <v>170196</v>
      </c>
      <c r="U54" s="294">
        <v>165150</v>
      </c>
      <c r="V54" s="294">
        <v>176218</v>
      </c>
      <c r="W54" s="294">
        <v>176528</v>
      </c>
      <c r="X54" s="294">
        <v>200518</v>
      </c>
      <c r="Y54" s="294">
        <v>208826</v>
      </c>
      <c r="Z54" s="294">
        <v>208826</v>
      </c>
      <c r="AA54" s="294">
        <v>218416</v>
      </c>
      <c r="AB54" s="294">
        <v>217378</v>
      </c>
      <c r="AC54" s="294">
        <v>213994</v>
      </c>
      <c r="AD54" s="294">
        <v>227150</v>
      </c>
    </row>
    <row r="55" spans="1:38" x14ac:dyDescent="0.25">
      <c r="D55" s="279" t="s">
        <v>550</v>
      </c>
      <c r="E55" s="280">
        <v>0</v>
      </c>
      <c r="F55" s="58">
        <f>E55/E74</f>
        <v>0</v>
      </c>
      <c r="G55" s="295" t="s">
        <v>551</v>
      </c>
      <c r="H55" s="296">
        <f>E68-H65</f>
        <v>1523038</v>
      </c>
      <c r="I55" s="269">
        <f t="shared" si="34"/>
        <v>1.8451018130368514E-2</v>
      </c>
      <c r="K55" s="291" t="s">
        <v>552</v>
      </c>
      <c r="L55" s="292" t="str">
        <f>K55</f>
        <v xml:space="preserve">Mantenimiento </v>
      </c>
      <c r="M55" s="293">
        <f t="shared" si="33"/>
        <v>495040</v>
      </c>
      <c r="N55" s="294">
        <v>29120</v>
      </c>
      <c r="O55" s="294">
        <f>N55</f>
        <v>29120</v>
      </c>
      <c r="P55" s="294">
        <f>O55</f>
        <v>29120</v>
      </c>
      <c r="Q55" s="294">
        <f>P55</f>
        <v>29120</v>
      </c>
      <c r="R55" s="294">
        <f t="shared" ref="R55:AD55" si="37">Q55</f>
        <v>29120</v>
      </c>
      <c r="S55" s="294">
        <f t="shared" si="37"/>
        <v>29120</v>
      </c>
      <c r="T55" s="294">
        <f t="shared" si="37"/>
        <v>29120</v>
      </c>
      <c r="U55" s="294">
        <f t="shared" si="37"/>
        <v>29120</v>
      </c>
      <c r="V55" s="294">
        <f t="shared" si="37"/>
        <v>29120</v>
      </c>
      <c r="W55" s="294">
        <f t="shared" si="37"/>
        <v>29120</v>
      </c>
      <c r="X55" s="294">
        <f t="shared" si="37"/>
        <v>29120</v>
      </c>
      <c r="Y55" s="294">
        <f t="shared" si="37"/>
        <v>29120</v>
      </c>
      <c r="Z55" s="294">
        <f t="shared" si="37"/>
        <v>29120</v>
      </c>
      <c r="AA55" s="294">
        <f t="shared" si="37"/>
        <v>29120</v>
      </c>
      <c r="AB55" s="294">
        <f t="shared" si="37"/>
        <v>29120</v>
      </c>
      <c r="AC55" s="294">
        <f t="shared" si="37"/>
        <v>29120</v>
      </c>
      <c r="AD55" s="294">
        <f t="shared" si="37"/>
        <v>29120</v>
      </c>
    </row>
    <row r="56" spans="1:38" ht="20.25" customHeight="1" x14ac:dyDescent="0.25">
      <c r="D56" s="279" t="s">
        <v>548</v>
      </c>
      <c r="E56" s="280">
        <f>14003+1100+450+378420+6200+2100000+19100+99021+350+895000+8000+1838000+8434+5000+1570248+4162000+13170</f>
        <v>11118496</v>
      </c>
      <c r="F56" s="58">
        <f>E56/E74</f>
        <v>0.13469629206784717</v>
      </c>
      <c r="G56" s="278"/>
      <c r="H56" s="277"/>
      <c r="I56" s="297"/>
      <c r="K56" s="291" t="s">
        <v>553</v>
      </c>
      <c r="L56" s="292" t="s">
        <v>526</v>
      </c>
      <c r="M56" s="293">
        <f t="shared" si="33"/>
        <v>305380</v>
      </c>
      <c r="N56" s="294">
        <v>0</v>
      </c>
      <c r="O56" s="294">
        <v>0</v>
      </c>
      <c r="P56" s="294">
        <v>0</v>
      </c>
      <c r="Q56" s="294">
        <v>0</v>
      </c>
      <c r="R56" s="294">
        <v>0</v>
      </c>
      <c r="S56" s="294">
        <v>0</v>
      </c>
      <c r="T56" s="294">
        <v>0</v>
      </c>
      <c r="U56" s="294">
        <v>0</v>
      </c>
      <c r="V56" s="294">
        <v>0</v>
      </c>
      <c r="W56" s="294">
        <v>0</v>
      </c>
      <c r="X56" s="294">
        <v>0</v>
      </c>
      <c r="Y56" s="294">
        <v>0</v>
      </c>
      <c r="Z56" s="294">
        <v>0</v>
      </c>
      <c r="AA56" s="294">
        <v>0</v>
      </c>
      <c r="AB56" s="294">
        <v>0</v>
      </c>
      <c r="AC56" s="294">
        <v>305380</v>
      </c>
      <c r="AD56" s="294">
        <v>0</v>
      </c>
    </row>
    <row r="57" spans="1:38" x14ac:dyDescent="0.25">
      <c r="D57" s="279" t="s">
        <v>554</v>
      </c>
      <c r="E57" s="280">
        <f>7000000+19000+600000+4000+496109+4000+1530000+5500+3450000+10000+2500000+5000+3600000+15000+3869000+5000+245000+2000+4500000+11340</f>
        <v>27870949</v>
      </c>
      <c r="F57" s="58">
        <f>E57/E74</f>
        <v>0.33764580089897706</v>
      </c>
      <c r="G57" s="247" t="s">
        <v>555</v>
      </c>
      <c r="H57" s="298">
        <f>H58</f>
        <v>10256758</v>
      </c>
      <c r="I57" s="259">
        <f>H57/$H$74</f>
        <v>0.12425666845922578</v>
      </c>
      <c r="K57" s="291" t="s">
        <v>556</v>
      </c>
      <c r="L57" s="292" t="str">
        <f>K57</f>
        <v>Empleados</v>
      </c>
      <c r="M57" s="293">
        <f t="shared" si="33"/>
        <v>1109760</v>
      </c>
      <c r="N57" s="294">
        <v>65280</v>
      </c>
      <c r="O57" s="294">
        <f t="shared" ref="O57:AD57" si="38">N57</f>
        <v>65280</v>
      </c>
      <c r="P57" s="294">
        <f t="shared" si="38"/>
        <v>65280</v>
      </c>
      <c r="Q57" s="294">
        <f t="shared" si="38"/>
        <v>65280</v>
      </c>
      <c r="R57" s="294">
        <f t="shared" si="38"/>
        <v>65280</v>
      </c>
      <c r="S57" s="294">
        <f t="shared" si="38"/>
        <v>65280</v>
      </c>
      <c r="T57" s="294">
        <f t="shared" si="38"/>
        <v>65280</v>
      </c>
      <c r="U57" s="294">
        <f t="shared" si="38"/>
        <v>65280</v>
      </c>
      <c r="V57" s="294">
        <f t="shared" si="38"/>
        <v>65280</v>
      </c>
      <c r="W57" s="294">
        <f t="shared" si="38"/>
        <v>65280</v>
      </c>
      <c r="X57" s="294">
        <f t="shared" si="38"/>
        <v>65280</v>
      </c>
      <c r="Y57" s="294">
        <f t="shared" si="38"/>
        <v>65280</v>
      </c>
      <c r="Z57" s="294">
        <f t="shared" si="38"/>
        <v>65280</v>
      </c>
      <c r="AA57" s="294">
        <f t="shared" si="38"/>
        <v>65280</v>
      </c>
      <c r="AB57" s="294">
        <f t="shared" si="38"/>
        <v>65280</v>
      </c>
      <c r="AC57" s="294">
        <f t="shared" si="38"/>
        <v>65280</v>
      </c>
      <c r="AD57" s="294">
        <f t="shared" si="38"/>
        <v>65280</v>
      </c>
    </row>
    <row r="58" spans="1:38" x14ac:dyDescent="0.25">
      <c r="D58" s="279" t="s">
        <v>557</v>
      </c>
      <c r="E58" s="280">
        <v>0</v>
      </c>
      <c r="F58" s="58">
        <f>E58/E74</f>
        <v>0</v>
      </c>
      <c r="G58" s="299" t="s">
        <v>558</v>
      </c>
      <c r="H58" s="300">
        <f>M59</f>
        <v>10256758</v>
      </c>
      <c r="I58" s="269">
        <f>H58/$H$74</f>
        <v>0.12425666845922578</v>
      </c>
      <c r="K58" s="291" t="s">
        <v>559</v>
      </c>
      <c r="L58" s="292" t="str">
        <f>K58</f>
        <v>Juveniles</v>
      </c>
      <c r="M58" s="293">
        <f t="shared" si="33"/>
        <v>340000</v>
      </c>
      <c r="N58" s="294">
        <v>20000</v>
      </c>
      <c r="O58" s="294">
        <f t="shared" ref="O58:AD58" si="39">N58</f>
        <v>20000</v>
      </c>
      <c r="P58" s="294">
        <f t="shared" si="39"/>
        <v>20000</v>
      </c>
      <c r="Q58" s="294">
        <f t="shared" si="39"/>
        <v>20000</v>
      </c>
      <c r="R58" s="294">
        <f t="shared" si="39"/>
        <v>20000</v>
      </c>
      <c r="S58" s="294">
        <f t="shared" si="39"/>
        <v>20000</v>
      </c>
      <c r="T58" s="294">
        <f t="shared" si="39"/>
        <v>20000</v>
      </c>
      <c r="U58" s="294">
        <f t="shared" si="39"/>
        <v>20000</v>
      </c>
      <c r="V58" s="294">
        <f t="shared" si="39"/>
        <v>20000</v>
      </c>
      <c r="W58" s="294">
        <f t="shared" si="39"/>
        <v>20000</v>
      </c>
      <c r="X58" s="294">
        <f t="shared" si="39"/>
        <v>20000</v>
      </c>
      <c r="Y58" s="294">
        <f t="shared" si="39"/>
        <v>20000</v>
      </c>
      <c r="Z58" s="294">
        <f t="shared" si="39"/>
        <v>20000</v>
      </c>
      <c r="AA58" s="294">
        <f t="shared" si="39"/>
        <v>20000</v>
      </c>
      <c r="AB58" s="294">
        <f t="shared" si="39"/>
        <v>20000</v>
      </c>
      <c r="AC58" s="294">
        <f t="shared" si="39"/>
        <v>20000</v>
      </c>
      <c r="AD58" s="294">
        <f t="shared" si="39"/>
        <v>20000</v>
      </c>
    </row>
    <row r="59" spans="1:38" ht="20.25" customHeight="1" x14ac:dyDescent="0.25">
      <c r="D59" s="278"/>
      <c r="E59" s="286"/>
      <c r="G59" s="276"/>
      <c r="H59" s="277"/>
      <c r="I59" s="269"/>
      <c r="K59" s="291" t="s">
        <v>560</v>
      </c>
      <c r="L59" s="292" t="s">
        <v>558</v>
      </c>
      <c r="M59" s="293">
        <f t="shared" si="33"/>
        <v>10256758</v>
      </c>
      <c r="N59" s="294">
        <v>0</v>
      </c>
      <c r="O59" s="294">
        <v>0</v>
      </c>
      <c r="P59" s="294">
        <f t="shared" ref="P59:T60" si="40">O59</f>
        <v>0</v>
      </c>
      <c r="Q59" s="294">
        <f t="shared" si="40"/>
        <v>0</v>
      </c>
      <c r="R59" s="294">
        <f t="shared" si="40"/>
        <v>0</v>
      </c>
      <c r="S59" s="294">
        <f t="shared" si="40"/>
        <v>0</v>
      </c>
      <c r="T59" s="294">
        <f t="shared" si="40"/>
        <v>0</v>
      </c>
      <c r="U59" s="294">
        <v>1570248</v>
      </c>
      <c r="V59" s="294">
        <v>0</v>
      </c>
      <c r="W59" s="294">
        <v>4175170</v>
      </c>
      <c r="X59" s="294">
        <v>0</v>
      </c>
      <c r="Y59" s="294">
        <f t="shared" ref="Y59:AB60" si="41">X59</f>
        <v>0</v>
      </c>
      <c r="Z59" s="294">
        <f t="shared" si="41"/>
        <v>0</v>
      </c>
      <c r="AA59" s="294">
        <f t="shared" si="41"/>
        <v>0</v>
      </c>
      <c r="AB59" s="294">
        <f t="shared" si="41"/>
        <v>0</v>
      </c>
      <c r="AC59" s="294">
        <v>4511340</v>
      </c>
      <c r="AD59" s="294">
        <v>0</v>
      </c>
    </row>
    <row r="60" spans="1:38" x14ac:dyDescent="0.25">
      <c r="D60" s="247" t="s">
        <v>533</v>
      </c>
      <c r="E60" s="301">
        <f>E61</f>
        <v>2013660</v>
      </c>
      <c r="F60" s="257">
        <f>E60/E74</f>
        <v>2.4394714490641643E-2</v>
      </c>
      <c r="G60" s="276"/>
      <c r="H60" s="277"/>
      <c r="I60" s="269"/>
      <c r="K60" s="471" t="s">
        <v>540</v>
      </c>
      <c r="L60" s="292" t="s">
        <v>394</v>
      </c>
      <c r="M60" s="293">
        <f t="shared" si="33"/>
        <v>0</v>
      </c>
      <c r="N60" s="294">
        <v>0</v>
      </c>
      <c r="O60" s="294">
        <f>N60</f>
        <v>0</v>
      </c>
      <c r="P60" s="294">
        <f t="shared" si="40"/>
        <v>0</v>
      </c>
      <c r="Q60" s="294">
        <f t="shared" si="40"/>
        <v>0</v>
      </c>
      <c r="R60" s="294">
        <f t="shared" si="40"/>
        <v>0</v>
      </c>
      <c r="S60" s="294">
        <f t="shared" si="40"/>
        <v>0</v>
      </c>
      <c r="T60" s="294">
        <f t="shared" si="40"/>
        <v>0</v>
      </c>
      <c r="U60" s="294">
        <f>T60</f>
        <v>0</v>
      </c>
      <c r="V60" s="294">
        <f>U60</f>
        <v>0</v>
      </c>
      <c r="W60" s="294">
        <f>V60</f>
        <v>0</v>
      </c>
      <c r="X60" s="294">
        <f>W60</f>
        <v>0</v>
      </c>
      <c r="Y60" s="294">
        <f t="shared" si="41"/>
        <v>0</v>
      </c>
      <c r="Z60" s="294">
        <f t="shared" si="41"/>
        <v>0</v>
      </c>
      <c r="AA60" s="294">
        <f t="shared" si="41"/>
        <v>0</v>
      </c>
      <c r="AB60" s="294">
        <f t="shared" si="41"/>
        <v>0</v>
      </c>
      <c r="AC60" s="294">
        <f>AB60</f>
        <v>0</v>
      </c>
      <c r="AD60" s="294">
        <f>AC60</f>
        <v>0</v>
      </c>
    </row>
    <row r="61" spans="1:38" x14ac:dyDescent="0.25">
      <c r="D61" s="279" t="s">
        <v>533</v>
      </c>
      <c r="E61" s="280">
        <f>M47+M48</f>
        <v>2013660</v>
      </c>
      <c r="F61" s="58">
        <f>E61/E74</f>
        <v>2.4394714490641643E-2</v>
      </c>
      <c r="G61" s="247" t="s">
        <v>561</v>
      </c>
      <c r="H61" s="258">
        <f>SUM(H62:H63)</f>
        <v>305380</v>
      </c>
      <c r="I61" s="259">
        <f>H61/$H$74</f>
        <v>3.6995609542584871E-3</v>
      </c>
      <c r="K61" s="472"/>
      <c r="L61" s="292" t="s">
        <v>562</v>
      </c>
      <c r="M61" s="293">
        <f t="shared" si="33"/>
        <v>205508</v>
      </c>
      <c r="N61" s="294">
        <v>18000</v>
      </c>
      <c r="O61" s="294">
        <v>3000</v>
      </c>
      <c r="P61" s="294">
        <v>3000</v>
      </c>
      <c r="Q61" s="294">
        <v>3000</v>
      </c>
      <c r="R61" s="294">
        <v>3000</v>
      </c>
      <c r="S61" s="294">
        <v>4000</v>
      </c>
      <c r="T61" s="294">
        <v>3000</v>
      </c>
      <c r="U61" s="294">
        <v>84508</v>
      </c>
      <c r="V61" s="294">
        <v>3000</v>
      </c>
      <c r="W61" s="294">
        <v>11000</v>
      </c>
      <c r="X61" s="294">
        <v>8000</v>
      </c>
      <c r="Y61" s="294">
        <v>6000</v>
      </c>
      <c r="Z61" s="294">
        <f>Y61</f>
        <v>6000</v>
      </c>
      <c r="AA61" s="294">
        <v>9000</v>
      </c>
      <c r="AB61" s="294">
        <v>8000</v>
      </c>
      <c r="AC61" s="294">
        <v>16000</v>
      </c>
      <c r="AD61" s="294">
        <v>17000</v>
      </c>
    </row>
    <row r="62" spans="1:38" ht="18.75" x14ac:dyDescent="0.3">
      <c r="C62" s="302"/>
      <c r="D62" s="278"/>
      <c r="E62" s="286"/>
      <c r="G62" s="299" t="s">
        <v>526</v>
      </c>
      <c r="H62" s="303">
        <f>M56</f>
        <v>305380</v>
      </c>
      <c r="I62" s="269">
        <f>H62/$H$74</f>
        <v>3.6995609542584871E-3</v>
      </c>
      <c r="K62" s="473"/>
      <c r="L62" s="292" t="s">
        <v>563</v>
      </c>
      <c r="M62" s="293">
        <f t="shared" si="33"/>
        <v>0</v>
      </c>
      <c r="N62" s="294">
        <v>0</v>
      </c>
      <c r="O62" s="294">
        <f t="shared" ref="O62:Y62" si="42">N62</f>
        <v>0</v>
      </c>
      <c r="P62" s="294">
        <f t="shared" si="42"/>
        <v>0</v>
      </c>
      <c r="Q62" s="294">
        <f t="shared" si="42"/>
        <v>0</v>
      </c>
      <c r="R62" s="294">
        <f t="shared" si="42"/>
        <v>0</v>
      </c>
      <c r="S62" s="294">
        <f t="shared" si="42"/>
        <v>0</v>
      </c>
      <c r="T62" s="294">
        <f t="shared" si="42"/>
        <v>0</v>
      </c>
      <c r="U62" s="294">
        <f t="shared" si="42"/>
        <v>0</v>
      </c>
      <c r="V62" s="294">
        <f t="shared" si="42"/>
        <v>0</v>
      </c>
      <c r="W62" s="294">
        <f t="shared" si="42"/>
        <v>0</v>
      </c>
      <c r="X62" s="294">
        <f t="shared" si="42"/>
        <v>0</v>
      </c>
      <c r="Y62" s="294">
        <f t="shared" si="42"/>
        <v>0</v>
      </c>
      <c r="Z62" s="294">
        <f>Y62</f>
        <v>0</v>
      </c>
      <c r="AA62" s="294">
        <f t="shared" ref="AA62:AD63" si="43">Z62</f>
        <v>0</v>
      </c>
      <c r="AB62" s="294">
        <f t="shared" si="43"/>
        <v>0</v>
      </c>
      <c r="AC62" s="294">
        <f t="shared" si="43"/>
        <v>0</v>
      </c>
      <c r="AD62" s="294">
        <f t="shared" si="43"/>
        <v>0</v>
      </c>
    </row>
    <row r="63" spans="1:38" ht="18.75" x14ac:dyDescent="0.3">
      <c r="A63" s="304" t="str">
        <f t="shared" ref="A63:A70" si="44">L54</f>
        <v>Sueldos</v>
      </c>
      <c r="B63" s="305">
        <f t="shared" ref="B63:B70" si="45">M54/$M$64</f>
        <v>0.19936840999464542</v>
      </c>
      <c r="C63" s="255"/>
      <c r="D63" s="247" t="s">
        <v>564</v>
      </c>
      <c r="E63" s="256">
        <f>E64+E65-E66</f>
        <v>17183459</v>
      </c>
      <c r="F63" s="257">
        <f>E63/E74</f>
        <v>0.20817098033761736</v>
      </c>
      <c r="G63" s="299" t="s">
        <v>394</v>
      </c>
      <c r="H63" s="303">
        <f>M60</f>
        <v>0</v>
      </c>
      <c r="I63" s="269">
        <f>H63/$H$74</f>
        <v>0</v>
      </c>
      <c r="K63" s="291" t="s">
        <v>565</v>
      </c>
      <c r="L63" s="292" t="str">
        <f>K63</f>
        <v>Intereses</v>
      </c>
      <c r="M63" s="293">
        <f t="shared" si="33"/>
        <v>0</v>
      </c>
      <c r="N63" s="294">
        <v>0</v>
      </c>
      <c r="O63" s="294">
        <f t="shared" ref="O63:Y63" si="46">N63</f>
        <v>0</v>
      </c>
      <c r="P63" s="294">
        <f t="shared" si="46"/>
        <v>0</v>
      </c>
      <c r="Q63" s="294">
        <f t="shared" si="46"/>
        <v>0</v>
      </c>
      <c r="R63" s="294">
        <f t="shared" si="46"/>
        <v>0</v>
      </c>
      <c r="S63" s="294">
        <f t="shared" si="46"/>
        <v>0</v>
      </c>
      <c r="T63" s="294">
        <f t="shared" si="46"/>
        <v>0</v>
      </c>
      <c r="U63" s="294">
        <f t="shared" si="46"/>
        <v>0</v>
      </c>
      <c r="V63" s="294">
        <f t="shared" si="46"/>
        <v>0</v>
      </c>
      <c r="W63" s="294">
        <f t="shared" si="46"/>
        <v>0</v>
      </c>
      <c r="X63" s="294">
        <f t="shared" si="46"/>
        <v>0</v>
      </c>
      <c r="Y63" s="294">
        <f t="shared" si="46"/>
        <v>0</v>
      </c>
      <c r="Z63" s="294">
        <f>Y63</f>
        <v>0</v>
      </c>
      <c r="AA63" s="294">
        <f t="shared" si="43"/>
        <v>0</v>
      </c>
      <c r="AB63" s="294">
        <f t="shared" si="43"/>
        <v>0</v>
      </c>
      <c r="AC63" s="294">
        <f t="shared" si="43"/>
        <v>0</v>
      </c>
      <c r="AD63" s="294">
        <f t="shared" si="43"/>
        <v>0</v>
      </c>
    </row>
    <row r="64" spans="1:38" ht="18.75" x14ac:dyDescent="0.3">
      <c r="A64" s="304" t="str">
        <f t="shared" si="44"/>
        <v xml:space="preserve">Mantenimiento </v>
      </c>
      <c r="B64" s="305">
        <f t="shared" si="45"/>
        <v>3.1177686994009707E-2</v>
      </c>
      <c r="C64" s="239"/>
      <c r="D64" s="281" t="s">
        <v>566</v>
      </c>
      <c r="E64" s="306">
        <f>N44</f>
        <v>8683459</v>
      </c>
      <c r="F64" s="58">
        <f>E64/E74</f>
        <v>0.10519675769305274</v>
      </c>
      <c r="G64" s="276"/>
      <c r="H64" s="277"/>
      <c r="I64" s="269"/>
      <c r="K64" s="307" t="s">
        <v>567</v>
      </c>
      <c r="L64" s="308"/>
      <c r="M64" s="309">
        <f t="shared" si="33"/>
        <v>15878022</v>
      </c>
      <c r="N64" s="310">
        <f t="shared" ref="N64:AD64" si="47">SUM(N54:N63)</f>
        <v>295136</v>
      </c>
      <c r="O64" s="310">
        <f t="shared" si="47"/>
        <v>280136</v>
      </c>
      <c r="P64" s="310">
        <f t="shared" si="47"/>
        <v>280136</v>
      </c>
      <c r="Q64" s="310">
        <f t="shared" si="47"/>
        <v>280136</v>
      </c>
      <c r="R64" s="310">
        <f t="shared" si="47"/>
        <v>280136</v>
      </c>
      <c r="S64" s="310">
        <f t="shared" si="47"/>
        <v>287096</v>
      </c>
      <c r="T64" s="310">
        <f t="shared" si="47"/>
        <v>287596</v>
      </c>
      <c r="U64" s="310">
        <f t="shared" si="47"/>
        <v>1934306</v>
      </c>
      <c r="V64" s="310">
        <f t="shared" si="47"/>
        <v>293618</v>
      </c>
      <c r="W64" s="310">
        <f t="shared" si="47"/>
        <v>4477098</v>
      </c>
      <c r="X64" s="310">
        <f t="shared" si="47"/>
        <v>322918</v>
      </c>
      <c r="Y64" s="310">
        <f t="shared" si="47"/>
        <v>329226</v>
      </c>
      <c r="Z64" s="310">
        <f t="shared" si="47"/>
        <v>329226</v>
      </c>
      <c r="AA64" s="310">
        <f t="shared" si="47"/>
        <v>341816</v>
      </c>
      <c r="AB64" s="310">
        <f t="shared" si="47"/>
        <v>339778</v>
      </c>
      <c r="AC64" s="310">
        <f t="shared" si="47"/>
        <v>5161114</v>
      </c>
      <c r="AD64" s="310">
        <f t="shared" si="47"/>
        <v>358550</v>
      </c>
    </row>
    <row r="65" spans="1:30" ht="18.75" x14ac:dyDescent="0.3">
      <c r="A65" s="304" t="str">
        <f t="shared" si="44"/>
        <v>Estadio</v>
      </c>
      <c r="B65" s="305">
        <f t="shared" si="45"/>
        <v>1.9232874220731021E-2</v>
      </c>
      <c r="C65" s="41"/>
      <c r="D65" s="281" t="str">
        <f>D51</f>
        <v>Ing Reservas</v>
      </c>
      <c r="E65" s="351">
        <f>M52</f>
        <v>8500000</v>
      </c>
      <c r="F65" s="58">
        <f>E65/E74</f>
        <v>0.1029742226445646</v>
      </c>
      <c r="G65" s="247" t="s">
        <v>568</v>
      </c>
      <c r="H65" s="258">
        <f>SUM(H66:H71)</f>
        <v>5315884</v>
      </c>
      <c r="I65" s="259">
        <f t="shared" ref="I65:I71" si="48">H65/$H$74</f>
        <v>6.4399885008079846E-2</v>
      </c>
      <c r="K65" s="311" t="s">
        <v>569</v>
      </c>
      <c r="L65" s="311"/>
      <c r="M65" s="262">
        <f t="shared" ref="M65:AD65" si="49">M44+M53-M64</f>
        <v>10158019</v>
      </c>
      <c r="N65" s="262">
        <f t="shared" si="49"/>
        <v>9623483</v>
      </c>
      <c r="O65" s="262">
        <f t="shared" si="49"/>
        <v>9994868</v>
      </c>
      <c r="P65" s="262">
        <f t="shared" si="49"/>
        <v>10377155</v>
      </c>
      <c r="Q65" s="262">
        <f t="shared" si="49"/>
        <v>11240455</v>
      </c>
      <c r="R65" s="262">
        <f t="shared" si="49"/>
        <v>11827122</v>
      </c>
      <c r="S65" s="262">
        <f t="shared" si="49"/>
        <v>12507638</v>
      </c>
      <c r="T65" s="262">
        <f t="shared" si="49"/>
        <v>14308664</v>
      </c>
      <c r="U65" s="262">
        <f t="shared" si="49"/>
        <v>13015507</v>
      </c>
      <c r="V65" s="262">
        <f t="shared" si="49"/>
        <v>13799559</v>
      </c>
      <c r="W65" s="262">
        <f t="shared" si="49"/>
        <v>9963702</v>
      </c>
      <c r="X65" s="262">
        <f t="shared" si="49"/>
        <v>10648895</v>
      </c>
      <c r="Y65" s="262">
        <f t="shared" si="49"/>
        <v>10943045</v>
      </c>
      <c r="Z65" s="262">
        <f t="shared" si="49"/>
        <v>11375008</v>
      </c>
      <c r="AA65" s="262">
        <f t="shared" si="49"/>
        <v>12059732</v>
      </c>
      <c r="AB65" s="262">
        <f t="shared" si="49"/>
        <v>12337744</v>
      </c>
      <c r="AC65" s="262">
        <f t="shared" si="49"/>
        <v>9052949</v>
      </c>
      <c r="AD65" s="262">
        <f t="shared" si="49"/>
        <v>10158019</v>
      </c>
    </row>
    <row r="66" spans="1:30" x14ac:dyDescent="0.25">
      <c r="A66" s="304" t="str">
        <f t="shared" si="44"/>
        <v>Empleados</v>
      </c>
      <c r="B66" s="305">
        <f t="shared" si="45"/>
        <v>6.9892836777780007E-2</v>
      </c>
      <c r="C66" s="43"/>
      <c r="D66" s="281" t="str">
        <f>D52</f>
        <v>Pago Reservas</v>
      </c>
      <c r="E66" s="306">
        <f>M62*-1</f>
        <v>0</v>
      </c>
      <c r="F66" s="58">
        <f>E66/E74</f>
        <v>0</v>
      </c>
      <c r="G66" s="299" t="s">
        <v>570</v>
      </c>
      <c r="H66" s="303">
        <f>M54</f>
        <v>3165576</v>
      </c>
      <c r="I66" s="269">
        <f t="shared" si="48"/>
        <v>3.8349732684975324E-2</v>
      </c>
      <c r="K66" s="312"/>
      <c r="L66" s="312"/>
      <c r="M66" s="312"/>
      <c r="N66" s="313">
        <f>N40+7</f>
        <v>43644</v>
      </c>
      <c r="O66" s="313">
        <f t="shared" ref="O66:AD66" si="50">N66+7</f>
        <v>43651</v>
      </c>
      <c r="P66" s="313">
        <f t="shared" si="50"/>
        <v>43658</v>
      </c>
      <c r="Q66" s="313">
        <f t="shared" si="50"/>
        <v>43665</v>
      </c>
      <c r="R66" s="313">
        <f t="shared" si="50"/>
        <v>43672</v>
      </c>
      <c r="S66" s="313">
        <f t="shared" si="50"/>
        <v>43679</v>
      </c>
      <c r="T66" s="313">
        <f t="shared" si="50"/>
        <v>43686</v>
      </c>
      <c r="U66" s="313">
        <f t="shared" si="50"/>
        <v>43693</v>
      </c>
      <c r="V66" s="313">
        <f t="shared" si="50"/>
        <v>43700</v>
      </c>
      <c r="W66" s="313">
        <f t="shared" si="50"/>
        <v>43707</v>
      </c>
      <c r="X66" s="313">
        <f t="shared" si="50"/>
        <v>43714</v>
      </c>
      <c r="Y66" s="313">
        <f t="shared" si="50"/>
        <v>43721</v>
      </c>
      <c r="Z66" s="313">
        <f t="shared" si="50"/>
        <v>43728</v>
      </c>
      <c r="AA66" s="313">
        <f t="shared" si="50"/>
        <v>43735</v>
      </c>
      <c r="AB66" s="313">
        <f t="shared" si="50"/>
        <v>43742</v>
      </c>
      <c r="AC66" s="313">
        <f t="shared" si="50"/>
        <v>43749</v>
      </c>
      <c r="AD66" s="313">
        <f t="shared" si="50"/>
        <v>43756</v>
      </c>
    </row>
    <row r="67" spans="1:30" x14ac:dyDescent="0.25">
      <c r="A67" s="304" t="str">
        <f t="shared" si="44"/>
        <v>Juveniles</v>
      </c>
      <c r="B67" s="305">
        <f t="shared" si="45"/>
        <v>2.1413246561819855E-2</v>
      </c>
      <c r="C67" s="41"/>
      <c r="D67" s="276"/>
      <c r="E67" s="314"/>
      <c r="F67" s="58"/>
      <c r="G67" s="299" t="s">
        <v>552</v>
      </c>
      <c r="H67" s="303">
        <f>M55</f>
        <v>495040</v>
      </c>
      <c r="I67" s="269">
        <f t="shared" si="48"/>
        <v>5.9972187268194426E-3</v>
      </c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</row>
    <row r="68" spans="1:30" x14ac:dyDescent="0.25">
      <c r="A68" s="304" t="str">
        <f t="shared" si="44"/>
        <v>Compra</v>
      </c>
      <c r="B68" s="305">
        <f t="shared" si="45"/>
        <v>0.64597202346740668</v>
      </c>
      <c r="D68" s="247" t="s">
        <v>571</v>
      </c>
      <c r="E68" s="256">
        <f>SUM(E69:E73)</f>
        <v>6838922</v>
      </c>
      <c r="F68" s="257">
        <f>E68/E74</f>
        <v>8.2850903138448354E-2</v>
      </c>
      <c r="G68" s="299" t="s">
        <v>556</v>
      </c>
      <c r="H68" s="303">
        <f>M57</f>
        <v>1109760</v>
      </c>
      <c r="I68" s="269">
        <f t="shared" si="48"/>
        <v>1.3444314508474355E-2</v>
      </c>
      <c r="K68" s="316"/>
      <c r="L68" s="316"/>
      <c r="M68" s="317" t="s">
        <v>548</v>
      </c>
      <c r="N68" s="318">
        <v>18</v>
      </c>
      <c r="O68" s="318">
        <v>18</v>
      </c>
      <c r="P68" s="318">
        <v>18</v>
      </c>
      <c r="Q68" s="318">
        <v>18</v>
      </c>
      <c r="R68" s="318">
        <v>18</v>
      </c>
      <c r="S68" s="318">
        <v>18</v>
      </c>
      <c r="T68" s="318"/>
      <c r="U68" s="318"/>
      <c r="V68" s="318">
        <v>17</v>
      </c>
      <c r="W68" s="318">
        <v>17</v>
      </c>
      <c r="X68" s="318">
        <v>19</v>
      </c>
      <c r="Y68" s="318">
        <v>19</v>
      </c>
      <c r="Z68" s="318"/>
      <c r="AA68" s="318">
        <v>20</v>
      </c>
      <c r="AB68" s="318">
        <v>20</v>
      </c>
      <c r="AC68" s="318">
        <v>22</v>
      </c>
      <c r="AD68" s="318">
        <v>21</v>
      </c>
    </row>
    <row r="69" spans="1:30" x14ac:dyDescent="0.25">
      <c r="A69" s="304" t="str">
        <f t="shared" si="44"/>
        <v>Entrenador</v>
      </c>
      <c r="B69" s="305">
        <f t="shared" si="45"/>
        <v>0</v>
      </c>
      <c r="D69" s="281" t="s">
        <v>521</v>
      </c>
      <c r="E69" s="306">
        <f>M50</f>
        <v>120064</v>
      </c>
      <c r="F69" s="58">
        <f>E69/E74</f>
        <v>1.4545290667761183E-3</v>
      </c>
      <c r="G69" s="299" t="s">
        <v>559</v>
      </c>
      <c r="H69" s="303">
        <f>M58</f>
        <v>340000</v>
      </c>
      <c r="I69" s="269">
        <f t="shared" si="48"/>
        <v>4.1189689057825841E-3</v>
      </c>
      <c r="K69" s="41"/>
      <c r="L69" s="474" t="s">
        <v>572</v>
      </c>
      <c r="M69" s="319" t="s">
        <v>127</v>
      </c>
      <c r="N69" s="318">
        <v>950340</v>
      </c>
      <c r="O69" s="318">
        <v>949900</v>
      </c>
      <c r="P69" s="318">
        <v>1007530</v>
      </c>
      <c r="Q69" s="318">
        <v>1065770</v>
      </c>
      <c r="R69" s="318">
        <v>1065800</v>
      </c>
      <c r="S69" s="318">
        <v>1092850</v>
      </c>
      <c r="T69" s="318"/>
      <c r="U69" s="318"/>
      <c r="V69" s="318">
        <v>1154480</v>
      </c>
      <c r="W69" s="318">
        <v>1166260</v>
      </c>
      <c r="X69" s="318">
        <v>1290910</v>
      </c>
      <c r="Y69" s="318">
        <v>1318910</v>
      </c>
      <c r="Z69" s="318"/>
      <c r="AA69" s="318">
        <v>1329090</v>
      </c>
      <c r="AB69" s="318">
        <v>1335700</v>
      </c>
      <c r="AC69" s="318">
        <v>1391860</v>
      </c>
      <c r="AD69" s="318">
        <v>1417100</v>
      </c>
    </row>
    <row r="70" spans="1:30" x14ac:dyDescent="0.25">
      <c r="A70" s="304" t="str">
        <f t="shared" si="44"/>
        <v>Viajes+Venta</v>
      </c>
      <c r="B70" s="305">
        <f t="shared" si="45"/>
        <v>1.2942921983607279E-2</v>
      </c>
      <c r="D70" s="281" t="s">
        <v>543</v>
      </c>
      <c r="E70" s="306">
        <f>M51</f>
        <v>1125000</v>
      </c>
      <c r="F70" s="58">
        <f>E70/E74</f>
        <v>1.3628941232368845E-2</v>
      </c>
      <c r="G70" s="299" t="s">
        <v>562</v>
      </c>
      <c r="H70" s="303">
        <f>M61</f>
        <v>205508</v>
      </c>
      <c r="I70" s="269">
        <f t="shared" si="48"/>
        <v>2.489650182028139E-3</v>
      </c>
      <c r="K70" s="41"/>
      <c r="L70" s="474"/>
      <c r="M70" s="319" t="s">
        <v>471</v>
      </c>
      <c r="N70" s="318">
        <v>162436</v>
      </c>
      <c r="O70" s="318">
        <v>162436</v>
      </c>
      <c r="P70" s="318">
        <v>162436</v>
      </c>
      <c r="Q70" s="318">
        <v>162436</v>
      </c>
      <c r="R70" s="318">
        <v>162436</v>
      </c>
      <c r="S70" s="318">
        <v>168396</v>
      </c>
      <c r="T70" s="318"/>
      <c r="U70" s="318"/>
      <c r="V70" s="318">
        <v>175918</v>
      </c>
      <c r="W70" s="318">
        <v>187048</v>
      </c>
      <c r="X70" s="318">
        <v>208526</v>
      </c>
      <c r="Y70" s="318">
        <v>208526</v>
      </c>
      <c r="Z70" s="318"/>
      <c r="AA70" s="318">
        <v>217078</v>
      </c>
      <c r="AB70" s="318">
        <v>215974</v>
      </c>
      <c r="AC70" s="318">
        <v>225484</v>
      </c>
      <c r="AD70" s="318">
        <v>226850</v>
      </c>
    </row>
    <row r="71" spans="1:30" x14ac:dyDescent="0.25">
      <c r="A71" s="304" t="str">
        <f>L63</f>
        <v>Intereses</v>
      </c>
      <c r="B71" s="305">
        <f>M63/$M$64</f>
        <v>0</v>
      </c>
      <c r="D71" s="281" t="s">
        <v>528</v>
      </c>
      <c r="E71" s="306">
        <f>M45</f>
        <v>3506373</v>
      </c>
      <c r="F71" s="58">
        <f>E71/E74</f>
        <v>4.247835693845764E-2</v>
      </c>
      <c r="G71" s="299" t="s">
        <v>565</v>
      </c>
      <c r="H71" s="303">
        <f>M63</f>
        <v>0</v>
      </c>
      <c r="I71" s="269">
        <f t="shared" si="48"/>
        <v>0</v>
      </c>
      <c r="K71" s="41"/>
      <c r="L71" s="474"/>
      <c r="M71" s="319" t="s">
        <v>387</v>
      </c>
      <c r="N71" s="318">
        <v>867000</v>
      </c>
      <c r="O71" s="318">
        <v>866870</v>
      </c>
      <c r="P71" s="318">
        <v>921130</v>
      </c>
      <c r="Q71" s="318">
        <v>981580</v>
      </c>
      <c r="R71" s="318">
        <v>981420</v>
      </c>
      <c r="S71" s="318">
        <v>1007480</v>
      </c>
      <c r="T71" s="318"/>
      <c r="U71" s="318"/>
      <c r="V71" s="318">
        <v>1062240</v>
      </c>
      <c r="W71" s="318">
        <v>1070780</v>
      </c>
      <c r="X71" s="318">
        <v>1132060</v>
      </c>
      <c r="Y71" s="318">
        <v>1158820</v>
      </c>
      <c r="Z71" s="318"/>
      <c r="AA71" s="318">
        <v>1172920</v>
      </c>
      <c r="AB71" s="318">
        <v>1184390</v>
      </c>
      <c r="AC71" s="318">
        <v>1192530</v>
      </c>
      <c r="AD71" s="318">
        <v>1226010</v>
      </c>
    </row>
    <row r="72" spans="1:30" ht="18.75" x14ac:dyDescent="0.3">
      <c r="A72" s="41"/>
      <c r="B72" s="320">
        <f>SUM(B63:B71)</f>
        <v>1</v>
      </c>
      <c r="D72" s="281" t="s">
        <v>530</v>
      </c>
      <c r="E72" s="306">
        <f>M46</f>
        <v>1717645</v>
      </c>
      <c r="F72" s="58">
        <f>E72/E74</f>
        <v>2.0808606900508609E-2</v>
      </c>
      <c r="G72" s="276"/>
      <c r="H72" s="277"/>
      <c r="I72" s="269"/>
      <c r="K72" s="41"/>
      <c r="L72" s="474"/>
      <c r="M72" s="319" t="s">
        <v>388</v>
      </c>
      <c r="N72" s="318">
        <v>140830</v>
      </c>
      <c r="O72" s="318">
        <v>140830</v>
      </c>
      <c r="P72" s="318">
        <v>140830</v>
      </c>
      <c r="Q72" s="318">
        <v>140830</v>
      </c>
      <c r="R72" s="318">
        <v>140830</v>
      </c>
      <c r="S72" s="318">
        <v>146790</v>
      </c>
      <c r="T72" s="318"/>
      <c r="U72" s="318"/>
      <c r="V72" s="318">
        <v>148210</v>
      </c>
      <c r="W72" s="318">
        <v>159030</v>
      </c>
      <c r="X72" s="318">
        <v>163720</v>
      </c>
      <c r="Y72" s="318">
        <v>163720</v>
      </c>
      <c r="Z72" s="318"/>
      <c r="AA72" s="318">
        <v>161620</v>
      </c>
      <c r="AB72" s="318">
        <v>173310</v>
      </c>
      <c r="AC72" s="318">
        <v>173310</v>
      </c>
      <c r="AD72" s="318">
        <v>176410</v>
      </c>
    </row>
    <row r="73" spans="1:30" ht="18.75" x14ac:dyDescent="0.3">
      <c r="A73" s="43"/>
      <c r="B73" s="321"/>
      <c r="D73" s="322" t="s">
        <v>537</v>
      </c>
      <c r="E73" s="323">
        <f>M49</f>
        <v>369840</v>
      </c>
      <c r="F73" s="58">
        <f>E73/E74</f>
        <v>4.4804690003371495E-3</v>
      </c>
      <c r="G73" s="324"/>
      <c r="H73" s="325"/>
      <c r="I73" s="326"/>
      <c r="K73" s="41"/>
      <c r="L73" s="474"/>
      <c r="M73" s="319" t="s">
        <v>392</v>
      </c>
      <c r="N73" s="327" t="s">
        <v>573</v>
      </c>
      <c r="O73" s="327" t="s">
        <v>574</v>
      </c>
      <c r="P73" s="327" t="s">
        <v>575</v>
      </c>
      <c r="Q73" s="327" t="s">
        <v>576</v>
      </c>
      <c r="R73" s="327" t="s">
        <v>577</v>
      </c>
      <c r="S73" s="327" t="s">
        <v>578</v>
      </c>
      <c r="T73" s="327"/>
      <c r="U73" s="327"/>
      <c r="V73" s="327" t="s">
        <v>579</v>
      </c>
      <c r="W73" s="327" t="s">
        <v>580</v>
      </c>
      <c r="X73" s="327" t="s">
        <v>581</v>
      </c>
      <c r="Y73" s="327" t="s">
        <v>574</v>
      </c>
      <c r="Z73" s="327"/>
      <c r="AA73" s="327" t="s">
        <v>589</v>
      </c>
      <c r="AB73" s="327" t="s">
        <v>577</v>
      </c>
      <c r="AC73" s="327" t="s">
        <v>582</v>
      </c>
      <c r="AD73" s="327" t="s">
        <v>583</v>
      </c>
    </row>
    <row r="74" spans="1:30" ht="18.75" x14ac:dyDescent="0.3">
      <c r="A74" s="475">
        <f>M64</f>
        <v>15878022</v>
      </c>
      <c r="B74" s="475"/>
      <c r="D74" s="328" t="s">
        <v>584</v>
      </c>
      <c r="E74" s="329">
        <f>E68+E60+E54+E44+E49+E63</f>
        <v>82544930</v>
      </c>
      <c r="F74" s="330">
        <f>F68+F60+F54+F44+F49+F63</f>
        <v>1</v>
      </c>
      <c r="G74" s="328" t="s">
        <v>584</v>
      </c>
      <c r="H74" s="329">
        <f>H65+H57+H49+H44+H61</f>
        <v>82544930</v>
      </c>
      <c r="I74" s="331">
        <f>H74/$H$74</f>
        <v>1</v>
      </c>
      <c r="K74" s="41"/>
      <c r="L74" s="474"/>
      <c r="M74" s="319" t="s">
        <v>585</v>
      </c>
      <c r="N74" s="332">
        <v>6</v>
      </c>
      <c r="O74" s="332">
        <v>6</v>
      </c>
      <c r="P74" s="332">
        <v>6</v>
      </c>
      <c r="Q74" s="332">
        <v>6</v>
      </c>
      <c r="R74" s="332">
        <v>6</v>
      </c>
      <c r="S74" s="332">
        <v>6</v>
      </c>
      <c r="T74" s="332"/>
      <c r="U74" s="332"/>
      <c r="V74" s="332">
        <v>6.25</v>
      </c>
      <c r="W74" s="332">
        <v>6.25</v>
      </c>
      <c r="X74" s="332">
        <v>6.25</v>
      </c>
      <c r="Y74" s="332">
        <v>6.25</v>
      </c>
      <c r="Z74" s="332"/>
      <c r="AA74" s="332">
        <v>6.25</v>
      </c>
      <c r="AB74" s="332">
        <v>6.5</v>
      </c>
      <c r="AC74" s="332">
        <v>6.5</v>
      </c>
      <c r="AD74" s="332">
        <v>6.5</v>
      </c>
    </row>
    <row r="75" spans="1:30" x14ac:dyDescent="0.25">
      <c r="E75" s="277"/>
      <c r="F75" s="249"/>
      <c r="G75" s="333"/>
      <c r="H75" s="334">
        <f>E74-H74</f>
        <v>0</v>
      </c>
      <c r="I75" s="277"/>
      <c r="K75" s="41"/>
      <c r="L75" s="474"/>
      <c r="M75" s="319" t="s">
        <v>389</v>
      </c>
      <c r="N75" s="332">
        <v>5.25</v>
      </c>
      <c r="O75" s="332">
        <v>5.25</v>
      </c>
      <c r="P75" s="332">
        <v>5.75</v>
      </c>
      <c r="Q75" s="332">
        <v>6</v>
      </c>
      <c r="R75" s="332">
        <v>6</v>
      </c>
      <c r="S75" s="332">
        <v>6</v>
      </c>
      <c r="T75" s="332"/>
      <c r="U75" s="332"/>
      <c r="V75" s="332">
        <v>6</v>
      </c>
      <c r="W75" s="332">
        <v>5.75</v>
      </c>
      <c r="X75" s="332">
        <v>5.75</v>
      </c>
      <c r="Y75" s="332">
        <v>5.75</v>
      </c>
      <c r="Z75" s="332"/>
      <c r="AA75" s="332">
        <v>5.5</v>
      </c>
      <c r="AB75" s="332">
        <v>5.5</v>
      </c>
      <c r="AC75" s="332">
        <v>5.5</v>
      </c>
      <c r="AD75" s="332">
        <v>5.25</v>
      </c>
    </row>
    <row r="76" spans="1:30" x14ac:dyDescent="0.25">
      <c r="E76" s="277"/>
      <c r="F76" s="277"/>
      <c r="H76" s="277"/>
      <c r="I76" s="277"/>
      <c r="K76" s="41"/>
      <c r="L76" s="474"/>
      <c r="M76" s="319" t="s">
        <v>586</v>
      </c>
      <c r="N76" s="332">
        <v>4.25</v>
      </c>
      <c r="O76" s="332">
        <v>4.25</v>
      </c>
      <c r="P76" s="332">
        <v>4.25</v>
      </c>
      <c r="Q76" s="332">
        <v>4.5</v>
      </c>
      <c r="R76" s="332">
        <v>4.5</v>
      </c>
      <c r="S76" s="332">
        <v>4.5</v>
      </c>
      <c r="T76" s="332"/>
      <c r="U76" s="332"/>
      <c r="V76" s="332">
        <v>4.5</v>
      </c>
      <c r="W76" s="332">
        <v>4.75</v>
      </c>
      <c r="X76" s="332">
        <v>4.5</v>
      </c>
      <c r="Y76" s="332">
        <v>4.5</v>
      </c>
      <c r="Z76" s="332"/>
      <c r="AA76" s="332">
        <v>4.75</v>
      </c>
      <c r="AB76" s="332">
        <v>4.5</v>
      </c>
      <c r="AC76" s="332">
        <v>4.5</v>
      </c>
      <c r="AD76" s="332">
        <v>4.5</v>
      </c>
    </row>
    <row r="77" spans="1:30" ht="15.75" x14ac:dyDescent="0.25">
      <c r="D77" s="335"/>
      <c r="E77" s="336"/>
      <c r="F77" s="277"/>
      <c r="G77" s="41"/>
      <c r="H77" s="258"/>
      <c r="I77" s="258"/>
      <c r="K77" s="41"/>
      <c r="L77" s="41"/>
      <c r="M77" s="90" t="s">
        <v>587</v>
      </c>
      <c r="N77" s="337">
        <f t="shared" ref="N77:S77" si="51">N69/N70</f>
        <v>5.8505503706075004</v>
      </c>
      <c r="O77" s="337">
        <f t="shared" si="51"/>
        <v>5.847841611465439</v>
      </c>
      <c r="P77" s="337">
        <f t="shared" si="51"/>
        <v>6.2026274963677999</v>
      </c>
      <c r="Q77" s="337">
        <f t="shared" si="51"/>
        <v>6.5611687064443842</v>
      </c>
      <c r="R77" s="337">
        <f t="shared" si="51"/>
        <v>6.5613533945677069</v>
      </c>
      <c r="S77" s="337">
        <f t="shared" si="51"/>
        <v>6.489762227131286</v>
      </c>
      <c r="T77" s="337"/>
      <c r="U77" s="337"/>
      <c r="V77" s="337">
        <f t="shared" ref="V77:AD77" si="52">V69/V70</f>
        <v>6.5626030309576056</v>
      </c>
      <c r="W77" s="337">
        <f t="shared" si="52"/>
        <v>6.2350840425986913</v>
      </c>
      <c r="X77" s="337">
        <f t="shared" si="52"/>
        <v>6.1906428934521358</v>
      </c>
      <c r="Y77" s="337">
        <f t="shared" si="52"/>
        <v>6.3249187151722088</v>
      </c>
      <c r="Z77" s="337" t="e">
        <f t="shared" si="52"/>
        <v>#DIV/0!</v>
      </c>
      <c r="AA77" s="337">
        <f t="shared" si="52"/>
        <v>6.1226379458074982</v>
      </c>
      <c r="AB77" s="337">
        <f t="shared" si="52"/>
        <v>6.1845407317547485</v>
      </c>
      <c r="AC77" s="337">
        <f t="shared" si="52"/>
        <v>6.1727661386173738</v>
      </c>
      <c r="AD77" s="337">
        <f t="shared" si="52"/>
        <v>6.246859158033943</v>
      </c>
    </row>
    <row r="78" spans="1:30" x14ac:dyDescent="0.25">
      <c r="E78" s="258"/>
      <c r="F78" s="277"/>
      <c r="H78" s="277"/>
      <c r="I78" s="277"/>
      <c r="K78" s="41"/>
      <c r="L78" s="41"/>
      <c r="M78" s="41"/>
      <c r="N78" s="42"/>
      <c r="O78" s="338"/>
      <c r="P78" s="465"/>
      <c r="Q78" s="465"/>
      <c r="R78" s="465"/>
      <c r="S78" s="465"/>
    </row>
    <row r="79" spans="1:30" x14ac:dyDescent="0.25">
      <c r="E79" s="277"/>
      <c r="F79" s="277"/>
      <c r="H79" s="277"/>
      <c r="I79" s="277"/>
      <c r="K79" s="41"/>
      <c r="L79" s="41"/>
      <c r="M79" s="41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AA79" s="340"/>
    </row>
    <row r="80" spans="1:30" x14ac:dyDescent="0.25">
      <c r="K80" s="41"/>
      <c r="L80" s="41"/>
      <c r="M80" s="41"/>
      <c r="O80" s="338"/>
      <c r="P80" s="338"/>
      <c r="Q80" s="338"/>
      <c r="R80" s="338"/>
      <c r="S80" s="338"/>
      <c r="T80" s="338"/>
      <c r="U80" s="338"/>
      <c r="V80" s="346">
        <f>V65-13263538-V52</f>
        <v>36021</v>
      </c>
      <c r="W80" s="338"/>
      <c r="X80" s="338"/>
      <c r="Y80" s="338"/>
      <c r="Z80" s="338"/>
      <c r="AA80" s="338"/>
      <c r="AB80" s="338"/>
      <c r="AC80" s="338"/>
      <c r="AD80" s="338"/>
    </row>
    <row r="81" spans="11:25" x14ac:dyDescent="0.25">
      <c r="K81" s="41"/>
      <c r="L81" s="41"/>
      <c r="M81" s="41"/>
      <c r="O81" s="338"/>
      <c r="P81" s="466"/>
      <c r="Q81" s="466"/>
      <c r="R81" s="466"/>
      <c r="S81" s="466"/>
      <c r="V81" s="340"/>
    </row>
    <row r="82" spans="11:25" x14ac:dyDescent="0.25">
      <c r="K82" s="41"/>
      <c r="L82" s="41"/>
      <c r="M82" s="41"/>
      <c r="N82" s="340"/>
      <c r="O82" s="338"/>
      <c r="P82" s="341"/>
      <c r="Q82" s="341"/>
      <c r="R82" s="341"/>
      <c r="S82" s="341"/>
    </row>
    <row r="83" spans="11:25" x14ac:dyDescent="0.25">
      <c r="K83" s="41"/>
      <c r="L83" s="41"/>
      <c r="M83" s="41"/>
      <c r="O83" s="338"/>
      <c r="P83" s="466"/>
      <c r="Q83" s="466"/>
      <c r="R83" s="466"/>
      <c r="S83" s="466"/>
      <c r="Y83" s="340"/>
    </row>
    <row r="84" spans="11:25" x14ac:dyDescent="0.25">
      <c r="K84" s="41"/>
      <c r="L84" s="41"/>
      <c r="M84" s="41"/>
      <c r="O84" s="338"/>
      <c r="P84" s="466"/>
      <c r="Q84" s="466"/>
      <c r="R84" s="466"/>
      <c r="S84" s="342"/>
    </row>
    <row r="85" spans="11:25" x14ac:dyDescent="0.25">
      <c r="K85" s="41"/>
      <c r="L85" s="41"/>
      <c r="M85" s="41"/>
      <c r="O85" s="338"/>
    </row>
    <row r="86" spans="11:25" x14ac:dyDescent="0.25">
      <c r="K86" s="41"/>
      <c r="L86" s="41"/>
      <c r="M86" s="41"/>
      <c r="O86" s="338"/>
    </row>
    <row r="87" spans="11:25" x14ac:dyDescent="0.25">
      <c r="K87" s="41"/>
      <c r="L87" s="41"/>
      <c r="M87" s="41"/>
      <c r="O87" s="338"/>
    </row>
    <row r="88" spans="11:25" x14ac:dyDescent="0.25">
      <c r="K88" s="41"/>
      <c r="L88" s="41"/>
      <c r="M88" s="41"/>
      <c r="O88" s="338"/>
    </row>
    <row r="89" spans="11:25" x14ac:dyDescent="0.25">
      <c r="K89" s="41"/>
      <c r="L89" s="41"/>
      <c r="M89" s="41"/>
      <c r="O89" s="338"/>
    </row>
    <row r="90" spans="11:25" x14ac:dyDescent="0.25">
      <c r="K90" s="41"/>
      <c r="L90" s="41"/>
      <c r="M90" s="41"/>
      <c r="O90" s="338"/>
    </row>
    <row r="91" spans="11:25" x14ac:dyDescent="0.25">
      <c r="K91" s="41"/>
      <c r="L91" s="41"/>
      <c r="M91" s="41"/>
      <c r="O91" s="338"/>
    </row>
    <row r="92" spans="11:25" x14ac:dyDescent="0.25">
      <c r="K92" s="41"/>
      <c r="L92" s="41"/>
      <c r="M92" s="41"/>
      <c r="O92" s="338"/>
    </row>
    <row r="93" spans="11:25" x14ac:dyDescent="0.25">
      <c r="K93" s="41"/>
      <c r="L93" s="41"/>
      <c r="M93" s="41"/>
      <c r="O93" s="338"/>
    </row>
    <row r="94" spans="11:25" x14ac:dyDescent="0.25">
      <c r="K94" s="41"/>
      <c r="L94" s="41"/>
      <c r="M94" s="41"/>
      <c r="O94" s="338"/>
    </row>
    <row r="95" spans="11:25" x14ac:dyDescent="0.25">
      <c r="K95" s="41"/>
      <c r="L95" s="41"/>
      <c r="M95" s="41"/>
      <c r="O95" s="338"/>
    </row>
    <row r="96" spans="11:25" x14ac:dyDescent="0.25">
      <c r="K96" s="41"/>
      <c r="L96" s="41"/>
      <c r="M96" s="41"/>
      <c r="O96" s="338"/>
    </row>
    <row r="97" spans="11:15" x14ac:dyDescent="0.25">
      <c r="K97" s="41"/>
      <c r="L97" s="41"/>
      <c r="M97" s="41"/>
      <c r="O97" s="338"/>
    </row>
    <row r="98" spans="11:15" x14ac:dyDescent="0.25">
      <c r="K98" s="41"/>
      <c r="L98" s="41"/>
      <c r="M98" s="41"/>
      <c r="O98" s="338"/>
    </row>
    <row r="99" spans="11:15" x14ac:dyDescent="0.25">
      <c r="K99" s="41"/>
      <c r="L99" s="41"/>
      <c r="M99" s="41"/>
      <c r="O99" s="338"/>
    </row>
    <row r="100" spans="11:15" x14ac:dyDescent="0.25">
      <c r="K100" s="41"/>
      <c r="L100" s="41"/>
      <c r="M100" s="41"/>
      <c r="O100" s="338"/>
    </row>
    <row r="101" spans="11:15" x14ac:dyDescent="0.25">
      <c r="K101" s="41"/>
      <c r="L101" s="41"/>
      <c r="M101" s="41"/>
      <c r="O101" s="338"/>
    </row>
    <row r="102" spans="11:15" x14ac:dyDescent="0.25">
      <c r="K102" s="41"/>
      <c r="L102" s="41"/>
      <c r="M102" s="41"/>
      <c r="O102" s="338"/>
    </row>
    <row r="103" spans="11:15" x14ac:dyDescent="0.25">
      <c r="K103" s="41"/>
      <c r="L103" s="41"/>
      <c r="M103" s="41"/>
      <c r="O103" s="338"/>
    </row>
    <row r="104" spans="11:15" x14ac:dyDescent="0.25">
      <c r="K104" s="41"/>
      <c r="L104" s="41"/>
      <c r="M104" s="41"/>
      <c r="O104" s="338"/>
    </row>
    <row r="105" spans="11:15" x14ac:dyDescent="0.25">
      <c r="K105" s="41"/>
      <c r="L105" s="41"/>
      <c r="M105" s="41"/>
      <c r="O105" s="338"/>
    </row>
    <row r="106" spans="11:15" x14ac:dyDescent="0.25">
      <c r="K106" s="41"/>
      <c r="L106" s="41"/>
      <c r="M106" s="41"/>
      <c r="O106" s="338"/>
    </row>
    <row r="107" spans="11:15" x14ac:dyDescent="0.25">
      <c r="K107" s="41"/>
      <c r="L107" s="41"/>
      <c r="M107" s="41"/>
      <c r="O107" s="338"/>
    </row>
    <row r="108" spans="11:15" x14ac:dyDescent="0.25">
      <c r="K108" s="41"/>
      <c r="L108" s="41"/>
      <c r="M108" s="41"/>
      <c r="O108" s="338"/>
    </row>
    <row r="109" spans="11:15" x14ac:dyDescent="0.25">
      <c r="K109" s="41"/>
      <c r="L109" s="41"/>
      <c r="M109" s="41"/>
      <c r="O109" s="338"/>
    </row>
    <row r="110" spans="11:15" x14ac:dyDescent="0.25">
      <c r="K110" s="41"/>
      <c r="L110" s="41"/>
      <c r="M110" s="41"/>
      <c r="O110" s="338"/>
    </row>
    <row r="111" spans="11:15" x14ac:dyDescent="0.25">
      <c r="K111" s="41"/>
      <c r="L111" s="41"/>
      <c r="M111" s="41"/>
      <c r="O111" s="338"/>
    </row>
    <row r="112" spans="11:15" x14ac:dyDescent="0.25">
      <c r="K112" s="41"/>
      <c r="L112" s="41"/>
      <c r="M112" s="41"/>
      <c r="O112" s="338"/>
    </row>
    <row r="113" spans="11:15" x14ac:dyDescent="0.25">
      <c r="K113" s="41"/>
      <c r="L113" s="41"/>
      <c r="M113" s="41"/>
      <c r="O113" s="338"/>
    </row>
    <row r="114" spans="11:15" x14ac:dyDescent="0.25">
      <c r="K114" s="41"/>
      <c r="L114" s="41"/>
      <c r="M114" s="41"/>
      <c r="O114" s="338"/>
    </row>
    <row r="115" spans="11:15" x14ac:dyDescent="0.25">
      <c r="K115" s="41"/>
      <c r="L115" s="41"/>
      <c r="M115" s="41"/>
      <c r="O115" s="338"/>
    </row>
    <row r="116" spans="11:15" x14ac:dyDescent="0.25">
      <c r="K116" s="41"/>
      <c r="L116" s="41"/>
      <c r="M116" s="41"/>
      <c r="O116" s="338"/>
    </row>
    <row r="117" spans="11:15" x14ac:dyDescent="0.25">
      <c r="K117" s="41"/>
      <c r="L117" s="41"/>
      <c r="M117" s="41"/>
      <c r="O117" s="338"/>
    </row>
    <row r="118" spans="11:15" x14ac:dyDescent="0.25">
      <c r="K118" s="41"/>
      <c r="L118" s="41"/>
      <c r="M118" s="41"/>
      <c r="O118" s="338"/>
    </row>
    <row r="119" spans="11:15" x14ac:dyDescent="0.25">
      <c r="K119" s="41"/>
      <c r="L119" s="41"/>
      <c r="M119" s="41"/>
      <c r="O119" s="338"/>
    </row>
    <row r="120" spans="11:15" x14ac:dyDescent="0.25">
      <c r="K120" s="41"/>
      <c r="L120" s="41"/>
      <c r="M120" s="41"/>
      <c r="O120" s="338"/>
    </row>
  </sheetData>
  <mergeCells count="25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P39:Q39"/>
    <mergeCell ref="R39:S39"/>
    <mergeCell ref="D40:I40"/>
    <mergeCell ref="D41:I41"/>
    <mergeCell ref="D42:E42"/>
    <mergeCell ref="G42:H42"/>
    <mergeCell ref="K50:K52"/>
    <mergeCell ref="A54:B54"/>
    <mergeCell ref="K60:K62"/>
    <mergeCell ref="L69:L76"/>
    <mergeCell ref="A74:B74"/>
    <mergeCell ref="P78:Q78"/>
    <mergeCell ref="R78:S78"/>
    <mergeCell ref="P81:S81"/>
    <mergeCell ref="P83:S83"/>
    <mergeCell ref="P84:R84"/>
  </mergeCells>
  <conditionalFormatting sqref="E39">
    <cfRule type="cellIs" dxfId="23" priority="1" operator="greaterThan">
      <formula>0</formula>
    </cfRule>
  </conditionalFormatting>
  <conditionalFormatting sqref="E39">
    <cfRule type="cellIs" dxfId="22" priority="2" operator="lessThan">
      <formula>0</formula>
    </cfRule>
  </conditionalFormatting>
  <conditionalFormatting sqref="H38">
    <cfRule type="cellIs" dxfId="21" priority="3" operator="lessThan">
      <formula>0</formula>
    </cfRule>
  </conditionalFormatting>
  <conditionalFormatting sqref="H11:H16">
    <cfRule type="cellIs" dxfId="20" priority="4" operator="lessThan">
      <formula>0</formula>
    </cfRule>
  </conditionalFormatting>
  <conditionalFormatting sqref="H11:H16">
    <cfRule type="cellIs" dxfId="19" priority="5" operator="greaterThan">
      <formula>0</formula>
    </cfRule>
  </conditionalFormatting>
  <conditionalFormatting sqref="E78">
    <cfRule type="cellIs" dxfId="18" priority="6" operator="greaterThan">
      <formula>0</formula>
    </cfRule>
  </conditionalFormatting>
  <conditionalFormatting sqref="E78">
    <cfRule type="cellIs" dxfId="17" priority="7" operator="lessThan">
      <formula>0</formula>
    </cfRule>
  </conditionalFormatting>
  <conditionalFormatting sqref="H77">
    <cfRule type="cellIs" dxfId="16" priority="8" operator="lessThan">
      <formula>0</formula>
    </cfRule>
  </conditionalFormatting>
  <conditionalFormatting sqref="H50:H55">
    <cfRule type="cellIs" dxfId="15" priority="9" operator="lessThan">
      <formula>0</formula>
    </cfRule>
  </conditionalFormatting>
  <conditionalFormatting sqref="H50:H55">
    <cfRule type="cellIs" dxfId="14" priority="10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L11" sqref="L11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590</v>
      </c>
      <c r="F1" s="79" t="s">
        <v>591</v>
      </c>
      <c r="G1" s="80"/>
      <c r="H1" s="80"/>
      <c r="I1" s="81" t="s">
        <v>590</v>
      </c>
      <c r="J1" s="82" t="s">
        <v>591</v>
      </c>
      <c r="P1" s="78" t="s">
        <v>590</v>
      </c>
      <c r="Q1" s="79" t="s">
        <v>591</v>
      </c>
      <c r="R1" s="78"/>
      <c r="S1" s="79"/>
    </row>
    <row r="2" spans="1:19" x14ac:dyDescent="0.25">
      <c r="A2" s="83" t="s">
        <v>186</v>
      </c>
      <c r="B2" s="83" t="s">
        <v>592</v>
      </c>
      <c r="C2" s="83" t="s">
        <v>593</v>
      </c>
      <c r="D2" s="83" t="s">
        <v>134</v>
      </c>
      <c r="E2" s="78" t="s">
        <v>116</v>
      </c>
      <c r="F2" s="79" t="s">
        <v>116</v>
      </c>
      <c r="G2" s="80" t="s">
        <v>115</v>
      </c>
      <c r="H2" s="80" t="s">
        <v>115</v>
      </c>
      <c r="I2" s="81" t="s">
        <v>594</v>
      </c>
      <c r="J2" s="82" t="s">
        <v>594</v>
      </c>
      <c r="P2" s="78" t="s">
        <v>116</v>
      </c>
      <c r="Q2" s="79" t="s">
        <v>116</v>
      </c>
      <c r="R2" s="78" t="s">
        <v>115</v>
      </c>
      <c r="S2" s="79" t="s">
        <v>115</v>
      </c>
    </row>
    <row r="3" spans="1:19" x14ac:dyDescent="0.25">
      <c r="A3" s="41" t="str">
        <f>Plantilla!D4</f>
        <v>Cosme Fonteboa</v>
      </c>
      <c r="B3">
        <f>Plantilla!E4</f>
        <v>26</v>
      </c>
      <c r="C3">
        <f>Plantilla!H4</f>
        <v>4</v>
      </c>
      <c r="D3" s="24">
        <f>Plantilla!I4</f>
        <v>8.5</v>
      </c>
      <c r="E3" s="84">
        <f t="shared" ref="E3" si="0">D3</f>
        <v>8.5</v>
      </c>
      <c r="F3" s="84">
        <f t="shared" ref="F3" si="1">E3+0.1</f>
        <v>8.6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136</v>
      </c>
      <c r="J3" s="85">
        <f t="shared" ref="J3" si="5">H3*H3*F3</f>
        <v>214.14086</v>
      </c>
      <c r="K3" s="86"/>
      <c r="N3" s="41" t="s">
        <v>594</v>
      </c>
      <c r="O3" s="25" t="str">
        <f>A12</f>
        <v>Valeri Gomis</v>
      </c>
      <c r="P3" s="87">
        <f>E12</f>
        <v>7</v>
      </c>
      <c r="Q3" s="87">
        <f t="shared" ref="Q3:S3" si="6">F12</f>
        <v>7.1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26</v>
      </c>
      <c r="C4">
        <f>Plantilla!H5</f>
        <v>5</v>
      </c>
      <c r="D4" s="24">
        <f>Plantilla!I5</f>
        <v>2.1</v>
      </c>
      <c r="E4" s="84">
        <f t="shared" ref="E4:E19" si="7">D4</f>
        <v>2.1</v>
      </c>
      <c r="F4" s="84">
        <f t="shared" ref="F4:F19" si="8">E4+0.1</f>
        <v>2.2000000000000002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52.5</v>
      </c>
      <c r="J4" s="85">
        <f t="shared" ref="J4:J19" si="12">H4*H4*F4</f>
        <v>78.93622000000002</v>
      </c>
      <c r="K4" s="86"/>
      <c r="O4" t="str">
        <f>A18</f>
        <v>Meraj Siddiqui</v>
      </c>
      <c r="P4" s="87">
        <f>E18</f>
        <v>13.2</v>
      </c>
      <c r="Q4" s="87">
        <f t="shared" ref="Q4:S4" si="13">F18</f>
        <v>13.299999999999999</v>
      </c>
      <c r="R4" s="87">
        <f t="shared" si="13"/>
        <v>2</v>
      </c>
      <c r="S4" s="87">
        <f t="shared" si="13"/>
        <v>2.99</v>
      </c>
    </row>
    <row r="5" spans="1:19" x14ac:dyDescent="0.25">
      <c r="A5" s="41" t="str">
        <f>Plantilla!D6</f>
        <v>Miguel Fernández</v>
      </c>
      <c r="B5">
        <f>Plantilla!E6</f>
        <v>26</v>
      </c>
      <c r="C5">
        <f>Plantilla!H6</f>
        <v>5</v>
      </c>
      <c r="D5" s="24">
        <f>Plantilla!I6</f>
        <v>4.8</v>
      </c>
      <c r="E5" s="84">
        <f t="shared" si="7"/>
        <v>4.8</v>
      </c>
      <c r="F5" s="84">
        <f t="shared" si="8"/>
        <v>4.8999999999999995</v>
      </c>
      <c r="G5" s="84">
        <f t="shared" si="9"/>
        <v>5</v>
      </c>
      <c r="H5" s="84">
        <f t="shared" si="10"/>
        <v>5.99</v>
      </c>
      <c r="I5" s="85">
        <f t="shared" si="11"/>
        <v>120</v>
      </c>
      <c r="J5" s="85">
        <f t="shared" si="12"/>
        <v>175.81249</v>
      </c>
      <c r="K5" s="86"/>
      <c r="O5" t="str">
        <f>A3</f>
        <v>Cosme Fonteboa</v>
      </c>
      <c r="P5" s="87">
        <f>E3</f>
        <v>8.5</v>
      </c>
      <c r="Q5" s="87">
        <f t="shared" ref="Q5:S5" si="14">F3</f>
        <v>8.6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Plantilla!D7</f>
        <v>Iván Real Figueroa</v>
      </c>
      <c r="B6">
        <f>Plantilla!E7</f>
        <v>26</v>
      </c>
      <c r="C6">
        <f>Plantilla!H7</f>
        <v>4</v>
      </c>
      <c r="D6" s="24">
        <f>Plantilla!I7</f>
        <v>6</v>
      </c>
      <c r="E6" s="84">
        <f t="shared" si="7"/>
        <v>6</v>
      </c>
      <c r="F6" s="84">
        <f t="shared" si="8"/>
        <v>6.1</v>
      </c>
      <c r="G6" s="84">
        <f t="shared" si="9"/>
        <v>4</v>
      </c>
      <c r="H6" s="84">
        <f t="shared" si="10"/>
        <v>4.99</v>
      </c>
      <c r="I6" s="85">
        <f t="shared" si="11"/>
        <v>96</v>
      </c>
      <c r="J6" s="85">
        <f t="shared" si="12"/>
        <v>151.89061000000001</v>
      </c>
      <c r="K6" s="86"/>
      <c r="O6" t="str">
        <f>A16</f>
        <v>Ryan Clarke</v>
      </c>
      <c r="P6" s="87">
        <f>E16</f>
        <v>8.1</v>
      </c>
      <c r="Q6" s="87">
        <f t="shared" ref="Q6:S6" si="15">F16</f>
        <v>8.1999999999999993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Plantilla!D8</f>
        <v>Berto Abandero</v>
      </c>
      <c r="B7">
        <f>Plantilla!E8</f>
        <v>26</v>
      </c>
      <c r="C7">
        <f>Plantilla!H8</f>
        <v>1</v>
      </c>
      <c r="D7" s="24">
        <f>Plantilla!I8</f>
        <v>6.5</v>
      </c>
      <c r="E7" s="84">
        <f t="shared" si="7"/>
        <v>6.5</v>
      </c>
      <c r="F7" s="84">
        <f t="shared" si="8"/>
        <v>6.6</v>
      </c>
      <c r="G7" s="84">
        <f t="shared" si="9"/>
        <v>1</v>
      </c>
      <c r="H7" s="84">
        <f t="shared" si="10"/>
        <v>1.99</v>
      </c>
      <c r="I7" s="85">
        <f t="shared" si="11"/>
        <v>6.5</v>
      </c>
      <c r="J7" s="85">
        <f t="shared" si="12"/>
        <v>26.136659999999999</v>
      </c>
      <c r="K7" s="86"/>
      <c r="O7" t="str">
        <f>A13</f>
        <v>Enrique Cubas</v>
      </c>
      <c r="P7" s="87">
        <f>E13</f>
        <v>8.1</v>
      </c>
      <c r="Q7" s="87">
        <f t="shared" ref="Q7:S7" si="16">F13</f>
        <v>8.1999999999999993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Plantilla!D9</f>
        <v>Guillermo Pedrajas</v>
      </c>
      <c r="B8">
        <f>Plantilla!E9</f>
        <v>26</v>
      </c>
      <c r="C8">
        <f>Plantilla!H9</f>
        <v>4</v>
      </c>
      <c r="D8" s="24">
        <f>Plantilla!I9</f>
        <v>7</v>
      </c>
      <c r="E8" s="84">
        <f t="shared" si="7"/>
        <v>7</v>
      </c>
      <c r="F8" s="84">
        <f t="shared" si="8"/>
        <v>7.1</v>
      </c>
      <c r="G8" s="84">
        <f t="shared" si="9"/>
        <v>4</v>
      </c>
      <c r="H8" s="84">
        <f t="shared" si="10"/>
        <v>4.99</v>
      </c>
      <c r="I8" s="85">
        <f t="shared" si="11"/>
        <v>112</v>
      </c>
      <c r="J8" s="85">
        <f t="shared" si="12"/>
        <v>176.79071000000002</v>
      </c>
      <c r="K8" s="86"/>
      <c r="O8" t="str">
        <f>A10</f>
        <v>Francesc Añigas</v>
      </c>
      <c r="P8" s="87">
        <f>E10</f>
        <v>7.5</v>
      </c>
      <c r="Q8" s="87">
        <f t="shared" ref="Q8:S8" si="17">F10</f>
        <v>7.6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Plantilla!D10</f>
        <v>Venanci Oset</v>
      </c>
      <c r="B9">
        <f>Plantilla!E10</f>
        <v>26</v>
      </c>
      <c r="C9">
        <f>Plantilla!H10</f>
        <v>2</v>
      </c>
      <c r="D9" s="24">
        <f>Plantilla!I10</f>
        <v>6.5</v>
      </c>
      <c r="E9" s="84">
        <f t="shared" si="7"/>
        <v>6.5</v>
      </c>
      <c r="F9" s="84">
        <f t="shared" si="8"/>
        <v>6.6</v>
      </c>
      <c r="G9" s="84">
        <f t="shared" si="9"/>
        <v>2</v>
      </c>
      <c r="H9" s="84">
        <f t="shared" si="10"/>
        <v>2.99</v>
      </c>
      <c r="I9" s="85">
        <f t="shared" si="11"/>
        <v>26</v>
      </c>
      <c r="J9" s="85">
        <f t="shared" si="12"/>
        <v>59.004660000000001</v>
      </c>
      <c r="K9" s="86"/>
      <c r="O9" t="str">
        <f>A11</f>
        <v>Will Duffill</v>
      </c>
      <c r="P9" s="87">
        <f>E11</f>
        <v>7.6</v>
      </c>
      <c r="Q9" s="87">
        <f t="shared" ref="Q9:S9" si="18">F11</f>
        <v>7.6999999999999993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Plantilla!D11</f>
        <v>Francesc Añigas</v>
      </c>
      <c r="B10">
        <f>Plantilla!E11</f>
        <v>26</v>
      </c>
      <c r="C10">
        <f>Plantilla!H11</f>
        <v>5</v>
      </c>
      <c r="D10" s="24">
        <f>Plantilla!I11</f>
        <v>7.5</v>
      </c>
      <c r="E10" s="84">
        <f t="shared" si="7"/>
        <v>7.5</v>
      </c>
      <c r="F10" s="84">
        <f t="shared" si="8"/>
        <v>7.6</v>
      </c>
      <c r="G10" s="84">
        <f t="shared" si="9"/>
        <v>5</v>
      </c>
      <c r="H10" s="84">
        <f t="shared" si="10"/>
        <v>5.99</v>
      </c>
      <c r="I10" s="85">
        <f t="shared" si="11"/>
        <v>187.5</v>
      </c>
      <c r="J10" s="85">
        <f t="shared" si="12"/>
        <v>272.68876000000006</v>
      </c>
      <c r="K10" s="86"/>
      <c r="O10" t="str">
        <f>A17</f>
        <v>Renato Galeano</v>
      </c>
      <c r="P10" s="87">
        <f>E17</f>
        <v>7.5</v>
      </c>
      <c r="Q10" s="87">
        <f t="shared" ref="Q10:S10" si="19">F17</f>
        <v>7.6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Plantilla!D12</f>
        <v>Will Duffill</v>
      </c>
      <c r="B11">
        <f>Plantilla!E12</f>
        <v>25</v>
      </c>
      <c r="C11">
        <f>Plantilla!H12</f>
        <v>3</v>
      </c>
      <c r="D11" s="24">
        <f>Plantilla!I12</f>
        <v>7.6</v>
      </c>
      <c r="E11" s="84">
        <f t="shared" si="7"/>
        <v>7.6</v>
      </c>
      <c r="F11" s="84">
        <f t="shared" si="8"/>
        <v>7.6999999999999993</v>
      </c>
      <c r="G11" s="84">
        <f t="shared" si="9"/>
        <v>3</v>
      </c>
      <c r="H11" s="84">
        <f t="shared" si="10"/>
        <v>3.99</v>
      </c>
      <c r="I11" s="85">
        <f t="shared" si="11"/>
        <v>68.399999999999991</v>
      </c>
      <c r="J11" s="85">
        <f t="shared" si="12"/>
        <v>122.58477000000001</v>
      </c>
      <c r="K11" s="86"/>
      <c r="O11" t="str">
        <f>A8</f>
        <v>Guillermo Pedrajas</v>
      </c>
      <c r="P11" s="87">
        <f>E8</f>
        <v>7</v>
      </c>
      <c r="Q11" s="87">
        <f t="shared" ref="Q11:S11" si="20">F8</f>
        <v>7.1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Plantilla!D13</f>
        <v>Valeri Gomis</v>
      </c>
      <c r="B12">
        <f>Plantilla!E13</f>
        <v>26</v>
      </c>
      <c r="C12">
        <f>Plantilla!H13</f>
        <v>6</v>
      </c>
      <c r="D12" s="24">
        <f>Plantilla!I13</f>
        <v>7</v>
      </c>
      <c r="E12" s="84">
        <f t="shared" si="7"/>
        <v>7</v>
      </c>
      <c r="F12" s="84">
        <f t="shared" si="8"/>
        <v>7.1</v>
      </c>
      <c r="G12" s="84">
        <f t="shared" si="9"/>
        <v>6</v>
      </c>
      <c r="H12" s="84">
        <f t="shared" si="10"/>
        <v>6.99</v>
      </c>
      <c r="I12" s="85">
        <f t="shared" si="11"/>
        <v>252</v>
      </c>
      <c r="J12" s="85">
        <f t="shared" si="12"/>
        <v>346.90670999999998</v>
      </c>
      <c r="K12" s="86"/>
      <c r="O12" t="str">
        <f>A7</f>
        <v>Berto Abandero</v>
      </c>
      <c r="P12" s="87">
        <f>E7</f>
        <v>6.5</v>
      </c>
      <c r="Q12" s="87">
        <f t="shared" ref="Q12:S12" si="21">F7</f>
        <v>6.6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Plantilla!D14</f>
        <v>Enrique Cubas</v>
      </c>
      <c r="B13">
        <f>Plantilla!E14</f>
        <v>26</v>
      </c>
      <c r="C13">
        <f>Plantilla!H14</f>
        <v>1</v>
      </c>
      <c r="D13" s="24">
        <f>Plantilla!I14</f>
        <v>8.1</v>
      </c>
      <c r="E13" s="84">
        <f t="shared" si="7"/>
        <v>8.1</v>
      </c>
      <c r="F13" s="84">
        <f t="shared" si="8"/>
        <v>8.1999999999999993</v>
      </c>
      <c r="G13" s="84">
        <f t="shared" si="9"/>
        <v>1</v>
      </c>
      <c r="H13" s="84">
        <f t="shared" si="10"/>
        <v>1.99</v>
      </c>
      <c r="I13" s="85">
        <f t="shared" si="11"/>
        <v>8.1</v>
      </c>
      <c r="J13" s="85">
        <f t="shared" si="12"/>
        <v>32.472819999999999</v>
      </c>
      <c r="K13" s="86"/>
      <c r="O13" t="str">
        <f>A9</f>
        <v>Venanci Oset</v>
      </c>
      <c r="P13" s="87">
        <f>E9</f>
        <v>6.5</v>
      </c>
      <c r="Q13" s="87">
        <f t="shared" ref="Q13:S13" si="22">F9</f>
        <v>6.6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Plantilla!D15</f>
        <v>J. G. Peñuela</v>
      </c>
      <c r="B14">
        <f>Plantilla!E15</f>
        <v>26</v>
      </c>
      <c r="C14">
        <f>Plantilla!H15</f>
        <v>6</v>
      </c>
      <c r="D14" s="24">
        <f>Plantilla!I15</f>
        <v>6.9</v>
      </c>
      <c r="E14" s="84">
        <f t="shared" si="7"/>
        <v>6.9</v>
      </c>
      <c r="F14" s="84">
        <f t="shared" si="8"/>
        <v>7</v>
      </c>
      <c r="G14" s="84">
        <f t="shared" si="9"/>
        <v>6</v>
      </c>
      <c r="H14" s="84">
        <f t="shared" si="10"/>
        <v>6.99</v>
      </c>
      <c r="I14" s="85">
        <f t="shared" si="11"/>
        <v>248.4</v>
      </c>
      <c r="J14" s="85">
        <f t="shared" si="12"/>
        <v>342.02070000000003</v>
      </c>
      <c r="K14" s="86"/>
      <c r="P14" s="27">
        <f>SUM(P4:P13)/10</f>
        <v>8.0500000000000007</v>
      </c>
      <c r="Q14" s="27">
        <f>SUM(Q4:Q13)/10</f>
        <v>8.1499999999999986</v>
      </c>
      <c r="R14" s="27"/>
      <c r="S14" s="27"/>
    </row>
    <row r="15" spans="1:19" x14ac:dyDescent="0.25">
      <c r="A15" s="41" t="str">
        <f>Plantilla!D16</f>
        <v>Julian Gräbitz</v>
      </c>
      <c r="B15">
        <f>Plantilla!E16</f>
        <v>25</v>
      </c>
      <c r="C15">
        <f>Plantilla!H16</f>
        <v>2</v>
      </c>
      <c r="D15" s="24">
        <f>Plantilla!I16</f>
        <v>4.7</v>
      </c>
      <c r="E15" s="84">
        <f t="shared" si="7"/>
        <v>4.7</v>
      </c>
      <c r="F15" s="84">
        <f t="shared" si="8"/>
        <v>4.8</v>
      </c>
      <c r="G15" s="84">
        <f t="shared" si="9"/>
        <v>2</v>
      </c>
      <c r="H15" s="84">
        <f t="shared" si="10"/>
        <v>2.99</v>
      </c>
      <c r="I15" s="85">
        <f t="shared" si="11"/>
        <v>18.8</v>
      </c>
      <c r="J15" s="85">
        <f t="shared" si="12"/>
        <v>42.912480000000002</v>
      </c>
      <c r="K15" s="86"/>
    </row>
    <row r="16" spans="1:19" x14ac:dyDescent="0.25">
      <c r="A16" s="41" t="str">
        <f>Plantilla!D17</f>
        <v>Ryan Clarke</v>
      </c>
      <c r="B16">
        <f>Plantilla!E17</f>
        <v>30</v>
      </c>
      <c r="C16">
        <f>Plantilla!H17</f>
        <v>1</v>
      </c>
      <c r="D16" s="24">
        <f>Plantilla!I17</f>
        <v>8.1</v>
      </c>
      <c r="E16" s="84">
        <f t="shared" si="7"/>
        <v>8.1</v>
      </c>
      <c r="F16" s="84">
        <f t="shared" si="8"/>
        <v>8.1999999999999993</v>
      </c>
      <c r="G16" s="84">
        <f t="shared" si="9"/>
        <v>1</v>
      </c>
      <c r="H16" s="84">
        <f t="shared" si="10"/>
        <v>1.99</v>
      </c>
      <c r="I16" s="85">
        <f t="shared" si="11"/>
        <v>8.1</v>
      </c>
      <c r="J16" s="85">
        <f t="shared" si="12"/>
        <v>32.472819999999999</v>
      </c>
      <c r="K16" s="86"/>
      <c r="L16" s="46" t="s">
        <v>595</v>
      </c>
      <c r="O16" t="s">
        <v>596</v>
      </c>
      <c r="P16" s="24">
        <f>SUM(P3:P13)</f>
        <v>87.5</v>
      </c>
      <c r="Q16" s="24">
        <f>SUM(Q3:Q13)</f>
        <v>88.59999999999998</v>
      </c>
      <c r="R16" s="24"/>
    </row>
    <row r="17" spans="1:18" x14ac:dyDescent="0.25">
      <c r="A17" s="41" t="str">
        <f>Plantilla!D18</f>
        <v>Renato Galeano</v>
      </c>
      <c r="B17">
        <f>Plantilla!E18</f>
        <v>29</v>
      </c>
      <c r="C17">
        <f>Plantilla!H18</f>
        <v>1</v>
      </c>
      <c r="D17" s="24">
        <f>Plantilla!I18</f>
        <v>7.5</v>
      </c>
      <c r="E17" s="84">
        <f t="shared" si="7"/>
        <v>7.5</v>
      </c>
      <c r="F17" s="84">
        <f t="shared" si="8"/>
        <v>7.6</v>
      </c>
      <c r="G17" s="84">
        <f t="shared" si="9"/>
        <v>1</v>
      </c>
      <c r="H17" s="84">
        <f t="shared" si="10"/>
        <v>1.99</v>
      </c>
      <c r="I17" s="85">
        <f t="shared" si="11"/>
        <v>7.5</v>
      </c>
      <c r="J17" s="85">
        <f t="shared" si="12"/>
        <v>30.09676</v>
      </c>
      <c r="K17" s="86"/>
      <c r="O17" t="s">
        <v>597</v>
      </c>
      <c r="P17" s="27">
        <f>P16/17</f>
        <v>5.1470588235294121</v>
      </c>
      <c r="Q17" s="27">
        <f>Q16/17</f>
        <v>5.2117647058823522</v>
      </c>
      <c r="R17" s="27"/>
    </row>
    <row r="18" spans="1:18" x14ac:dyDescent="0.25">
      <c r="A18" s="41" t="str">
        <f>Plantilla!D19</f>
        <v>Meraj Siddiqui</v>
      </c>
      <c r="B18">
        <f>Plantilla!E19</f>
        <v>28</v>
      </c>
      <c r="C18">
        <f>Plantilla!H19</f>
        <v>2</v>
      </c>
      <c r="D18" s="24">
        <f>Plantilla!I19</f>
        <v>13.2</v>
      </c>
      <c r="E18" s="84">
        <f t="shared" si="7"/>
        <v>13.2</v>
      </c>
      <c r="F18" s="84">
        <f t="shared" si="8"/>
        <v>13.299999999999999</v>
      </c>
      <c r="G18" s="84">
        <f t="shared" si="9"/>
        <v>2</v>
      </c>
      <c r="H18" s="84">
        <f t="shared" si="10"/>
        <v>2.99</v>
      </c>
      <c r="I18" s="85">
        <f t="shared" si="11"/>
        <v>52.8</v>
      </c>
      <c r="J18" s="85">
        <f t="shared" si="12"/>
        <v>118.90333000000001</v>
      </c>
      <c r="K18" s="86"/>
      <c r="L18" s="46" t="s">
        <v>598</v>
      </c>
      <c r="O18" t="s">
        <v>599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Plantilla!D20</f>
        <v>Rodolfo Rinaldo Paso</v>
      </c>
      <c r="B19">
        <f>Plantilla!E20</f>
        <v>26</v>
      </c>
      <c r="C19">
        <f>Plantilla!H20</f>
        <v>1</v>
      </c>
      <c r="D19" s="24">
        <f>Plantilla!I20</f>
        <v>5.0999999999999996</v>
      </c>
      <c r="E19" s="84">
        <f t="shared" si="7"/>
        <v>5.0999999999999996</v>
      </c>
      <c r="F19" s="84">
        <f t="shared" si="8"/>
        <v>5.1999999999999993</v>
      </c>
      <c r="G19" s="84">
        <f t="shared" si="9"/>
        <v>1</v>
      </c>
      <c r="H19" s="84">
        <f t="shared" si="10"/>
        <v>1.99</v>
      </c>
      <c r="I19" s="85">
        <f t="shared" si="11"/>
        <v>5.0999999999999996</v>
      </c>
      <c r="J19" s="85">
        <f t="shared" si="12"/>
        <v>20.592519999999997</v>
      </c>
      <c r="K19" s="86"/>
      <c r="L19" s="46" t="s">
        <v>600</v>
      </c>
      <c r="O19" t="s">
        <v>601</v>
      </c>
      <c r="P19" s="24">
        <f>P18*P3</f>
        <v>252</v>
      </c>
      <c r="Q19" s="24">
        <f>Q18*Q3</f>
        <v>346.90670999999998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602</v>
      </c>
      <c r="O20" t="s">
        <v>603</v>
      </c>
      <c r="P20" s="27">
        <f>(P19^(2/3))/30</f>
        <v>1.3298799522301954</v>
      </c>
      <c r="Q20" s="27">
        <f>(Q19^(2/3))/30</f>
        <v>1.6457121624445159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604</v>
      </c>
      <c r="O21" s="54" t="s">
        <v>605</v>
      </c>
      <c r="P21" s="71">
        <f>P17+P20</f>
        <v>6.4769387757596073</v>
      </c>
      <c r="Q21" s="71">
        <f>Q17+Q20</f>
        <v>6.8574768683268683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606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3" priority="2" operator="between">
      <formula>70</formula>
      <formula>100</formula>
    </cfRule>
  </conditionalFormatting>
  <conditionalFormatting sqref="I3:J31">
    <cfRule type="cellIs" dxfId="12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R7" sqref="R7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186</v>
      </c>
      <c r="B1" s="99" t="s">
        <v>194</v>
      </c>
      <c r="C1" s="99" t="s">
        <v>197</v>
      </c>
      <c r="D1" s="100" t="s">
        <v>607</v>
      </c>
      <c r="E1" s="100" t="s">
        <v>590</v>
      </c>
      <c r="F1" s="100" t="s">
        <v>591</v>
      </c>
      <c r="H1" s="99" t="s">
        <v>608</v>
      </c>
      <c r="I1" s="99" t="s">
        <v>194</v>
      </c>
      <c r="J1" s="99" t="s">
        <v>197</v>
      </c>
      <c r="K1" s="99" t="str">
        <f>D1</f>
        <v>N_CA</v>
      </c>
      <c r="L1" s="100" t="s">
        <v>590</v>
      </c>
      <c r="M1" s="100" t="s">
        <v>591</v>
      </c>
      <c r="O1" s="99" t="s">
        <v>608</v>
      </c>
      <c r="P1" s="99" t="s">
        <v>194</v>
      </c>
      <c r="Q1" s="99" t="s">
        <v>197</v>
      </c>
      <c r="R1" s="99" t="str">
        <f>K1</f>
        <v>N_CA</v>
      </c>
      <c r="S1" s="100" t="s">
        <v>590</v>
      </c>
      <c r="T1" s="100" t="s">
        <v>591</v>
      </c>
    </row>
    <row r="2" spans="1:20" x14ac:dyDescent="0.25">
      <c r="A2" t="str">
        <f>Plantilla!D4</f>
        <v>Cosme Fonteboa</v>
      </c>
      <c r="B2" s="24">
        <f ca="1">Plantilla!Y4+Plantilla!N4+Plantilla!J4</f>
        <v>14.602861597922088</v>
      </c>
      <c r="C2" s="24">
        <f ca="1">Plantilla!AB4+Plantilla!N4+Plantilla!J4</f>
        <v>3.2392252342857235</v>
      </c>
      <c r="D2" s="71">
        <f t="shared" ref="D2" ca="1" si="0">(C2*2+B2)/8</f>
        <v>2.6351640083116918</v>
      </c>
      <c r="E2" s="24">
        <f ca="1">D2*Plantilla!R4</f>
        <v>2.4396878050921669</v>
      </c>
      <c r="F2" s="24">
        <f ca="1">D2*Plantilla!S4</f>
        <v>2.6332810755894411</v>
      </c>
      <c r="H2" s="27" t="str">
        <f t="shared" ref="H2:J3" si="1">A6</f>
        <v>Berto Abandero</v>
      </c>
      <c r="I2" s="24">
        <f t="shared" ca="1" si="1"/>
        <v>16.208884475523806</v>
      </c>
      <c r="J2" s="24">
        <f t="shared" ca="1" si="1"/>
        <v>13.941027332666666</v>
      </c>
      <c r="K2" s="71">
        <f ca="1">(J2*2+I2)/8</f>
        <v>5.5113673926071423</v>
      </c>
      <c r="L2" s="27">
        <f ca="1">E6</f>
        <v>4.6579556012339367</v>
      </c>
      <c r="M2" s="27">
        <f ca="1">F6</f>
        <v>5.098280823857567</v>
      </c>
      <c r="O2" t="str">
        <f>A2</f>
        <v>Cosme Fonteboa</v>
      </c>
      <c r="P2" s="24">
        <f t="shared" ref="P2:Q5" ca="1" si="2">I2</f>
        <v>16.208884475523806</v>
      </c>
      <c r="Q2" s="24">
        <f t="shared" ca="1" si="2"/>
        <v>13.941027332666666</v>
      </c>
      <c r="R2" s="71">
        <f ca="1">(Q2*2+P2)/8</f>
        <v>5.5113673926071423</v>
      </c>
      <c r="S2" s="27">
        <f ca="1">E2</f>
        <v>2.4396878050921669</v>
      </c>
      <c r="T2" s="27">
        <f ca="1">F2</f>
        <v>2.6332810755894411</v>
      </c>
    </row>
    <row r="3" spans="1:20" x14ac:dyDescent="0.25">
      <c r="A3" t="str">
        <f>Plantilla!D5</f>
        <v>Nicolae Hornet</v>
      </c>
      <c r="B3" s="24">
        <f ca="1">Plantilla!Y5+Plantilla!N5+Plantilla!J5</f>
        <v>6.8296257263118925</v>
      </c>
      <c r="C3" s="24">
        <f ca="1">Plantilla!AB5+Plantilla!N5+Plantilla!J5</f>
        <v>2.4296257263118926</v>
      </c>
      <c r="D3" s="71">
        <f t="shared" ref="D3:D18" ca="1" si="3">(C3*2+B3)/8</f>
        <v>1.4611096473669596</v>
      </c>
      <c r="E3" s="24">
        <f ca="1">D3*Plantilla!R5</f>
        <v>1.3527246795039158</v>
      </c>
      <c r="F3" s="24">
        <f ca="1">D3*Plantilla!S5</f>
        <v>1.4600656246203123</v>
      </c>
      <c r="H3" s="27" t="str">
        <f t="shared" si="1"/>
        <v>Guillermo Pedrajas</v>
      </c>
      <c r="I3" s="24">
        <f t="shared" ca="1" si="1"/>
        <v>14.508615568503858</v>
      </c>
      <c r="J3" s="24">
        <f t="shared" ca="1" si="1"/>
        <v>13.126797386685675</v>
      </c>
      <c r="K3" s="71">
        <f ca="1">(J3*2+I3)/8</f>
        <v>5.0952762927344013</v>
      </c>
      <c r="L3" s="27">
        <f ca="1">E7</f>
        <v>4.7173092057080792</v>
      </c>
      <c r="M3" s="27">
        <f ca="1">F7</f>
        <v>5.0916355089235124</v>
      </c>
      <c r="O3" t="str">
        <f>A7</f>
        <v>Guillermo Pedrajas</v>
      </c>
      <c r="P3" s="24">
        <f t="shared" ca="1" si="2"/>
        <v>14.508615568503858</v>
      </c>
      <c r="Q3" s="24">
        <f t="shared" ca="1" si="2"/>
        <v>13.126797386685675</v>
      </c>
      <c r="R3" s="71">
        <f ca="1">(Q3*2+P3)/8</f>
        <v>5.0952762927344013</v>
      </c>
      <c r="S3" s="27">
        <f ca="1">E7</f>
        <v>4.7173092057080792</v>
      </c>
      <c r="T3" s="27">
        <f ca="1">F7</f>
        <v>5.0916355089235124</v>
      </c>
    </row>
    <row r="4" spans="1:20" x14ac:dyDescent="0.25">
      <c r="A4" t="str">
        <f>Plantilla!D6</f>
        <v>Miguel Fernández</v>
      </c>
      <c r="B4" s="24">
        <f ca="1">Plantilla!Y6+Plantilla!N6+Plantilla!J6</f>
        <v>17.39651609427856</v>
      </c>
      <c r="C4" s="24">
        <f ca="1">Plantilla!AB6+Plantilla!N6+Plantilla!J6</f>
        <v>10.908321649834116</v>
      </c>
      <c r="D4" s="71">
        <f t="shared" ca="1" si="3"/>
        <v>4.9016449242433495</v>
      </c>
      <c r="E4" s="24">
        <f ca="1">D4*Plantilla!R6</f>
        <v>4.1426460628927044</v>
      </c>
      <c r="F4" s="24">
        <f ca="1">D4*Plantilla!S6</f>
        <v>4.5342581146286438</v>
      </c>
      <c r="H4" t="str">
        <f>A10</f>
        <v>Will Duffill</v>
      </c>
      <c r="I4" s="24">
        <f ca="1">B10</f>
        <v>15.174418123041056</v>
      </c>
      <c r="J4" s="24">
        <f ca="1">C10</f>
        <v>12.00775145637439</v>
      </c>
      <c r="K4" s="71">
        <f ca="1">(J4*2+I4)/8</f>
        <v>4.8987401294737296</v>
      </c>
      <c r="L4" s="27">
        <f ca="1">E10</f>
        <v>4.8987401294737296</v>
      </c>
      <c r="M4" s="27">
        <f ca="1">F10</f>
        <v>4.8987401294737296</v>
      </c>
      <c r="O4" t="str">
        <f>A4</f>
        <v>Miguel Fernández</v>
      </c>
      <c r="P4" s="24">
        <f t="shared" ca="1" si="2"/>
        <v>15.174418123041056</v>
      </c>
      <c r="Q4" s="24">
        <f t="shared" ca="1" si="2"/>
        <v>12.00775145637439</v>
      </c>
      <c r="R4" s="71">
        <f ca="1">(Q4*2+P4)/8</f>
        <v>4.8987401294737296</v>
      </c>
      <c r="S4" s="27">
        <f ca="1">E4</f>
        <v>4.1426460628927044</v>
      </c>
      <c r="T4" s="27">
        <f ca="1">F4</f>
        <v>4.5342581146286438</v>
      </c>
    </row>
    <row r="5" spans="1:20" x14ac:dyDescent="0.25">
      <c r="A5" t="str">
        <f>Plantilla!D7</f>
        <v>Iván Real Figueroa</v>
      </c>
      <c r="B5" s="24">
        <f ca="1">Plantilla!Y7+Plantilla!N7+Plantilla!J7</f>
        <v>17.556285000511526</v>
      </c>
      <c r="C5" s="24">
        <f ca="1">Plantilla!AB7+Plantilla!N7+Plantilla!J7</f>
        <v>10.704201667178191</v>
      </c>
      <c r="D5" s="71">
        <f t="shared" ca="1" si="3"/>
        <v>4.8705860418584885</v>
      </c>
      <c r="E5" s="24">
        <f ca="1">D5*Plantilla!R7</f>
        <v>4.5092864552242222</v>
      </c>
      <c r="F5" s="24">
        <f ca="1">D5*Plantilla!S7</f>
        <v>4.8671058084438599</v>
      </c>
      <c r="H5" s="27" t="str">
        <f>A8</f>
        <v>Venanci Oset</v>
      </c>
      <c r="I5" s="24">
        <f ca="1">B8</f>
        <v>16.271384475523806</v>
      </c>
      <c r="J5" s="24">
        <f ca="1">C8</f>
        <v>14.194995586634919</v>
      </c>
      <c r="K5" s="71">
        <f ca="1">(J5*2+I5)/8</f>
        <v>5.5826719560992055</v>
      </c>
      <c r="L5" s="27">
        <f ca="1">E8</f>
        <v>5.1685499073931913</v>
      </c>
      <c r="M5" s="27">
        <f ca="1">F8</f>
        <v>5.578682908104251</v>
      </c>
      <c r="O5" s="27" t="str">
        <f>H5</f>
        <v>Venanci Oset</v>
      </c>
      <c r="P5" s="24">
        <f t="shared" ca="1" si="2"/>
        <v>16.271384475523806</v>
      </c>
      <c r="Q5" s="24">
        <f t="shared" ca="1" si="2"/>
        <v>14.194995586634919</v>
      </c>
      <c r="R5" s="71">
        <f ca="1">(Q5*2+P5)/8</f>
        <v>5.5826719560992055</v>
      </c>
      <c r="S5" s="27">
        <f ca="1">L5</f>
        <v>5.1685499073931913</v>
      </c>
      <c r="T5" s="27">
        <f ca="1">M5</f>
        <v>5.578682908104251</v>
      </c>
    </row>
    <row r="6" spans="1:20" x14ac:dyDescent="0.25">
      <c r="A6" t="str">
        <f>Plantilla!D8</f>
        <v>Berto Abandero</v>
      </c>
      <c r="B6" s="24">
        <f ca="1">Plantilla!Y8+Plantilla!N8+Plantilla!J8</f>
        <v>16.208884475523806</v>
      </c>
      <c r="C6" s="24">
        <f ca="1">Plantilla!AB8+Plantilla!N8+Plantilla!J8</f>
        <v>13.941027332666666</v>
      </c>
      <c r="D6" s="71">
        <f t="shared" ca="1" si="3"/>
        <v>5.5113673926071423</v>
      </c>
      <c r="E6" s="24">
        <f ca="1">D6*Plantilla!R8</f>
        <v>4.6579556012339367</v>
      </c>
      <c r="F6" s="24">
        <f ca="1">D6*Plantilla!S8</f>
        <v>5.098280823857567</v>
      </c>
      <c r="H6" t="str">
        <f>A4</f>
        <v>Miguel Fernández</v>
      </c>
      <c r="I6" s="24">
        <f ca="1">B4</f>
        <v>17.39651609427856</v>
      </c>
      <c r="J6" s="24">
        <f ca="1">C4</f>
        <v>10.908321649834116</v>
      </c>
      <c r="K6" s="71">
        <f ca="1">(J6*2+I6)/8</f>
        <v>4.9016449242433495</v>
      </c>
      <c r="L6" s="27">
        <f ca="1">E4</f>
        <v>4.1426460628927044</v>
      </c>
      <c r="M6" s="27">
        <f ca="1">F4</f>
        <v>4.5342581146286438</v>
      </c>
      <c r="R6" s="27"/>
      <c r="S6" s="24"/>
      <c r="T6" s="24"/>
    </row>
    <row r="7" spans="1:20" ht="18.75" x14ac:dyDescent="0.3">
      <c r="A7" t="str">
        <f>Plantilla!D9</f>
        <v>Guillermo Pedrajas</v>
      </c>
      <c r="B7" s="24">
        <f ca="1">Plantilla!Y9+Plantilla!N9+Plantilla!J9</f>
        <v>14.508615568503858</v>
      </c>
      <c r="C7" s="24">
        <f ca="1">Plantilla!AB9+Plantilla!N9+Plantilla!J9</f>
        <v>13.126797386685675</v>
      </c>
      <c r="D7" s="71">
        <f t="shared" ca="1" si="3"/>
        <v>5.0952762927344013</v>
      </c>
      <c r="E7" s="24">
        <f ca="1">D7*Plantilla!R9</f>
        <v>4.7173092057080792</v>
      </c>
      <c r="F7" s="24">
        <f ca="1">D7*Plantilla!S9</f>
        <v>5.0916355089235124</v>
      </c>
      <c r="K7" s="101">
        <f ca="1">SUM(K2:K6)</f>
        <v>25.989700695157829</v>
      </c>
      <c r="L7" s="101">
        <f ca="1">SUM(L2:L6)</f>
        <v>23.585200906701644</v>
      </c>
      <c r="M7" s="101">
        <f ca="1">SUM(M2:M6)</f>
        <v>25.201597484987701</v>
      </c>
      <c r="N7" s="101"/>
      <c r="O7" s="101"/>
      <c r="P7" s="101"/>
      <c r="Q7" s="101"/>
      <c r="R7" s="101">
        <f ca="1">SUM(R2:R6)</f>
        <v>21.08805577091448</v>
      </c>
      <c r="S7" s="101">
        <f ca="1">SUM(S2:S6)</f>
        <v>16.468192981086144</v>
      </c>
      <c r="T7" s="101">
        <f ca="1">SUM(T2:T6)</f>
        <v>17.837857607245848</v>
      </c>
    </row>
    <row r="8" spans="1:20" x14ac:dyDescent="0.25">
      <c r="A8" t="str">
        <f>Plantilla!D10</f>
        <v>Venanci Oset</v>
      </c>
      <c r="B8" s="24">
        <f ca="1">Plantilla!Y10+Plantilla!N10+Plantilla!J10</f>
        <v>16.271384475523806</v>
      </c>
      <c r="C8" s="24">
        <f ca="1">Plantilla!AB10+Plantilla!N10+Plantilla!J10</f>
        <v>14.194995586634919</v>
      </c>
      <c r="D8" s="71">
        <f t="shared" ca="1" si="3"/>
        <v>5.5826719560992055</v>
      </c>
      <c r="E8" s="24">
        <f ca="1">D8*Plantilla!R10</f>
        <v>5.1685499073931913</v>
      </c>
      <c r="F8" s="24">
        <f ca="1">D8*Plantilla!S10</f>
        <v>5.578682908104251</v>
      </c>
      <c r="L8" s="2">
        <f ca="1">(K7-L7)/K7</f>
        <v>9.2517409748553603E-2</v>
      </c>
      <c r="M8" s="2">
        <f ca="1">(K7-M7)/K7</f>
        <v>3.0323673958929445E-2</v>
      </c>
      <c r="R8" s="27"/>
    </row>
    <row r="9" spans="1:20" x14ac:dyDescent="0.25">
      <c r="A9" t="str">
        <f>Plantilla!D11</f>
        <v>Francesc Añigas</v>
      </c>
      <c r="B9" s="24">
        <f ca="1">Plantilla!Y11+Plantilla!N11+Plantilla!J11</f>
        <v>15.750081684522268</v>
      </c>
      <c r="C9" s="24">
        <f ca="1">Plantilla!AB11+Plantilla!N11+Plantilla!J11</f>
        <v>10.166748351188934</v>
      </c>
      <c r="D9" s="71">
        <f t="shared" ca="1" si="3"/>
        <v>4.510447298362517</v>
      </c>
      <c r="E9" s="24">
        <f ca="1">D9*Plantilla!R11</f>
        <v>3.8120237249398241</v>
      </c>
      <c r="F9" s="24">
        <f ca="1">D9*Plantilla!S11</f>
        <v>4.1723814309870928</v>
      </c>
    </row>
    <row r="10" spans="1:20" x14ac:dyDescent="0.25">
      <c r="A10" t="str">
        <f>Plantilla!D12</f>
        <v>Will Duffill</v>
      </c>
      <c r="B10" s="24">
        <f ca="1">Plantilla!Y12+Plantilla!N12+Plantilla!J12</f>
        <v>15.174418123041056</v>
      </c>
      <c r="C10" s="24">
        <f ca="1">Plantilla!AB12+Plantilla!N12+Plantilla!J12</f>
        <v>12.00775145637439</v>
      </c>
      <c r="D10" s="71">
        <f t="shared" ca="1" si="3"/>
        <v>4.8987401294737296</v>
      </c>
      <c r="E10" s="24">
        <f ca="1">D10*Plantilla!R12</f>
        <v>4.8987401294737296</v>
      </c>
      <c r="F10" s="24">
        <f ca="1">D10*Plantilla!S12</f>
        <v>4.8987401294737296</v>
      </c>
      <c r="H10" s="27"/>
      <c r="I10" s="27"/>
      <c r="J10" s="27"/>
    </row>
    <row r="11" spans="1:20" x14ac:dyDescent="0.25">
      <c r="A11" t="str">
        <f>Plantilla!D13</f>
        <v>Valeri Gomis</v>
      </c>
      <c r="B11" s="24">
        <f ca="1">Plantilla!Y13+Plantilla!N13+Plantilla!J13</f>
        <v>14.58134284123113</v>
      </c>
      <c r="C11" s="24">
        <f ca="1">Plantilla!AB13+Plantilla!N13+Plantilla!J13</f>
        <v>11.293464053352341</v>
      </c>
      <c r="D11" s="71">
        <f t="shared" ca="1" si="3"/>
        <v>4.6460338684919762</v>
      </c>
      <c r="E11" s="24">
        <f ca="1">D11*Plantilla!R13</f>
        <v>3.0415431262418551</v>
      </c>
      <c r="F11" s="24">
        <f ca="1">D11*Plantilla!S13</f>
        <v>3.5076786487774898</v>
      </c>
    </row>
    <row r="12" spans="1:20" x14ac:dyDescent="0.25">
      <c r="A12" t="str">
        <f>Plantilla!D14</f>
        <v>Enrique Cubas</v>
      </c>
      <c r="B12" s="24">
        <f>Plantilla!Y14+Plantilla!N14+Plantilla!J14</f>
        <v>14.211313358504867</v>
      </c>
      <c r="C12" s="24">
        <f>Plantilla!AB14+Plantilla!N14+Plantilla!J14</f>
        <v>11.711313358504867</v>
      </c>
      <c r="D12" s="71">
        <f t="shared" si="3"/>
        <v>4.7042425094393252</v>
      </c>
      <c r="E12" s="24">
        <f>D12*Plantilla!R14</f>
        <v>3.9758105721273993</v>
      </c>
      <c r="F12" s="24">
        <f>D12*Plantilla!S14</f>
        <v>4.3516513540398796</v>
      </c>
      <c r="H12" s="102" t="s">
        <v>608</v>
      </c>
      <c r="I12" s="102" t="s">
        <v>194</v>
      </c>
      <c r="J12" s="102" t="s">
        <v>197</v>
      </c>
      <c r="K12" s="103" t="s">
        <v>607</v>
      </c>
      <c r="L12" s="103" t="s">
        <v>590</v>
      </c>
      <c r="M12" s="103" t="s">
        <v>591</v>
      </c>
      <c r="O12" s="102" t="s">
        <v>608</v>
      </c>
      <c r="P12" s="102" t="s">
        <v>194</v>
      </c>
      <c r="Q12" s="102" t="s">
        <v>197</v>
      </c>
      <c r="R12" s="102" t="str">
        <f>K12</f>
        <v>N_CA</v>
      </c>
      <c r="S12" s="103" t="s">
        <v>590</v>
      </c>
      <c r="T12" s="103" t="s">
        <v>591</v>
      </c>
    </row>
    <row r="13" spans="1:20" x14ac:dyDescent="0.25">
      <c r="A13" t="str">
        <f>Plantilla!D15</f>
        <v>J. G. Peñuela</v>
      </c>
      <c r="B13" s="24">
        <f ca="1">Plantilla!Y15+Plantilla!N15+Plantilla!J15</f>
        <v>13.91846545431634</v>
      </c>
      <c r="C13" s="24">
        <f ca="1">Plantilla!AB15+Plantilla!N15+Plantilla!J15</f>
        <v>10.51846545431634</v>
      </c>
      <c r="D13" s="71">
        <f t="shared" ca="1" si="3"/>
        <v>4.3694245453686271</v>
      </c>
      <c r="E13" s="24">
        <f ca="1">D13*Plantilla!R15</f>
        <v>3.3029744912876704</v>
      </c>
      <c r="F13" s="24">
        <f ca="1">D13*Plantilla!S15</f>
        <v>3.6891430592206733</v>
      </c>
      <c r="H13" s="27" t="str">
        <f t="shared" ref="H13:J17" si="4">H2</f>
        <v>Berto Abandero</v>
      </c>
      <c r="I13" s="24">
        <f t="shared" ca="1" si="4"/>
        <v>16.208884475523806</v>
      </c>
      <c r="J13" s="24">
        <f t="shared" ca="1" si="4"/>
        <v>13.941027332666666</v>
      </c>
      <c r="K13" s="71">
        <f ca="1">(J13*2+I13)/8</f>
        <v>5.5113673926071423</v>
      </c>
      <c r="L13" s="27">
        <f ca="1">K13*(1-$L$8)</f>
        <v>5.0014699572704897</v>
      </c>
      <c r="M13" s="27">
        <f ca="1">K13*(1-$M$8)</f>
        <v>5.3442424847258483</v>
      </c>
      <c r="O13" s="27" t="str">
        <f t="shared" ref="O13:Q16" si="5">H13</f>
        <v>Berto Abandero</v>
      </c>
      <c r="P13" s="27">
        <f t="shared" ca="1" si="5"/>
        <v>16.208884475523806</v>
      </c>
      <c r="Q13" s="27">
        <f t="shared" ca="1" si="5"/>
        <v>13.941027332666666</v>
      </c>
      <c r="R13" s="71">
        <f ca="1">(Q13*2+P13)/8</f>
        <v>5.5113673926071423</v>
      </c>
      <c r="S13" s="27">
        <f t="shared" ref="S13:T16" ca="1" si="6">L13</f>
        <v>5.0014699572704897</v>
      </c>
      <c r="T13" s="27">
        <f t="shared" ca="1" si="6"/>
        <v>5.3442424847258483</v>
      </c>
    </row>
    <row r="14" spans="1:20" x14ac:dyDescent="0.25">
      <c r="A14" t="str">
        <f>Plantilla!D16</f>
        <v>Julian Gräbitz</v>
      </c>
      <c r="B14" s="24">
        <f ca="1">Plantilla!Y16+Plantilla!N16+Plantilla!J16</f>
        <v>14.465961849181898</v>
      </c>
      <c r="C14" s="24">
        <f ca="1">Plantilla!AB16+Plantilla!N16+Plantilla!J16</f>
        <v>10.70838609160614</v>
      </c>
      <c r="D14" s="71">
        <f t="shared" ca="1" si="3"/>
        <v>4.4853417540492728</v>
      </c>
      <c r="E14" s="24">
        <f ca="1">D14*Plantilla!R16</f>
        <v>4.4853417540492728</v>
      </c>
      <c r="F14" s="24">
        <f ca="1">D14*Plantilla!S16</f>
        <v>4.4853417540492728</v>
      </c>
      <c r="H14" s="27" t="str">
        <f t="shared" si="4"/>
        <v>Guillermo Pedrajas</v>
      </c>
      <c r="I14" s="24">
        <f t="shared" ca="1" si="4"/>
        <v>14.508615568503858</v>
      </c>
      <c r="J14" s="24">
        <f t="shared" ca="1" si="4"/>
        <v>13.126797386685675</v>
      </c>
      <c r="K14" s="71">
        <f ca="1">(J14*2+I14)/8</f>
        <v>5.0952762927344013</v>
      </c>
      <c r="L14" s="27">
        <f ca="1">K14*(1-$L$8)</f>
        <v>4.6238745281774012</v>
      </c>
      <c r="M14" s="27">
        <f ca="1">K14*(1-$M$8)</f>
        <v>4.9407687957028603</v>
      </c>
      <c r="O14" s="27" t="str">
        <f t="shared" si="5"/>
        <v>Guillermo Pedrajas</v>
      </c>
      <c r="P14" s="27">
        <f t="shared" ca="1" si="5"/>
        <v>14.508615568503858</v>
      </c>
      <c r="Q14" s="27">
        <f t="shared" ca="1" si="5"/>
        <v>13.126797386685675</v>
      </c>
      <c r="R14" s="71">
        <f ca="1">(Q14*2+P14)/8</f>
        <v>5.0952762927344013</v>
      </c>
      <c r="S14" s="27">
        <f t="shared" ca="1" si="6"/>
        <v>4.6238745281774012</v>
      </c>
      <c r="T14" s="27">
        <f t="shared" ca="1" si="6"/>
        <v>4.9407687957028603</v>
      </c>
    </row>
    <row r="15" spans="1:20" x14ac:dyDescent="0.25">
      <c r="A15" t="str">
        <f>Plantilla!D17</f>
        <v>Ryan Clarke</v>
      </c>
      <c r="B15" s="24">
        <f ca="1">Plantilla!Y17+Plantilla!N17+Plantilla!J17</f>
        <v>13.211313358504867</v>
      </c>
      <c r="C15" s="24">
        <f ca="1">Plantilla!AB17+Plantilla!N17+Plantilla!J17</f>
        <v>15.211313358504867</v>
      </c>
      <c r="D15" s="71">
        <f t="shared" ca="1" si="3"/>
        <v>5.4542425094393252</v>
      </c>
      <c r="E15" s="24">
        <f ca="1">D15*Plantilla!R17</f>
        <v>5.0496473442728069</v>
      </c>
      <c r="F15" s="24">
        <f ca="1">D15*Plantilla!S17</f>
        <v>5.4503452295494501</v>
      </c>
      <c r="H15" s="27" t="str">
        <f t="shared" si="4"/>
        <v>Will Duffill</v>
      </c>
      <c r="I15" s="24">
        <f t="shared" ca="1" si="4"/>
        <v>15.174418123041056</v>
      </c>
      <c r="J15" s="24">
        <f t="shared" ca="1" si="4"/>
        <v>12.00775145637439</v>
      </c>
      <c r="K15" s="71">
        <f ca="1">(J15*2+I15)/8</f>
        <v>4.8987401294737296</v>
      </c>
      <c r="L15" s="27">
        <f ca="1">K15*(1-$L$8)</f>
        <v>4.445521381663526</v>
      </c>
      <c r="M15" s="27">
        <f ca="1">K15*(1-$M$8)</f>
        <v>4.7501923309780443</v>
      </c>
      <c r="O15" s="27" t="str">
        <f t="shared" si="5"/>
        <v>Will Duffill</v>
      </c>
      <c r="P15" s="27">
        <f t="shared" ca="1" si="5"/>
        <v>15.174418123041056</v>
      </c>
      <c r="Q15" s="27">
        <f t="shared" ca="1" si="5"/>
        <v>12.00775145637439</v>
      </c>
      <c r="R15" s="71">
        <f ca="1">(Q15*2+P15)/8</f>
        <v>4.8987401294737296</v>
      </c>
      <c r="S15" s="27">
        <f t="shared" ca="1" si="6"/>
        <v>4.445521381663526</v>
      </c>
      <c r="T15" s="27">
        <f t="shared" ca="1" si="6"/>
        <v>4.7501923309780443</v>
      </c>
    </row>
    <row r="16" spans="1:20" x14ac:dyDescent="0.25">
      <c r="A16" t="str">
        <f>Plantilla!D18</f>
        <v>Renato Galeano</v>
      </c>
      <c r="B16" s="24">
        <f ca="1">Plantilla!Y18+Plantilla!N18+Plantilla!J18</f>
        <v>4.1667483511889332</v>
      </c>
      <c r="C16" s="24">
        <f ca="1">Plantilla!AB18+Plantilla!N18+Plantilla!J18</f>
        <v>9.1667483511889341</v>
      </c>
      <c r="D16" s="71">
        <f t="shared" ca="1" si="3"/>
        <v>2.81253063169585</v>
      </c>
      <c r="E16" s="24">
        <f ca="1">D16*Plantilla!R18</f>
        <v>2.6038973900500091</v>
      </c>
      <c r="F16" s="24">
        <f ca="1">D16*Plantilla!S18</f>
        <v>2.810520963249389</v>
      </c>
      <c r="H16" s="27" t="str">
        <f t="shared" si="4"/>
        <v>Venanci Oset</v>
      </c>
      <c r="I16" s="24">
        <f t="shared" ca="1" si="4"/>
        <v>16.271384475523806</v>
      </c>
      <c r="J16" s="24">
        <f t="shared" ca="1" si="4"/>
        <v>14.194995586634919</v>
      </c>
      <c r="K16" s="71">
        <f ca="1">(J16*2+I16)/8</f>
        <v>5.5826719560992055</v>
      </c>
      <c r="L16" s="27">
        <f ca="1">K16*(1-$L$8)</f>
        <v>5.0661776072450158</v>
      </c>
      <c r="M16" s="27">
        <f ca="1">K16*(1-$M$8)</f>
        <v>5.4133848318827944</v>
      </c>
      <c r="O16" s="27" t="str">
        <f t="shared" si="5"/>
        <v>Venanci Oset</v>
      </c>
      <c r="P16" s="27">
        <f t="shared" ca="1" si="5"/>
        <v>16.271384475523806</v>
      </c>
      <c r="Q16" s="27">
        <f t="shared" ca="1" si="5"/>
        <v>14.194995586634919</v>
      </c>
      <c r="R16" s="71">
        <f ca="1">(Q16*2+P16)/8</f>
        <v>5.5826719560992055</v>
      </c>
      <c r="S16" s="27">
        <f t="shared" ca="1" si="6"/>
        <v>5.0661776072450158</v>
      </c>
      <c r="T16" s="27">
        <f t="shared" ca="1" si="6"/>
        <v>5.4133848318827944</v>
      </c>
    </row>
    <row r="17" spans="1:20" x14ac:dyDescent="0.25">
      <c r="A17" t="str">
        <f>Plantilla!D19</f>
        <v>Meraj Siddiqui</v>
      </c>
      <c r="B17" s="24">
        <f ca="1">Plantilla!Y19+Plantilla!N19+Plantilla!J19</f>
        <v>2.4940985749411331</v>
      </c>
      <c r="C17" s="24">
        <f ca="1">Plantilla!AB19+Plantilla!N19+Plantilla!J19</f>
        <v>12.494098574941134</v>
      </c>
      <c r="D17" s="71">
        <f t="shared" ca="1" si="3"/>
        <v>3.4352869656029252</v>
      </c>
      <c r="E17" s="24">
        <f ca="1">D17*Plantilla!R19</f>
        <v>2.5968328551791537</v>
      </c>
      <c r="F17" s="24">
        <f ca="1">D17*Plantilla!S19</f>
        <v>2.9004425946703463</v>
      </c>
      <c r="H17" s="27" t="str">
        <f t="shared" si="4"/>
        <v>Miguel Fernández</v>
      </c>
      <c r="I17" s="24">
        <f t="shared" ca="1" si="4"/>
        <v>17.39651609427856</v>
      </c>
      <c r="J17" s="24">
        <f t="shared" ca="1" si="4"/>
        <v>10.908321649834116</v>
      </c>
      <c r="K17" s="71">
        <f ca="1">(J17*2+I17)/8</f>
        <v>4.9016449242433495</v>
      </c>
      <c r="L17" s="27">
        <f ca="1">K17*(1-$L$8)</f>
        <v>4.4481574323452095</v>
      </c>
      <c r="M17" s="27">
        <f ca="1">K17*(1-$M$8)</f>
        <v>4.753009041698153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4.9434269014639156</v>
      </c>
      <c r="C18" s="24">
        <f ca="1">Plantilla!AB20+Plantilla!N20+Plantilla!J20</f>
        <v>14.27676023479725</v>
      </c>
      <c r="D18" s="71">
        <f t="shared" ca="1" si="3"/>
        <v>4.1871184213823014</v>
      </c>
      <c r="E18" s="24">
        <f ca="1">D18*Plantilla!R20</f>
        <v>3.5387609488834015</v>
      </c>
      <c r="F18" s="24">
        <f ca="1">D18*Plantilla!S20</f>
        <v>3.873286615511935</v>
      </c>
      <c r="K18" s="101">
        <f ca="1">SUM(K13:K17)</f>
        <v>25.989700695157829</v>
      </c>
      <c r="L18" s="101">
        <f ca="1">SUM(L13:L17)</f>
        <v>23.58520090670164</v>
      </c>
      <c r="M18" s="101">
        <f ca="1">SUM(M13:M17)</f>
        <v>25.201597484987701</v>
      </c>
      <c r="N18" s="101"/>
      <c r="O18" s="101"/>
      <c r="P18" s="101"/>
      <c r="Q18" s="101"/>
      <c r="R18" s="101">
        <f ca="1">SUM(R13:R17)</f>
        <v>21.08805577091448</v>
      </c>
      <c r="S18" s="101">
        <f ca="1">SUM(S13:S17)</f>
        <v>19.137043474356432</v>
      </c>
      <c r="T18" s="101">
        <f ca="1">SUM(T13:T17)</f>
        <v>20.448588443289548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218</v>
      </c>
      <c r="B1" s="43" t="s">
        <v>609</v>
      </c>
      <c r="C1" s="43" t="s">
        <v>610</v>
      </c>
      <c r="D1" s="43" t="s">
        <v>611</v>
      </c>
      <c r="E1" s="43" t="s">
        <v>612</v>
      </c>
      <c r="F1" s="43" t="s">
        <v>613</v>
      </c>
      <c r="G1" s="43" t="s">
        <v>614</v>
      </c>
      <c r="H1" s="43" t="s">
        <v>615</v>
      </c>
      <c r="J1" s="446" t="s">
        <v>616</v>
      </c>
      <c r="K1" t="s">
        <v>617</v>
      </c>
      <c r="L1" t="s">
        <v>618</v>
      </c>
      <c r="M1" t="s">
        <v>619</v>
      </c>
      <c r="N1" s="42" t="s">
        <v>620</v>
      </c>
    </row>
    <row r="2" spans="1:14" x14ac:dyDescent="0.25">
      <c r="A2" s="445">
        <v>43670</v>
      </c>
      <c r="B2" s="42" t="s">
        <v>432</v>
      </c>
      <c r="C2" s="42" t="s">
        <v>621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343">
        <v>14</v>
      </c>
      <c r="K2" s="447">
        <v>1</v>
      </c>
      <c r="L2" s="447">
        <v>7</v>
      </c>
      <c r="M2" s="447">
        <v>2</v>
      </c>
      <c r="N2" s="58">
        <f t="shared" ref="N2:N12" si="1">M2/L2</f>
        <v>0.2857142857142857</v>
      </c>
    </row>
    <row r="3" spans="1:14" x14ac:dyDescent="0.25">
      <c r="A3" s="445">
        <v>43617</v>
      </c>
      <c r="B3" s="42" t="s">
        <v>622</v>
      </c>
      <c r="C3" s="42" t="s">
        <v>432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343">
        <v>15</v>
      </c>
      <c r="K3" s="447">
        <v>3</v>
      </c>
      <c r="L3" s="447">
        <v>24</v>
      </c>
      <c r="M3" s="447">
        <v>8</v>
      </c>
      <c r="N3" s="58">
        <f t="shared" si="1"/>
        <v>0.33333333333333331</v>
      </c>
    </row>
    <row r="4" spans="1:14" x14ac:dyDescent="0.25">
      <c r="A4" s="445">
        <v>43684</v>
      </c>
      <c r="B4" s="42" t="s">
        <v>623</v>
      </c>
      <c r="C4" s="42" t="s">
        <v>432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343">
        <v>16</v>
      </c>
      <c r="K4" s="447">
        <v>20</v>
      </c>
      <c r="L4" s="447">
        <v>126</v>
      </c>
      <c r="M4" s="447">
        <v>51</v>
      </c>
      <c r="N4" s="58">
        <f t="shared" si="1"/>
        <v>0.40476190476190477</v>
      </c>
    </row>
    <row r="5" spans="1:14" x14ac:dyDescent="0.25">
      <c r="A5" s="445">
        <v>43691</v>
      </c>
      <c r="B5" s="42" t="s">
        <v>624</v>
      </c>
      <c r="C5" s="42" t="s">
        <v>432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343">
        <v>17</v>
      </c>
      <c r="K5" s="447">
        <v>14</v>
      </c>
      <c r="L5" s="447">
        <v>96</v>
      </c>
      <c r="M5" s="447">
        <v>37</v>
      </c>
      <c r="N5" s="58">
        <f t="shared" si="1"/>
        <v>0.38541666666666669</v>
      </c>
    </row>
    <row r="6" spans="1:14" x14ac:dyDescent="0.25">
      <c r="A6" s="445">
        <v>43680</v>
      </c>
      <c r="B6" s="42" t="s">
        <v>432</v>
      </c>
      <c r="C6" s="42" t="s">
        <v>625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343">
        <v>18</v>
      </c>
      <c r="K6" s="447">
        <v>22</v>
      </c>
      <c r="L6" s="447">
        <v>143</v>
      </c>
      <c r="M6" s="447">
        <v>50</v>
      </c>
      <c r="N6" s="58">
        <f t="shared" si="1"/>
        <v>0.34965034965034963</v>
      </c>
    </row>
    <row r="7" spans="1:14" x14ac:dyDescent="0.25">
      <c r="A7" s="445">
        <v>43677</v>
      </c>
      <c r="B7" s="42" t="s">
        <v>626</v>
      </c>
      <c r="C7" s="42" t="s">
        <v>432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343">
        <v>19</v>
      </c>
      <c r="K7" s="447">
        <v>32</v>
      </c>
      <c r="L7" s="447">
        <v>245</v>
      </c>
      <c r="M7" s="447">
        <v>102</v>
      </c>
      <c r="N7" s="58">
        <f t="shared" si="1"/>
        <v>0.41632653061224489</v>
      </c>
    </row>
    <row r="8" spans="1:14" x14ac:dyDescent="0.25">
      <c r="A8" s="445">
        <v>43642</v>
      </c>
      <c r="B8" s="42" t="s">
        <v>432</v>
      </c>
      <c r="C8" s="42" t="s">
        <v>627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343">
        <v>20</v>
      </c>
      <c r="K8" s="447">
        <v>14</v>
      </c>
      <c r="L8" s="447">
        <v>104</v>
      </c>
      <c r="M8" s="447">
        <v>42</v>
      </c>
      <c r="N8" s="58">
        <f t="shared" si="1"/>
        <v>0.40384615384615385</v>
      </c>
    </row>
    <row r="9" spans="1:14" x14ac:dyDescent="0.25">
      <c r="A9" s="445">
        <v>43641</v>
      </c>
      <c r="B9" s="42" t="s">
        <v>628</v>
      </c>
      <c r="C9" s="42" t="s">
        <v>432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343">
        <v>21</v>
      </c>
      <c r="K9" s="447">
        <v>21</v>
      </c>
      <c r="L9" s="447">
        <v>182</v>
      </c>
      <c r="M9" s="447">
        <v>79</v>
      </c>
      <c r="N9" s="58">
        <f t="shared" si="1"/>
        <v>0.43406593406593408</v>
      </c>
    </row>
    <row r="10" spans="1:14" x14ac:dyDescent="0.25">
      <c r="A10" s="445">
        <v>43641</v>
      </c>
      <c r="B10" s="42" t="s">
        <v>432</v>
      </c>
      <c r="C10" s="42" t="s">
        <v>630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343">
        <v>22</v>
      </c>
      <c r="K10" s="447">
        <v>9</v>
      </c>
      <c r="L10" s="447">
        <v>67</v>
      </c>
      <c r="M10" s="447">
        <v>24</v>
      </c>
      <c r="N10" s="58">
        <f t="shared" si="1"/>
        <v>0.35820895522388058</v>
      </c>
    </row>
    <row r="11" spans="1:14" x14ac:dyDescent="0.25">
      <c r="A11" s="445">
        <v>43640</v>
      </c>
      <c r="B11" s="42" t="s">
        <v>631</v>
      </c>
      <c r="C11" s="42" t="s">
        <v>432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343">
        <v>23</v>
      </c>
      <c r="K11" s="447">
        <v>17</v>
      </c>
      <c r="L11" s="447">
        <v>132</v>
      </c>
      <c r="M11" s="447">
        <v>62</v>
      </c>
      <c r="N11" s="58">
        <f t="shared" si="1"/>
        <v>0.46969696969696972</v>
      </c>
    </row>
    <row r="12" spans="1:14" x14ac:dyDescent="0.25">
      <c r="A12" s="445">
        <v>43636</v>
      </c>
      <c r="B12" s="42" t="s">
        <v>632</v>
      </c>
      <c r="C12" s="42" t="s">
        <v>432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343">
        <v>24</v>
      </c>
      <c r="K12" s="447">
        <v>5</v>
      </c>
      <c r="L12" s="447">
        <v>42</v>
      </c>
      <c r="M12" s="447">
        <v>20</v>
      </c>
      <c r="N12" s="58">
        <f t="shared" si="1"/>
        <v>0.47619047619047616</v>
      </c>
    </row>
    <row r="13" spans="1:14" x14ac:dyDescent="0.25">
      <c r="A13" s="445">
        <v>43635</v>
      </c>
      <c r="B13" s="42" t="s">
        <v>432</v>
      </c>
      <c r="C13" s="42" t="s">
        <v>633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343" t="s">
        <v>629</v>
      </c>
      <c r="K13" s="447">
        <v>158</v>
      </c>
      <c r="L13" s="447">
        <v>1168</v>
      </c>
      <c r="M13" s="447">
        <v>477</v>
      </c>
      <c r="N13" s="58"/>
    </row>
    <row r="14" spans="1:14" x14ac:dyDescent="0.25">
      <c r="A14" s="445">
        <v>43635</v>
      </c>
      <c r="B14" s="42" t="s">
        <v>432</v>
      </c>
      <c r="C14" s="42" t="s">
        <v>634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445">
        <v>43634</v>
      </c>
      <c r="B15" s="42" t="s">
        <v>635</v>
      </c>
      <c r="C15" s="42" t="s">
        <v>432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445">
        <v>43634</v>
      </c>
      <c r="B16" s="42" t="s">
        <v>636</v>
      </c>
      <c r="C16" s="42" t="s">
        <v>432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445">
        <v>43633</v>
      </c>
      <c r="B17" s="42" t="s">
        <v>432</v>
      </c>
      <c r="C17" s="42" t="s">
        <v>637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445">
        <v>43633</v>
      </c>
      <c r="B18" s="42" t="s">
        <v>432</v>
      </c>
      <c r="C18" s="42" t="s">
        <v>638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445">
        <v>43624</v>
      </c>
      <c r="B19" s="42" t="s">
        <v>639</v>
      </c>
      <c r="C19" s="42" t="s">
        <v>432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445">
        <v>43617</v>
      </c>
      <c r="B20" s="42" t="s">
        <v>640</v>
      </c>
      <c r="C20" s="42" t="s">
        <v>432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445">
        <v>43615</v>
      </c>
      <c r="B21" s="42" t="s">
        <v>432</v>
      </c>
      <c r="C21" s="42" t="s">
        <v>641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445">
        <v>43610</v>
      </c>
      <c r="B22" s="42" t="s">
        <v>432</v>
      </c>
      <c r="C22" s="42" t="s">
        <v>642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445">
        <v>43602</v>
      </c>
      <c r="B23" s="42" t="s">
        <v>643</v>
      </c>
      <c r="C23" s="42" t="s">
        <v>432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445">
        <v>43550</v>
      </c>
      <c r="B24" s="42" t="s">
        <v>644</v>
      </c>
      <c r="C24" s="42" t="s">
        <v>432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445">
        <v>43644</v>
      </c>
      <c r="B25" s="42" t="s">
        <v>432</v>
      </c>
      <c r="C25" s="42" t="s">
        <v>645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445">
        <v>43643</v>
      </c>
      <c r="B26" s="42" t="s">
        <v>646</v>
      </c>
      <c r="C26" s="42" t="s">
        <v>432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445">
        <v>43643</v>
      </c>
      <c r="B27" s="42" t="s">
        <v>432</v>
      </c>
      <c r="C27" s="42" t="s">
        <v>647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445">
        <v>43643</v>
      </c>
      <c r="B28" s="42" t="s">
        <v>648</v>
      </c>
      <c r="C28" s="42" t="s">
        <v>432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445">
        <v>43642</v>
      </c>
      <c r="B29" s="42" t="s">
        <v>649</v>
      </c>
      <c r="C29" s="42" t="s">
        <v>432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445">
        <v>43641</v>
      </c>
      <c r="B30" s="42" t="s">
        <v>432</v>
      </c>
      <c r="C30" s="42" t="s">
        <v>650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445">
        <v>43636</v>
      </c>
      <c r="B31" s="42" t="s">
        <v>651</v>
      </c>
      <c r="C31" s="42" t="s">
        <v>432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445">
        <v>43603</v>
      </c>
      <c r="B32" s="42" t="s">
        <v>652</v>
      </c>
      <c r="C32" s="42" t="s">
        <v>432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445">
        <v>43596</v>
      </c>
      <c r="B33" s="42" t="s">
        <v>432</v>
      </c>
      <c r="C33" s="42" t="s">
        <v>625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445">
        <v>43589</v>
      </c>
      <c r="B34" s="42" t="s">
        <v>653</v>
      </c>
      <c r="C34" s="42" t="s">
        <v>432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445">
        <v>43547</v>
      </c>
      <c r="B35" s="42" t="s">
        <v>432</v>
      </c>
      <c r="C35" s="42" t="s">
        <v>639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445">
        <v>43540</v>
      </c>
      <c r="B36" s="42" t="s">
        <v>654</v>
      </c>
      <c r="C36" s="42" t="s">
        <v>432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445">
        <v>43537</v>
      </c>
      <c r="B37" s="42" t="s">
        <v>655</v>
      </c>
      <c r="C37" s="42" t="s">
        <v>432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445">
        <v>43704</v>
      </c>
      <c r="B38" s="42" t="s">
        <v>432</v>
      </c>
      <c r="C38" s="42" t="s">
        <v>656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445">
        <v>43656</v>
      </c>
      <c r="B39" s="42" t="s">
        <v>657</v>
      </c>
      <c r="C39" s="42" t="s">
        <v>432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445">
        <v>43656</v>
      </c>
      <c r="B40" s="42" t="s">
        <v>432</v>
      </c>
      <c r="C40" s="42" t="s">
        <v>658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445">
        <v>43655</v>
      </c>
      <c r="B41" s="42" t="s">
        <v>432</v>
      </c>
      <c r="C41" s="42" t="s">
        <v>659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445">
        <v>43582</v>
      </c>
      <c r="B42" s="42" t="s">
        <v>432</v>
      </c>
      <c r="C42" s="42" t="s">
        <v>653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445">
        <v>43575</v>
      </c>
      <c r="B43" s="42" t="s">
        <v>625</v>
      </c>
      <c r="C43" s="42" t="s">
        <v>432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445">
        <v>43568</v>
      </c>
      <c r="B44" s="42" t="s">
        <v>432</v>
      </c>
      <c r="C44" s="42" t="s">
        <v>652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445">
        <v>43561</v>
      </c>
      <c r="B45" s="42" t="s">
        <v>642</v>
      </c>
      <c r="C45" s="42" t="s">
        <v>432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445">
        <v>43554</v>
      </c>
      <c r="B46" s="42" t="s">
        <v>432</v>
      </c>
      <c r="C46" s="42" t="s">
        <v>640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445">
        <v>43687</v>
      </c>
      <c r="B47" s="42" t="s">
        <v>660</v>
      </c>
      <c r="C47" s="42" t="s">
        <v>432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445">
        <v>43701</v>
      </c>
      <c r="B48" s="42" t="s">
        <v>432</v>
      </c>
      <c r="C48" s="42" t="s">
        <v>661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445">
        <v>43666</v>
      </c>
      <c r="B49" s="42" t="s">
        <v>639</v>
      </c>
      <c r="C49" s="42" t="s">
        <v>432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445">
        <v>43657</v>
      </c>
      <c r="B50" s="42" t="s">
        <v>432</v>
      </c>
      <c r="C50" s="42" t="s">
        <v>662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445">
        <v>43652</v>
      </c>
      <c r="B51" s="42" t="s">
        <v>432</v>
      </c>
      <c r="C51" s="42" t="s">
        <v>663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445">
        <v>43677</v>
      </c>
      <c r="B52" s="42" t="s">
        <v>432</v>
      </c>
      <c r="C52" s="42" t="s">
        <v>664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445">
        <v>43672</v>
      </c>
      <c r="B53" s="42" t="s">
        <v>665</v>
      </c>
      <c r="C53" s="42" t="s">
        <v>432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445">
        <v>43663</v>
      </c>
      <c r="B54" s="42" t="s">
        <v>432</v>
      </c>
      <c r="C54" s="42" t="s">
        <v>666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445">
        <v>43708</v>
      </c>
      <c r="B55" s="42" t="s">
        <v>432</v>
      </c>
      <c r="C55" s="42" t="s">
        <v>667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445">
        <v>43711</v>
      </c>
      <c r="B56" s="42" t="s">
        <v>668</v>
      </c>
      <c r="C56" s="42" t="s">
        <v>432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445">
        <v>43713</v>
      </c>
      <c r="B57" s="42" t="s">
        <v>432</v>
      </c>
      <c r="C57" s="42" t="s">
        <v>669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445">
        <v>43713</v>
      </c>
      <c r="B58" s="42" t="s">
        <v>432</v>
      </c>
      <c r="C58" s="42" t="s">
        <v>670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445">
        <v>43715</v>
      </c>
      <c r="B59" s="42" t="s">
        <v>625</v>
      </c>
      <c r="C59" s="42" t="s">
        <v>432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445">
        <v>43717</v>
      </c>
      <c r="B60" s="42" t="s">
        <v>432</v>
      </c>
      <c r="C60" s="42" t="s">
        <v>671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445">
        <v>43719</v>
      </c>
      <c r="B61" s="42" t="s">
        <v>672</v>
      </c>
      <c r="C61" s="42" t="s">
        <v>432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445">
        <v>43722</v>
      </c>
      <c r="B62" s="42" t="s">
        <v>654</v>
      </c>
      <c r="C62" s="42" t="s">
        <v>432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445">
        <v>43724</v>
      </c>
      <c r="B63" s="42" t="s">
        <v>432</v>
      </c>
      <c r="C63" s="42" t="s">
        <v>673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445">
        <v>43731</v>
      </c>
      <c r="B64" s="42" t="s">
        <v>674</v>
      </c>
      <c r="C64" s="42" t="s">
        <v>432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445">
        <v>43736</v>
      </c>
      <c r="B65" s="42" t="s">
        <v>675</v>
      </c>
      <c r="C65" s="42" t="s">
        <v>432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445">
        <v>43738</v>
      </c>
      <c r="B66" s="42" t="s">
        <v>432</v>
      </c>
      <c r="C66" s="42" t="s">
        <v>676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59" si="5">G66/F66</f>
        <v>0.55555555555555558</v>
      </c>
    </row>
    <row r="67" spans="1:8" x14ac:dyDescent="0.25">
      <c r="A67" s="445">
        <v>43739</v>
      </c>
      <c r="B67" s="42" t="s">
        <v>677</v>
      </c>
      <c r="C67" s="42" t="s">
        <v>432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445">
        <v>43742</v>
      </c>
      <c r="B68" s="42" t="s">
        <v>432</v>
      </c>
      <c r="C68" s="42" t="s">
        <v>678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445">
        <v>43743</v>
      </c>
      <c r="B69" s="42" t="s">
        <v>677</v>
      </c>
      <c r="C69" s="42" t="s">
        <v>432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445">
        <v>43745</v>
      </c>
      <c r="B70" s="42" t="s">
        <v>679</v>
      </c>
      <c r="C70" s="42" t="s">
        <v>432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445">
        <v>43745</v>
      </c>
      <c r="B71" s="42" t="s">
        <v>680</v>
      </c>
      <c r="C71" s="42" t="s">
        <v>432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445">
        <v>43745</v>
      </c>
      <c r="B72" s="42" t="s">
        <v>432</v>
      </c>
      <c r="C72" s="42" t="s">
        <v>681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445">
        <v>43745</v>
      </c>
      <c r="B73" s="42" t="s">
        <v>432</v>
      </c>
      <c r="C73" s="42" t="s">
        <v>682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445">
        <v>43746</v>
      </c>
      <c r="B74" s="42" t="s">
        <v>683</v>
      </c>
      <c r="C74" s="42" t="s">
        <v>432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445">
        <v>43746</v>
      </c>
      <c r="B75" s="42" t="s">
        <v>684</v>
      </c>
      <c r="C75" s="42" t="s">
        <v>432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445">
        <v>43747</v>
      </c>
      <c r="B76" s="42" t="s">
        <v>685</v>
      </c>
      <c r="C76" s="42" t="s">
        <v>432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445">
        <v>43748</v>
      </c>
      <c r="B77" s="42" t="s">
        <v>432</v>
      </c>
      <c r="C77" s="42" t="s">
        <v>686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445">
        <v>43748</v>
      </c>
      <c r="B78" s="42" t="s">
        <v>432</v>
      </c>
      <c r="C78" s="42" t="s">
        <v>687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445">
        <v>43748</v>
      </c>
      <c r="B79" s="42" t="s">
        <v>432</v>
      </c>
      <c r="C79" s="42" t="s">
        <v>688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445">
        <v>43753</v>
      </c>
      <c r="B80" s="42" t="s">
        <v>689</v>
      </c>
      <c r="C80" s="42" t="s">
        <v>432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445">
        <v>43753</v>
      </c>
      <c r="B81" s="42" t="s">
        <v>690</v>
      </c>
      <c r="C81" s="42" t="s">
        <v>432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445">
        <v>43753</v>
      </c>
      <c r="B82" s="42" t="s">
        <v>691</v>
      </c>
      <c r="C82" s="42" t="s">
        <v>432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445">
        <v>43754</v>
      </c>
      <c r="B83" s="42" t="s">
        <v>432</v>
      </c>
      <c r="C83" s="42" t="s">
        <v>692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445">
        <v>43754</v>
      </c>
      <c r="B84" s="42" t="s">
        <v>693</v>
      </c>
      <c r="C84" s="42" t="s">
        <v>432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445">
        <v>43754</v>
      </c>
      <c r="B85" s="42" t="s">
        <v>432</v>
      </c>
      <c r="C85" s="42" t="s">
        <v>694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445">
        <v>43755</v>
      </c>
      <c r="B86" s="42" t="s">
        <v>432</v>
      </c>
      <c r="C86" s="42" t="s">
        <v>695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445">
        <v>43764</v>
      </c>
      <c r="B87" s="42" t="s">
        <v>432</v>
      </c>
      <c r="C87" s="42" t="s">
        <v>438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445">
        <v>43771</v>
      </c>
      <c r="B88" s="42" t="s">
        <v>446</v>
      </c>
      <c r="C88" s="42" t="s">
        <v>432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445">
        <v>43773</v>
      </c>
      <c r="B89" s="42" t="s">
        <v>919</v>
      </c>
      <c r="C89" s="42" t="s">
        <v>432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445">
        <v>43775</v>
      </c>
      <c r="B90" s="42" t="s">
        <v>920</v>
      </c>
      <c r="C90" s="42" t="s">
        <v>432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445">
        <v>43781</v>
      </c>
      <c r="B91" s="42" t="s">
        <v>921</v>
      </c>
      <c r="C91" s="42" t="s">
        <v>432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445">
        <v>43782</v>
      </c>
      <c r="B92" s="42" t="s">
        <v>432</v>
      </c>
      <c r="C92" s="42" t="s">
        <v>922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445">
        <v>43785</v>
      </c>
      <c r="B93" s="42" t="s">
        <v>453</v>
      </c>
      <c r="C93" s="42" t="s">
        <v>432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445">
        <v>43787</v>
      </c>
      <c r="B94" s="42" t="s">
        <v>670</v>
      </c>
      <c r="C94" s="42" t="s">
        <v>432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445">
        <v>43789</v>
      </c>
      <c r="B95" s="42" t="s">
        <v>432</v>
      </c>
      <c r="C95" s="42" t="s">
        <v>923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445">
        <v>43792</v>
      </c>
      <c r="B96" s="42" t="s">
        <v>432</v>
      </c>
      <c r="C96" s="42" t="s">
        <v>458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445">
        <v>43794</v>
      </c>
      <c r="B97" s="42" t="s">
        <v>432</v>
      </c>
      <c r="C97" s="42" t="s">
        <v>924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445">
        <v>43796</v>
      </c>
      <c r="B98" s="42" t="s">
        <v>432</v>
      </c>
      <c r="C98" s="42" t="s">
        <v>925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445">
        <v>43796</v>
      </c>
      <c r="B99" s="42" t="s">
        <v>921</v>
      </c>
      <c r="C99" s="42" t="s">
        <v>432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445">
        <v>43799</v>
      </c>
      <c r="B100" s="42" t="s">
        <v>448</v>
      </c>
      <c r="C100" s="42" t="s">
        <v>432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445">
        <v>43800</v>
      </c>
      <c r="B101" s="42" t="s">
        <v>926</v>
      </c>
      <c r="C101" s="42" t="s">
        <v>432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445">
        <v>43803</v>
      </c>
      <c r="B102" s="42" t="s">
        <v>927</v>
      </c>
      <c r="C102" s="42" t="s">
        <v>432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445">
        <v>43804</v>
      </c>
      <c r="B103" s="42" t="s">
        <v>928</v>
      </c>
      <c r="C103" s="42" t="s">
        <v>432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445">
        <v>43806</v>
      </c>
      <c r="B104" s="42" t="s">
        <v>432</v>
      </c>
      <c r="C104" s="42" t="s">
        <v>442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445">
        <v>43810</v>
      </c>
      <c r="B105" s="42" t="s">
        <v>432</v>
      </c>
      <c r="C105" s="42" t="s">
        <v>929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445">
        <v>43820</v>
      </c>
      <c r="B106" s="42" t="s">
        <v>432</v>
      </c>
      <c r="C106" s="42" t="s">
        <v>448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445">
        <v>43827</v>
      </c>
      <c r="B107" s="42" t="s">
        <v>458</v>
      </c>
      <c r="C107" s="42" t="s">
        <v>432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445">
        <v>43837</v>
      </c>
      <c r="B108" s="42" t="s">
        <v>645</v>
      </c>
      <c r="C108" s="42" t="s">
        <v>432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445">
        <v>43841</v>
      </c>
      <c r="B109" s="42" t="s">
        <v>463</v>
      </c>
      <c r="C109" s="42" t="s">
        <v>432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445">
        <v>43841</v>
      </c>
      <c r="B110" s="42" t="s">
        <v>930</v>
      </c>
      <c r="C110" s="42" t="s">
        <v>432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445">
        <v>43848</v>
      </c>
      <c r="B111" s="42" t="s">
        <v>432</v>
      </c>
      <c r="C111" s="42" t="s">
        <v>446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445">
        <v>43854</v>
      </c>
      <c r="B112" s="42" t="s">
        <v>931</v>
      </c>
      <c r="C112" s="42" t="s">
        <v>432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445">
        <v>43855</v>
      </c>
      <c r="B113" s="42" t="s">
        <v>438</v>
      </c>
      <c r="C113" s="42" t="s">
        <v>432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445">
        <v>43862</v>
      </c>
      <c r="B114" s="42" t="s">
        <v>932</v>
      </c>
      <c r="C114" s="42" t="s">
        <v>432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445">
        <v>43880</v>
      </c>
      <c r="B115" s="42" t="s">
        <v>933</v>
      </c>
      <c r="C115" s="42" t="s">
        <v>432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445">
        <v>43883</v>
      </c>
      <c r="B116" s="42" t="s">
        <v>934</v>
      </c>
      <c r="C116" s="42" t="s">
        <v>432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445">
        <v>43887</v>
      </c>
      <c r="B117" s="42" t="s">
        <v>935</v>
      </c>
      <c r="C117" s="42" t="s">
        <v>432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445">
        <v>43890</v>
      </c>
      <c r="B118" s="42" t="s">
        <v>936</v>
      </c>
      <c r="C118" s="42" t="s">
        <v>432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445">
        <v>43897</v>
      </c>
      <c r="B119" s="42" t="s">
        <v>432</v>
      </c>
      <c r="C119" s="42" t="s">
        <v>937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445">
        <v>43901</v>
      </c>
      <c r="B120" s="42" t="s">
        <v>938</v>
      </c>
      <c r="C120" s="42" t="s">
        <v>432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445">
        <v>43904</v>
      </c>
      <c r="B121" s="42" t="s">
        <v>939</v>
      </c>
      <c r="C121" s="42" t="s">
        <v>432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445">
        <v>43908</v>
      </c>
      <c r="B122" s="42" t="s">
        <v>432</v>
      </c>
      <c r="C122" s="42" t="s">
        <v>940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445">
        <v>43910</v>
      </c>
      <c r="B123" s="42" t="s">
        <v>432</v>
      </c>
      <c r="C123" s="42" t="s">
        <v>941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445">
        <v>43911</v>
      </c>
      <c r="B124" s="42" t="s">
        <v>432</v>
      </c>
      <c r="C124" s="42" t="s">
        <v>942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445">
        <v>43911</v>
      </c>
      <c r="B125" s="42" t="s">
        <v>432</v>
      </c>
      <c r="C125" s="42" t="s">
        <v>943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445">
        <v>43913</v>
      </c>
      <c r="B126" s="42" t="s">
        <v>432</v>
      </c>
      <c r="C126" s="42" t="s">
        <v>944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445">
        <v>43915</v>
      </c>
      <c r="B127" s="42" t="s">
        <v>945</v>
      </c>
      <c r="C127" s="42" t="s">
        <v>432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445">
        <v>43916</v>
      </c>
      <c r="B128" s="42" t="s">
        <v>432</v>
      </c>
      <c r="C128" s="42" t="s">
        <v>946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445">
        <v>43916</v>
      </c>
      <c r="B129" s="42" t="s">
        <v>432</v>
      </c>
      <c r="C129" s="42" t="s">
        <v>947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445">
        <v>43918</v>
      </c>
      <c r="B130" s="42" t="s">
        <v>948</v>
      </c>
      <c r="C130" s="42" t="s">
        <v>432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445">
        <v>43925</v>
      </c>
      <c r="B131" s="42" t="s">
        <v>432</v>
      </c>
      <c r="C131" s="42" t="s">
        <v>948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445">
        <v>43929</v>
      </c>
      <c r="B132" s="42" t="s">
        <v>949</v>
      </c>
      <c r="C132" s="42" t="s">
        <v>432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445">
        <v>43932</v>
      </c>
      <c r="B133" s="42" t="s">
        <v>942</v>
      </c>
      <c r="C133" s="42" t="s">
        <v>432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445">
        <v>43939</v>
      </c>
      <c r="B134" s="42" t="s">
        <v>432</v>
      </c>
      <c r="C134" s="42" t="s">
        <v>950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445">
        <v>43943</v>
      </c>
      <c r="B135" s="42" t="s">
        <v>951</v>
      </c>
      <c r="C135" s="42" t="s">
        <v>432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445">
        <v>43946</v>
      </c>
      <c r="B136" s="42" t="s">
        <v>937</v>
      </c>
      <c r="C136" s="42" t="s">
        <v>432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445">
        <v>43949</v>
      </c>
      <c r="B137" s="42" t="s">
        <v>951</v>
      </c>
      <c r="C137" s="42" t="s">
        <v>432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445">
        <v>43953</v>
      </c>
      <c r="C138" s="42" t="s">
        <v>936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445">
        <v>43960</v>
      </c>
      <c r="C139" s="42" t="s">
        <v>934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445">
        <v>43967</v>
      </c>
      <c r="B140" s="42" t="s">
        <v>952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445">
        <v>43969</v>
      </c>
      <c r="C141" s="42" t="s">
        <v>953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445">
        <v>43970</v>
      </c>
      <c r="B142" s="42" t="s">
        <v>954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445">
        <v>43970</v>
      </c>
      <c r="B143" s="42" t="s">
        <v>955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445">
        <v>43971</v>
      </c>
      <c r="C144" s="42" t="s">
        <v>956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445">
        <v>43971</v>
      </c>
      <c r="B145" s="42" t="s">
        <v>957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445">
        <v>43972</v>
      </c>
      <c r="B146" s="42" t="s">
        <v>958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445">
        <v>43972</v>
      </c>
      <c r="C147" s="42" t="s">
        <v>959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445">
        <v>43972</v>
      </c>
      <c r="B148" s="42" t="s">
        <v>960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445">
        <v>43973</v>
      </c>
      <c r="B149" s="42" t="s">
        <v>961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445">
        <v>43976</v>
      </c>
      <c r="C150" s="42" t="s">
        <v>962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445">
        <v>43977</v>
      </c>
      <c r="C151" s="42" t="s">
        <v>963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445">
        <v>43977</v>
      </c>
      <c r="B152" s="42" t="s">
        <v>964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445">
        <v>43977</v>
      </c>
      <c r="B153" s="42" t="s">
        <v>965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445">
        <v>43978</v>
      </c>
      <c r="C154" s="42" t="s">
        <v>966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445">
        <v>43978</v>
      </c>
      <c r="B155" s="42" t="s">
        <v>967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445">
        <v>43978</v>
      </c>
      <c r="C156" s="42" t="s">
        <v>968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445">
        <v>43979</v>
      </c>
      <c r="C157" s="42" t="s">
        <v>969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445">
        <v>43979</v>
      </c>
      <c r="C158" s="42" t="s">
        <v>970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445">
        <v>43979</v>
      </c>
      <c r="B159" s="42" t="s">
        <v>971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445"/>
      <c r="H160" s="38"/>
    </row>
    <row r="161" spans="1:8" x14ac:dyDescent="0.25">
      <c r="A161" s="445"/>
      <c r="H161" s="38"/>
    </row>
    <row r="162" spans="1:8" x14ac:dyDescent="0.25">
      <c r="A162" s="445"/>
      <c r="H162" s="38"/>
    </row>
    <row r="163" spans="1:8" x14ac:dyDescent="0.25">
      <c r="A163" s="445"/>
      <c r="H163" s="38"/>
    </row>
    <row r="164" spans="1:8" x14ac:dyDescent="0.25">
      <c r="A164" s="445"/>
      <c r="H164" s="38"/>
    </row>
    <row r="165" spans="1:8" x14ac:dyDescent="0.25">
      <c r="A165" s="445"/>
      <c r="H165" s="38"/>
    </row>
    <row r="166" spans="1:8" x14ac:dyDescent="0.25">
      <c r="A166" s="445"/>
      <c r="H166" s="38"/>
    </row>
    <row r="167" spans="1:8" x14ac:dyDescent="0.25">
      <c r="A167" s="445"/>
      <c r="H167" s="38"/>
    </row>
    <row r="168" spans="1:8" x14ac:dyDescent="0.25">
      <c r="A168" s="445"/>
      <c r="H168" s="38"/>
    </row>
    <row r="169" spans="1:8" x14ac:dyDescent="0.25">
      <c r="A169" s="445"/>
      <c r="H169" s="38"/>
    </row>
    <row r="170" spans="1:8" x14ac:dyDescent="0.25">
      <c r="A170" s="445"/>
      <c r="H170" s="38"/>
    </row>
    <row r="171" spans="1:8" x14ac:dyDescent="0.25">
      <c r="A171" s="445"/>
      <c r="H171" s="38"/>
    </row>
    <row r="172" spans="1:8" x14ac:dyDescent="0.25">
      <c r="A172" s="445"/>
      <c r="H172" s="38"/>
    </row>
    <row r="173" spans="1:8" x14ac:dyDescent="0.25">
      <c r="A173" s="445"/>
      <c r="H173" s="38"/>
    </row>
    <row r="174" spans="1:8" x14ac:dyDescent="0.25">
      <c r="A174" s="445"/>
      <c r="H174" s="38"/>
    </row>
    <row r="175" spans="1:8" x14ac:dyDescent="0.25">
      <c r="A175" s="445"/>
      <c r="H175" s="38"/>
    </row>
    <row r="176" spans="1:8" x14ac:dyDescent="0.25">
      <c r="A176" s="445"/>
      <c r="H176" s="38"/>
    </row>
    <row r="177" spans="1:8" x14ac:dyDescent="0.25">
      <c r="A177" s="445"/>
      <c r="H177" s="38"/>
    </row>
    <row r="178" spans="1:8" x14ac:dyDescent="0.25">
      <c r="A178" s="445"/>
      <c r="H178" s="38"/>
    </row>
    <row r="179" spans="1:8" x14ac:dyDescent="0.25">
      <c r="A179" s="445"/>
      <c r="H179" s="38"/>
    </row>
    <row r="180" spans="1:8" x14ac:dyDescent="0.25">
      <c r="A180" s="445"/>
      <c r="H180" s="38"/>
    </row>
    <row r="181" spans="1:8" x14ac:dyDescent="0.25">
      <c r="A181" s="445"/>
      <c r="H181" s="38"/>
    </row>
    <row r="182" spans="1:8" x14ac:dyDescent="0.25">
      <c r="A182" s="445"/>
      <c r="H182" s="38"/>
    </row>
    <row r="183" spans="1:8" x14ac:dyDescent="0.25">
      <c r="A183" s="445"/>
      <c r="H183" s="38"/>
    </row>
    <row r="184" spans="1:8" x14ac:dyDescent="0.25">
      <c r="A184" s="445"/>
      <c r="H184" s="38"/>
    </row>
    <row r="185" spans="1:8" x14ac:dyDescent="0.25">
      <c r="A185" s="445"/>
      <c r="H185" s="38"/>
    </row>
    <row r="186" spans="1:8" x14ac:dyDescent="0.25">
      <c r="A186" s="445"/>
      <c r="H186" s="38"/>
    </row>
    <row r="187" spans="1:8" x14ac:dyDescent="0.25">
      <c r="A187" s="445"/>
      <c r="H187" s="38"/>
    </row>
    <row r="188" spans="1:8" x14ac:dyDescent="0.25">
      <c r="A188" s="445"/>
      <c r="H188" s="38"/>
    </row>
    <row r="189" spans="1:8" x14ac:dyDescent="0.25">
      <c r="A189" s="445"/>
      <c r="H189" s="38"/>
    </row>
    <row r="190" spans="1:8" x14ac:dyDescent="0.25">
      <c r="A190" s="445"/>
      <c r="H190" s="38"/>
    </row>
    <row r="191" spans="1:8" x14ac:dyDescent="0.25">
      <c r="A191" s="445"/>
      <c r="H191" s="38"/>
    </row>
    <row r="192" spans="1:8" x14ac:dyDescent="0.25">
      <c r="A192" s="445"/>
    </row>
    <row r="193" spans="1:1" x14ac:dyDescent="0.25">
      <c r="A193" s="445"/>
    </row>
    <row r="194" spans="1:1" x14ac:dyDescent="0.25">
      <c r="A194" s="445"/>
    </row>
    <row r="195" spans="1:1" x14ac:dyDescent="0.25">
      <c r="A195" s="445"/>
    </row>
    <row r="196" spans="1:1" x14ac:dyDescent="0.25">
      <c r="A196" s="445"/>
    </row>
    <row r="197" spans="1:1" x14ac:dyDescent="0.25">
      <c r="A197" s="445"/>
    </row>
    <row r="198" spans="1:1" x14ac:dyDescent="0.25">
      <c r="A198" s="445"/>
    </row>
    <row r="199" spans="1:1" x14ac:dyDescent="0.25">
      <c r="A199" s="445"/>
    </row>
    <row r="200" spans="1:1" x14ac:dyDescent="0.25">
      <c r="A200" s="445"/>
    </row>
    <row r="201" spans="1:1" x14ac:dyDescent="0.25">
      <c r="A201" s="445"/>
    </row>
    <row r="202" spans="1:1" x14ac:dyDescent="0.25">
      <c r="A202" s="445"/>
    </row>
    <row r="203" spans="1:1" x14ac:dyDescent="0.25">
      <c r="A203" s="445"/>
    </row>
    <row r="204" spans="1:1" x14ac:dyDescent="0.25">
      <c r="A204" s="445"/>
    </row>
    <row r="205" spans="1:1" x14ac:dyDescent="0.25">
      <c r="A205" s="445"/>
    </row>
    <row r="206" spans="1:1" x14ac:dyDescent="0.25">
      <c r="A206" s="445"/>
    </row>
    <row r="207" spans="1:1" x14ac:dyDescent="0.25">
      <c r="A207" s="445"/>
    </row>
    <row r="208" spans="1:1" x14ac:dyDescent="0.25">
      <c r="A208" s="445"/>
    </row>
    <row r="209" spans="1:1" x14ac:dyDescent="0.25">
      <c r="A209" s="445"/>
    </row>
    <row r="210" spans="1:1" x14ac:dyDescent="0.25">
      <c r="A210" s="445"/>
    </row>
    <row r="211" spans="1:1" x14ac:dyDescent="0.25">
      <c r="A211" s="445"/>
    </row>
    <row r="212" spans="1:1" x14ac:dyDescent="0.25">
      <c r="A212" s="445"/>
    </row>
    <row r="213" spans="1:1" x14ac:dyDescent="0.25">
      <c r="A213" s="445"/>
    </row>
    <row r="214" spans="1:1" x14ac:dyDescent="0.25">
      <c r="A214" s="445"/>
    </row>
    <row r="215" spans="1:1" x14ac:dyDescent="0.25">
      <c r="A215" s="445"/>
    </row>
    <row r="216" spans="1:1" x14ac:dyDescent="0.25">
      <c r="A216" s="445"/>
    </row>
    <row r="217" spans="1:1" x14ac:dyDescent="0.25">
      <c r="A217" s="445"/>
    </row>
    <row r="218" spans="1:1" x14ac:dyDescent="0.25">
      <c r="A218" s="445"/>
    </row>
    <row r="219" spans="1:1" x14ac:dyDescent="0.25">
      <c r="A219" s="445"/>
    </row>
    <row r="220" spans="1:1" x14ac:dyDescent="0.25">
      <c r="A220" s="445"/>
    </row>
    <row r="221" spans="1:1" x14ac:dyDescent="0.25">
      <c r="A221" s="445"/>
    </row>
    <row r="222" spans="1:1" x14ac:dyDescent="0.25">
      <c r="A222" s="445"/>
    </row>
    <row r="223" spans="1:1" x14ac:dyDescent="0.25">
      <c r="A223" s="445"/>
    </row>
    <row r="224" spans="1:1" x14ac:dyDescent="0.25">
      <c r="A224" s="445"/>
    </row>
    <row r="225" spans="1:1" x14ac:dyDescent="0.25">
      <c r="A225" s="445"/>
    </row>
    <row r="226" spans="1:1" x14ac:dyDescent="0.25">
      <c r="A226" s="445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Juveniles</vt:lpstr>
      <vt:lpstr>V.252</vt:lpstr>
      <vt:lpstr>Planning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2020-08-26T08:24:51Z</dcterms:modified>
</cp:coreProperties>
</file>