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D53F9128-F972-48A9-8157-741D0A788D4D}" xr6:coauthVersionLast="44" xr6:coauthVersionMax="44" xr10:uidLastSave="{00000000-0000-0000-0000-000000000000}"/>
  <bookViews>
    <workbookView xWindow="28680" yWindow="-120" windowWidth="29040" windowHeight="15840" tabRatio="500" xr2:uid="{00000000-000D-0000-FFFF-FFFF00000000}"/>
  </bookViews>
  <sheets>
    <sheet name="Badajoz-VADER" sheetId="11" r:id="rId1"/>
    <sheet name="SIMULADOR_v4" sheetId="10" r:id="rId2"/>
    <sheet name="SIMULADOR_v3" sheetId="4" r:id="rId3"/>
    <sheet name="SIMULADOR&gt;22-12-17_v2" sheetId="5" r:id="rId4"/>
    <sheet name="SIMULADOR&gt;22-12-17" sheetId="6" r:id="rId5"/>
    <sheet name="SIMULADOR" sheetId="7" r:id="rId6"/>
    <sheet name="SIMULADOR_sinJC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C27" i="11" l="1"/>
  <c r="C25" i="11"/>
  <c r="B25" i="11"/>
  <c r="B27" i="11"/>
  <c r="BF48" i="11"/>
  <c r="BF47" i="11"/>
  <c r="BF46" i="11"/>
  <c r="BE45" i="11"/>
  <c r="BE44" i="11"/>
  <c r="BF45" i="11" s="1"/>
  <c r="BD44" i="11"/>
  <c r="BE43" i="11"/>
  <c r="BF44" i="11" s="1"/>
  <c r="BD43" i="11"/>
  <c r="BC43" i="11"/>
  <c r="BF42" i="11"/>
  <c r="BE42" i="11"/>
  <c r="BF43" i="11" s="1"/>
  <c r="BD42" i="11"/>
  <c r="BC42" i="11"/>
  <c r="BF41" i="11"/>
  <c r="BE41" i="11"/>
  <c r="BD41" i="11"/>
  <c r="BC41" i="11"/>
  <c r="BI40" i="11"/>
  <c r="BI45" i="11" s="1"/>
  <c r="BI50" i="11" s="1"/>
  <c r="BM11" i="11" s="1"/>
  <c r="BQ38" i="11" s="1"/>
  <c r="BQ46" i="11" s="1"/>
  <c r="BF40" i="11"/>
  <c r="BE40" i="11"/>
  <c r="BD40" i="11"/>
  <c r="BC40" i="11"/>
  <c r="BC39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BI36" i="11"/>
  <c r="BI42" i="11" s="1"/>
  <c r="BI47" i="11" s="1"/>
  <c r="BI52" i="11" s="1"/>
  <c r="BI55" i="11" s="1"/>
  <c r="BI57" i="11" s="1"/>
  <c r="BI34" i="11"/>
  <c r="BF34" i="11"/>
  <c r="BF33" i="11"/>
  <c r="C33" i="11"/>
  <c r="B33" i="11"/>
  <c r="C32" i="11"/>
  <c r="B32" i="11"/>
  <c r="BE31" i="11"/>
  <c r="BF32" i="11" s="1"/>
  <c r="BI30" i="11"/>
  <c r="BI37" i="11" s="1"/>
  <c r="BI43" i="11" s="1"/>
  <c r="BI48" i="11" s="1"/>
  <c r="BI53" i="11" s="1"/>
  <c r="BI56" i="11" s="1"/>
  <c r="BI58" i="11" s="1"/>
  <c r="BI59" i="11" s="1"/>
  <c r="BF30" i="11"/>
  <c r="BE30" i="11"/>
  <c r="BF31" i="11" s="1"/>
  <c r="BD30" i="11"/>
  <c r="E30" i="11"/>
  <c r="D30" i="11"/>
  <c r="BI29" i="11"/>
  <c r="BE29" i="11"/>
  <c r="BD29" i="11"/>
  <c r="BC29" i="11"/>
  <c r="C29" i="11"/>
  <c r="B29" i="11"/>
  <c r="BI28" i="11"/>
  <c r="BI35" i="11" s="1"/>
  <c r="BI41" i="11" s="1"/>
  <c r="BI46" i="11" s="1"/>
  <c r="BI51" i="11" s="1"/>
  <c r="BI54" i="11" s="1"/>
  <c r="BE28" i="11"/>
  <c r="BF29" i="11" s="1"/>
  <c r="BD28" i="11"/>
  <c r="BC28" i="11"/>
  <c r="BI27" i="11"/>
  <c r="BF27" i="11"/>
  <c r="BE27" i="11"/>
  <c r="BF28" i="11" s="1"/>
  <c r="BD27" i="11"/>
  <c r="BC27" i="11"/>
  <c r="BI26" i="11"/>
  <c r="BI33" i="11" s="1"/>
  <c r="BI39" i="11" s="1"/>
  <c r="BI44" i="11" s="1"/>
  <c r="BF26" i="11"/>
  <c r="BE26" i="11"/>
  <c r="BD26" i="11"/>
  <c r="BC26" i="11"/>
  <c r="E26" i="11"/>
  <c r="E27" i="11" s="1"/>
  <c r="D26" i="11"/>
  <c r="D27" i="11" s="1"/>
  <c r="C26" i="11"/>
  <c r="B26" i="11"/>
  <c r="BI25" i="11"/>
  <c r="BI32" i="11" s="1"/>
  <c r="BI38" i="11" s="1"/>
  <c r="BC25" i="11"/>
  <c r="E25" i="11"/>
  <c r="D25" i="11"/>
  <c r="BI24" i="11"/>
  <c r="BI31" i="11" s="1"/>
  <c r="BM8" i="11" s="1"/>
  <c r="BQ18" i="11" s="1"/>
  <c r="BQ22" i="11" s="1"/>
  <c r="BQ28" i="11" s="1"/>
  <c r="BQ35" i="11" s="1"/>
  <c r="BQ43" i="11" s="1"/>
  <c r="BI23" i="11"/>
  <c r="B22" i="11"/>
  <c r="G13" i="11" s="1"/>
  <c r="B20" i="11"/>
  <c r="B21" i="11" s="1"/>
  <c r="AA15" i="11"/>
  <c r="W15" i="11"/>
  <c r="V15" i="11"/>
  <c r="Q15" i="11"/>
  <c r="P15" i="11"/>
  <c r="W14" i="11"/>
  <c r="V14" i="11"/>
  <c r="Q14" i="11"/>
  <c r="P14" i="11"/>
  <c r="BM13" i="11"/>
  <c r="W13" i="11"/>
  <c r="V13" i="11"/>
  <c r="Q13" i="11"/>
  <c r="P13" i="11"/>
  <c r="BM12" i="11"/>
  <c r="BQ47" i="11" s="1"/>
  <c r="W12" i="11"/>
  <c r="V12" i="11"/>
  <c r="Q12" i="11"/>
  <c r="P12" i="11"/>
  <c r="Q11" i="11"/>
  <c r="P11" i="11"/>
  <c r="BQ10" i="11"/>
  <c r="BQ14" i="11" s="1"/>
  <c r="BI49" i="11" s="1"/>
  <c r="BQ24" i="11" s="1"/>
  <c r="BQ31" i="11" s="1"/>
  <c r="BQ39" i="11" s="1"/>
  <c r="BM14" i="11" s="1"/>
  <c r="BM10" i="11"/>
  <c r="BQ30" i="11" s="1"/>
  <c r="BQ37" i="11" s="1"/>
  <c r="BQ45" i="11" s="1"/>
  <c r="W10" i="11"/>
  <c r="V10" i="11"/>
  <c r="BM9" i="11"/>
  <c r="BQ23" i="11" s="1"/>
  <c r="BQ29" i="11" s="1"/>
  <c r="BQ36" i="11" s="1"/>
  <c r="BQ44" i="11" s="1"/>
  <c r="W9" i="11"/>
  <c r="V9" i="11"/>
  <c r="Q9" i="11"/>
  <c r="P9" i="11"/>
  <c r="W8" i="11"/>
  <c r="V8" i="11"/>
  <c r="Q8" i="11"/>
  <c r="P8" i="11"/>
  <c r="BM7" i="11"/>
  <c r="BQ13" i="11" s="1"/>
  <c r="BQ17" i="11" s="1"/>
  <c r="BQ21" i="11" s="1"/>
  <c r="BQ27" i="11" s="1"/>
  <c r="BQ34" i="11" s="1"/>
  <c r="BQ42" i="11" s="1"/>
  <c r="W7" i="11"/>
  <c r="V7" i="11"/>
  <c r="Q7" i="11"/>
  <c r="P7" i="11"/>
  <c r="BQ6" i="11"/>
  <c r="BQ8" i="11" s="1"/>
  <c r="BQ11" i="11" s="1"/>
  <c r="BQ15" i="11" s="1"/>
  <c r="BQ19" i="11" s="1"/>
  <c r="BQ25" i="11" s="1"/>
  <c r="BQ32" i="11" s="1"/>
  <c r="BQ40" i="11" s="1"/>
  <c r="BM6" i="11"/>
  <c r="BQ9" i="11" s="1"/>
  <c r="BQ12" i="11" s="1"/>
  <c r="BQ16" i="11" s="1"/>
  <c r="BQ20" i="11" s="1"/>
  <c r="BQ26" i="11" s="1"/>
  <c r="BQ33" i="11" s="1"/>
  <c r="BQ41" i="11" s="1"/>
  <c r="W6" i="11"/>
  <c r="V6" i="11"/>
  <c r="Q6" i="11"/>
  <c r="P6" i="11"/>
  <c r="BQ5" i="11"/>
  <c r="BQ7" i="11" s="1"/>
  <c r="W5" i="11"/>
  <c r="V5" i="11"/>
  <c r="Q5" i="11"/>
  <c r="P5" i="11"/>
  <c r="W4" i="11"/>
  <c r="V4" i="11"/>
  <c r="Q4" i="11"/>
  <c r="P4" i="11"/>
  <c r="D3" i="11"/>
  <c r="N1" i="11"/>
  <c r="N5" i="11" s="1"/>
  <c r="N1" i="10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5" i="10"/>
  <c r="P15" i="10"/>
  <c r="Q14" i="10"/>
  <c r="P14" i="10"/>
  <c r="Q13" i="10"/>
  <c r="P13" i="10"/>
  <c r="Q12" i="10"/>
  <c r="P12" i="10"/>
  <c r="T11" i="10"/>
  <c r="Q11" i="10"/>
  <c r="P11" i="10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F42" i="10" s="1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E23" i="11" l="1"/>
  <c r="R5" i="11"/>
  <c r="B31" i="11"/>
  <c r="W25" i="11" s="1"/>
  <c r="C31" i="11"/>
  <c r="W39" i="11" s="1"/>
  <c r="C22" i="11"/>
  <c r="G14" i="11" s="1"/>
  <c r="D23" i="11"/>
  <c r="W11" i="11"/>
  <c r="R15" i="11"/>
  <c r="N15" i="11"/>
  <c r="N14" i="11"/>
  <c r="R14" i="11" s="1"/>
  <c r="N12" i="11"/>
  <c r="R12" i="11" s="1"/>
  <c r="N11" i="11"/>
  <c r="R11" i="11" s="1"/>
  <c r="N4" i="11"/>
  <c r="R4" i="11" s="1"/>
  <c r="N9" i="11"/>
  <c r="R9" i="11" s="1"/>
  <c r="V11" i="11"/>
  <c r="N8" i="11"/>
  <c r="R8" i="11" s="1"/>
  <c r="N6" i="11"/>
  <c r="R6" i="11" s="1"/>
  <c r="N7" i="11"/>
  <c r="R7" i="11" s="1"/>
  <c r="N10" i="11"/>
  <c r="R10" i="11" s="1"/>
  <c r="N13" i="11"/>
  <c r="R13" i="11" s="1"/>
  <c r="AB15" i="11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V11" i="10"/>
  <c r="X11" i="10" s="1"/>
  <c r="AA10" i="10" s="1"/>
  <c r="AB10" i="10" s="1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W1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F42" i="8"/>
  <c r="BE42" i="8"/>
  <c r="BF43" i="8" s="1"/>
  <c r="BD42" i="8"/>
  <c r="BC42" i="8"/>
  <c r="BF41" i="8"/>
  <c r="BE41" i="8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F30" i="8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D29" i="8"/>
  <c r="BC29" i="8"/>
  <c r="C29" i="8"/>
  <c r="B29" i="8"/>
  <c r="BH28" i="8"/>
  <c r="BH35" i="8" s="1"/>
  <c r="BH41" i="8" s="1"/>
  <c r="BH46" i="8" s="1"/>
  <c r="BH51" i="8" s="1"/>
  <c r="BH54" i="8" s="1"/>
  <c r="BE28" i="8"/>
  <c r="BF28" i="8" s="1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B31" i="8" s="1"/>
  <c r="W24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AA19" i="8" s="1"/>
  <c r="Y19" i="8"/>
  <c r="P19" i="8"/>
  <c r="O19" i="8"/>
  <c r="Q19" i="8" s="1"/>
  <c r="AA18" i="8"/>
  <c r="Q18" i="8"/>
  <c r="Z17" i="8"/>
  <c r="AA17" i="8" s="1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AA13" i="8"/>
  <c r="Z13" i="8"/>
  <c r="Q13" i="8"/>
  <c r="P13" i="8"/>
  <c r="BL12" i="8"/>
  <c r="BP47" i="8" s="1"/>
  <c r="AA12" i="8"/>
  <c r="Q12" i="8"/>
  <c r="AA11" i="8"/>
  <c r="Z11" i="8"/>
  <c r="Y11" i="8"/>
  <c r="P11" i="8"/>
  <c r="O11" i="8"/>
  <c r="BP10" i="8"/>
  <c r="BP14" i="8" s="1"/>
  <c r="BH49" i="8" s="1"/>
  <c r="BP24" i="8" s="1"/>
  <c r="BP31" i="8" s="1"/>
  <c r="BP39" i="8" s="1"/>
  <c r="BL14" i="8" s="1"/>
  <c r="AA10" i="8"/>
  <c r="Z10" i="8"/>
  <c r="Y10" i="8"/>
  <c r="P10" i="8"/>
  <c r="Q10" i="8" s="1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Q8" i="8" s="1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Q6" i="8" s="1"/>
  <c r="O6" i="8"/>
  <c r="BP5" i="8"/>
  <c r="BP7" i="8" s="1"/>
  <c r="AA5" i="8"/>
  <c r="Z5" i="8"/>
  <c r="Y5" i="8"/>
  <c r="P5" i="8"/>
  <c r="O5" i="8"/>
  <c r="D3" i="8"/>
  <c r="K3" i="8" s="1"/>
  <c r="S2" i="8"/>
  <c r="K2" i="8"/>
  <c r="G2" i="8"/>
  <c r="AF1" i="8"/>
  <c r="S1" i="8"/>
  <c r="G1" i="8"/>
  <c r="BF48" i="7"/>
  <c r="BF47" i="7"/>
  <c r="BE45" i="7"/>
  <c r="BF46" i="7" s="1"/>
  <c r="BE44" i="7"/>
  <c r="BD44" i="7"/>
  <c r="BE43" i="7"/>
  <c r="BD43" i="7"/>
  <c r="BC43" i="7"/>
  <c r="BF42" i="7"/>
  <c r="BE42" i="7"/>
  <c r="BF43" i="7" s="1"/>
  <c r="BD42" i="7"/>
  <c r="BC42" i="7"/>
  <c r="BF41" i="7"/>
  <c r="BE41" i="7"/>
  <c r="BD41" i="7"/>
  <c r="BC41" i="7"/>
  <c r="BH40" i="7"/>
  <c r="BH45" i="7" s="1"/>
  <c r="BH50" i="7" s="1"/>
  <c r="BF40" i="7"/>
  <c r="BE40" i="7"/>
  <c r="BD40" i="7"/>
  <c r="BC40" i="7"/>
  <c r="BC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H36" i="7"/>
  <c r="BH42" i="7" s="1"/>
  <c r="BH47" i="7" s="1"/>
  <c r="BH52" i="7" s="1"/>
  <c r="BH55" i="7" s="1"/>
  <c r="BH57" i="7" s="1"/>
  <c r="BL13" i="7" s="1"/>
  <c r="BH35" i="7"/>
  <c r="BH41" i="7" s="1"/>
  <c r="BH46" i="7" s="1"/>
  <c r="BH51" i="7" s="1"/>
  <c r="BH54" i="7" s="1"/>
  <c r="BL12" i="7" s="1"/>
  <c r="BP47" i="7" s="1"/>
  <c r="BP34" i="7"/>
  <c r="BP42" i="7" s="1"/>
  <c r="BH34" i="7"/>
  <c r="BF34" i="7"/>
  <c r="BH33" i="7"/>
  <c r="BH39" i="7" s="1"/>
  <c r="BH44" i="7" s="1"/>
  <c r="BF33" i="7"/>
  <c r="C33" i="7"/>
  <c r="B33" i="7"/>
  <c r="C32" i="7"/>
  <c r="B32" i="7"/>
  <c r="BF31" i="7"/>
  <c r="BE31" i="7"/>
  <c r="BF32" i="7" s="1"/>
  <c r="BH30" i="7"/>
  <c r="BH37" i="7" s="1"/>
  <c r="BH43" i="7" s="1"/>
  <c r="BH48" i="7" s="1"/>
  <c r="BH53" i="7" s="1"/>
  <c r="BH56" i="7" s="1"/>
  <c r="BH58" i="7" s="1"/>
  <c r="BH59" i="7" s="1"/>
  <c r="BF30" i="7"/>
  <c r="BE30" i="7"/>
  <c r="BD30" i="7"/>
  <c r="E30" i="7"/>
  <c r="D30" i="7"/>
  <c r="BH29" i="7"/>
  <c r="BE29" i="7"/>
  <c r="BD29" i="7"/>
  <c r="BC29" i="7"/>
  <c r="C29" i="7"/>
  <c r="B29" i="7"/>
  <c r="BH28" i="7"/>
  <c r="BE28" i="7"/>
  <c r="BD28" i="7"/>
  <c r="BC28" i="7"/>
  <c r="BH27" i="7"/>
  <c r="BF27" i="7"/>
  <c r="BE27" i="7"/>
  <c r="BD27" i="7"/>
  <c r="BC27" i="7"/>
  <c r="C27" i="7"/>
  <c r="B27" i="7"/>
  <c r="BP26" i="7"/>
  <c r="BP33" i="7" s="1"/>
  <c r="BP41" i="7" s="1"/>
  <c r="BH26" i="7"/>
  <c r="BF26" i="7"/>
  <c r="BE26" i="7"/>
  <c r="BD26" i="7"/>
  <c r="BC26" i="7"/>
  <c r="E26" i="7"/>
  <c r="E27" i="7" s="1"/>
  <c r="D26" i="7"/>
  <c r="D27" i="7" s="1"/>
  <c r="C26" i="7"/>
  <c r="B26" i="7"/>
  <c r="BH25" i="7"/>
  <c r="BH32" i="7" s="1"/>
  <c r="BH38" i="7" s="1"/>
  <c r="BC25" i="7"/>
  <c r="E25" i="7"/>
  <c r="D25" i="7"/>
  <c r="C25" i="7"/>
  <c r="C31" i="7" s="1"/>
  <c r="W39" i="7" s="1"/>
  <c r="B25" i="7"/>
  <c r="B31" i="7" s="1"/>
  <c r="W25" i="7" s="1"/>
  <c r="BH24" i="7"/>
  <c r="BH31" i="7" s="1"/>
  <c r="BH23" i="7"/>
  <c r="E23" i="7"/>
  <c r="D23" i="7"/>
  <c r="C22" i="7"/>
  <c r="B22" i="7"/>
  <c r="B20" i="7"/>
  <c r="B21" i="7" s="1"/>
  <c r="AA19" i="7"/>
  <c r="Z19" i="7"/>
  <c r="Y19" i="7"/>
  <c r="Q19" i="7"/>
  <c r="P19" i="7"/>
  <c r="O19" i="7"/>
  <c r="BP18" i="7"/>
  <c r="BP22" i="7" s="1"/>
  <c r="BP28" i="7" s="1"/>
  <c r="BP35" i="7" s="1"/>
  <c r="BP43" i="7" s="1"/>
  <c r="AA18" i="7"/>
  <c r="Q18" i="7"/>
  <c r="AA17" i="7"/>
  <c r="Z17" i="7"/>
  <c r="Y17" i="7"/>
  <c r="P17" i="7"/>
  <c r="Q17" i="7" s="1"/>
  <c r="O17" i="7"/>
  <c r="AA16" i="7"/>
  <c r="Y16" i="7"/>
  <c r="O16" i="7"/>
  <c r="Q16" i="7" s="1"/>
  <c r="C16" i="7"/>
  <c r="B16" i="7"/>
  <c r="AA15" i="7"/>
  <c r="Q15" i="7"/>
  <c r="Y14" i="7"/>
  <c r="AA14" i="7" s="1"/>
  <c r="O14" i="7"/>
  <c r="Q14" i="7" s="1"/>
  <c r="AA13" i="7"/>
  <c r="Z13" i="7"/>
  <c r="Q13" i="7"/>
  <c r="P13" i="7"/>
  <c r="AA12" i="7"/>
  <c r="Q12" i="7"/>
  <c r="BL11" i="7"/>
  <c r="BP38" i="7" s="1"/>
  <c r="BP46" i="7" s="1"/>
  <c r="Z11" i="7"/>
  <c r="Y11" i="7"/>
  <c r="AA11" i="7" s="1"/>
  <c r="P11" i="7"/>
  <c r="Q11" i="7" s="1"/>
  <c r="O11" i="7"/>
  <c r="BL10" i="7"/>
  <c r="BP30" i="7" s="1"/>
  <c r="BP37" i="7" s="1"/>
  <c r="BP45" i="7" s="1"/>
  <c r="Z10" i="7"/>
  <c r="Y10" i="7"/>
  <c r="Q10" i="7"/>
  <c r="P10" i="7"/>
  <c r="O10" i="7"/>
  <c r="BP9" i="7"/>
  <c r="BP12" i="7" s="1"/>
  <c r="BP16" i="7" s="1"/>
  <c r="BP20" i="7" s="1"/>
  <c r="BL9" i="7"/>
  <c r="BP23" i="7" s="1"/>
  <c r="BP29" i="7" s="1"/>
  <c r="BP36" i="7" s="1"/>
  <c r="BP44" i="7" s="1"/>
  <c r="AA9" i="7"/>
  <c r="Y9" i="7"/>
  <c r="O9" i="7"/>
  <c r="Q9" i="7" s="1"/>
  <c r="BP8" i="7"/>
  <c r="BP11" i="7" s="1"/>
  <c r="BP15" i="7" s="1"/>
  <c r="BP19" i="7" s="1"/>
  <c r="BP25" i="7" s="1"/>
  <c r="BP32" i="7" s="1"/>
  <c r="BP40" i="7" s="1"/>
  <c r="BL8" i="7"/>
  <c r="AA8" i="7"/>
  <c r="Z8" i="7"/>
  <c r="Y8" i="7"/>
  <c r="Q8" i="7"/>
  <c r="P8" i="7"/>
  <c r="O8" i="7"/>
  <c r="BP7" i="7"/>
  <c r="BP10" i="7" s="1"/>
  <c r="BP14" i="7" s="1"/>
  <c r="BH49" i="7" s="1"/>
  <c r="BP24" i="7" s="1"/>
  <c r="BP31" i="7" s="1"/>
  <c r="BP39" i="7" s="1"/>
  <c r="BL14" i="7" s="1"/>
  <c r="BL7" i="7"/>
  <c r="BP13" i="7" s="1"/>
  <c r="BP17" i="7" s="1"/>
  <c r="BP21" i="7" s="1"/>
  <c r="BP27" i="7" s="1"/>
  <c r="AA7" i="7"/>
  <c r="Q7" i="7"/>
  <c r="BP6" i="7"/>
  <c r="BL6" i="7"/>
  <c r="Z6" i="7"/>
  <c r="AA6" i="7" s="1"/>
  <c r="Y6" i="7"/>
  <c r="P6" i="7"/>
  <c r="O6" i="7"/>
  <c r="Q6" i="7" s="1"/>
  <c r="BP5" i="7"/>
  <c r="Z5" i="7"/>
  <c r="Y5" i="7"/>
  <c r="AA5" i="7" s="1"/>
  <c r="Q5" i="7"/>
  <c r="P5" i="7"/>
  <c r="O5" i="7"/>
  <c r="D3" i="7"/>
  <c r="K3" i="7" s="1"/>
  <c r="S2" i="7"/>
  <c r="K2" i="7"/>
  <c r="G2" i="7"/>
  <c r="AF1" i="7"/>
  <c r="V1" i="7"/>
  <c r="S1" i="7"/>
  <c r="G1" i="7"/>
  <c r="BF48" i="6"/>
  <c r="BF47" i="6"/>
  <c r="BF46" i="6"/>
  <c r="BE45" i="6"/>
  <c r="BE44" i="6"/>
  <c r="BF45" i="6" s="1"/>
  <c r="BD44" i="6"/>
  <c r="BE43" i="6"/>
  <c r="BF44" i="6" s="1"/>
  <c r="BD43" i="6"/>
  <c r="BC43" i="6"/>
  <c r="BF42" i="6"/>
  <c r="BE42" i="6"/>
  <c r="BF43" i="6" s="1"/>
  <c r="BD42" i="6"/>
  <c r="BC42" i="6"/>
  <c r="BF41" i="6"/>
  <c r="BE41" i="6"/>
  <c r="BD41" i="6"/>
  <c r="BC41" i="6"/>
  <c r="BF40" i="6"/>
  <c r="BE40" i="6"/>
  <c r="BD40" i="6"/>
  <c r="BC40" i="6"/>
  <c r="BC39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F34" i="6"/>
  <c r="BF33" i="6"/>
  <c r="C33" i="6"/>
  <c r="B33" i="6"/>
  <c r="C32" i="6"/>
  <c r="B32" i="6"/>
  <c r="BE31" i="6"/>
  <c r="BF32" i="6" s="1"/>
  <c r="BH30" i="6"/>
  <c r="BH37" i="6" s="1"/>
  <c r="BH43" i="6" s="1"/>
  <c r="BH48" i="6" s="1"/>
  <c r="BH53" i="6" s="1"/>
  <c r="BH56" i="6" s="1"/>
  <c r="BH58" i="6" s="1"/>
  <c r="BH59" i="6" s="1"/>
  <c r="BE30" i="6"/>
  <c r="BF31" i="6" s="1"/>
  <c r="BD30" i="6"/>
  <c r="E30" i="6"/>
  <c r="D30" i="6"/>
  <c r="BH29" i="6"/>
  <c r="BH36" i="6" s="1"/>
  <c r="BH42" i="6" s="1"/>
  <c r="BH47" i="6" s="1"/>
  <c r="BH52" i="6" s="1"/>
  <c r="BH55" i="6" s="1"/>
  <c r="BH57" i="6" s="1"/>
  <c r="BL13" i="6" s="1"/>
  <c r="BE29" i="6"/>
  <c r="BF30" i="6" s="1"/>
  <c r="BD29" i="6"/>
  <c r="BC29" i="6"/>
  <c r="C29" i="6"/>
  <c r="B29" i="6"/>
  <c r="BH28" i="6"/>
  <c r="BH35" i="6" s="1"/>
  <c r="BH41" i="6" s="1"/>
  <c r="BH46" i="6" s="1"/>
  <c r="BH51" i="6" s="1"/>
  <c r="BH54" i="6" s="1"/>
  <c r="BL12" i="6" s="1"/>
  <c r="BP47" i="6" s="1"/>
  <c r="BE28" i="6"/>
  <c r="BF29" i="6" s="1"/>
  <c r="BD28" i="6"/>
  <c r="BC28" i="6"/>
  <c r="BP27" i="6"/>
  <c r="BP34" i="6" s="1"/>
  <c r="BP42" i="6" s="1"/>
  <c r="BH27" i="6"/>
  <c r="BH34" i="6" s="1"/>
  <c r="BH40" i="6" s="1"/>
  <c r="BH45" i="6" s="1"/>
  <c r="BH50" i="6" s="1"/>
  <c r="BL11" i="6" s="1"/>
  <c r="BP38" i="6" s="1"/>
  <c r="BP46" i="6" s="1"/>
  <c r="BF27" i="6"/>
  <c r="BE27" i="6"/>
  <c r="BF28" i="6" s="1"/>
  <c r="BD27" i="6"/>
  <c r="BC27" i="6"/>
  <c r="E27" i="6"/>
  <c r="C27" i="6"/>
  <c r="B27" i="6"/>
  <c r="BH26" i="6"/>
  <c r="BH33" i="6" s="1"/>
  <c r="BH39" i="6" s="1"/>
  <c r="BH44" i="6" s="1"/>
  <c r="BF26" i="6"/>
  <c r="BE26" i="6"/>
  <c r="BD26" i="6"/>
  <c r="BC26" i="6"/>
  <c r="E26" i="6"/>
  <c r="E23" i="6" s="1"/>
  <c r="D26" i="6"/>
  <c r="D27" i="6" s="1"/>
  <c r="C26" i="6"/>
  <c r="C31" i="6" s="1"/>
  <c r="W39" i="6" s="1"/>
  <c r="B26" i="6"/>
  <c r="BH25" i="6"/>
  <c r="BH32" i="6" s="1"/>
  <c r="BH38" i="6" s="1"/>
  <c r="BC25" i="6"/>
  <c r="E25" i="6"/>
  <c r="D25" i="6"/>
  <c r="C25" i="6"/>
  <c r="B25" i="6"/>
  <c r="BH24" i="6"/>
  <c r="BH31" i="6" s="1"/>
  <c r="BL8" i="6" s="1"/>
  <c r="BH23" i="6"/>
  <c r="B22" i="6"/>
  <c r="C22" i="6" s="1"/>
  <c r="B20" i="6"/>
  <c r="B21" i="6" s="1"/>
  <c r="Z19" i="6"/>
  <c r="Y19" i="6"/>
  <c r="P19" i="6"/>
  <c r="Q19" i="6" s="1"/>
  <c r="O19" i="6"/>
  <c r="BP18" i="6"/>
  <c r="BP22" i="6" s="1"/>
  <c r="BP28" i="6" s="1"/>
  <c r="BP35" i="6" s="1"/>
  <c r="BP43" i="6" s="1"/>
  <c r="Y18" i="6"/>
  <c r="AA18" i="6" s="1"/>
  <c r="O18" i="6"/>
  <c r="Q18" i="6" s="1"/>
  <c r="Z17" i="6"/>
  <c r="AA17" i="6" s="1"/>
  <c r="Y17" i="6"/>
  <c r="P17" i="6"/>
  <c r="Q17" i="6" s="1"/>
  <c r="O17" i="6"/>
  <c r="AA16" i="6"/>
  <c r="Q16" i="6"/>
  <c r="C16" i="6"/>
  <c r="B16" i="6"/>
  <c r="AA15" i="6"/>
  <c r="Q15" i="6"/>
  <c r="Z14" i="6"/>
  <c r="AA14" i="6" s="1"/>
  <c r="Y14" i="6"/>
  <c r="P14" i="6"/>
  <c r="O14" i="6"/>
  <c r="AA13" i="6"/>
  <c r="Z13" i="6"/>
  <c r="Y13" i="6"/>
  <c r="P13" i="6"/>
  <c r="Q13" i="6" s="1"/>
  <c r="O13" i="6"/>
  <c r="AA12" i="6"/>
  <c r="Q12" i="6"/>
  <c r="BP11" i="6"/>
  <c r="BP15" i="6" s="1"/>
  <c r="BP19" i="6" s="1"/>
  <c r="BP25" i="6" s="1"/>
  <c r="BP32" i="6" s="1"/>
  <c r="BP40" i="6" s="1"/>
  <c r="AA11" i="6"/>
  <c r="Z11" i="6"/>
  <c r="Y11" i="6"/>
  <c r="Q11" i="6"/>
  <c r="P11" i="6"/>
  <c r="O11" i="6"/>
  <c r="BL10" i="6"/>
  <c r="BP30" i="6" s="1"/>
  <c r="BP37" i="6" s="1"/>
  <c r="BP45" i="6" s="1"/>
  <c r="Z10" i="6"/>
  <c r="AA10" i="6" s="1"/>
  <c r="Y10" i="6"/>
  <c r="P10" i="6"/>
  <c r="O10" i="6"/>
  <c r="BL9" i="6"/>
  <c r="BP23" i="6" s="1"/>
  <c r="BP29" i="6" s="1"/>
  <c r="BP36" i="6" s="1"/>
  <c r="BP44" i="6" s="1"/>
  <c r="AA9" i="6"/>
  <c r="Z9" i="6"/>
  <c r="Y9" i="6"/>
  <c r="P9" i="6"/>
  <c r="Q9" i="6" s="1"/>
  <c r="O9" i="6"/>
  <c r="Z8" i="6"/>
  <c r="Y8" i="6"/>
  <c r="AA8" i="6" s="1"/>
  <c r="Q8" i="6"/>
  <c r="P8" i="6"/>
  <c r="O8" i="6"/>
  <c r="BL7" i="6"/>
  <c r="BP13" i="6" s="1"/>
  <c r="BP17" i="6" s="1"/>
  <c r="BP21" i="6" s="1"/>
  <c r="Z7" i="6"/>
  <c r="AA7" i="6" s="1"/>
  <c r="P7" i="6"/>
  <c r="Q7" i="6" s="1"/>
  <c r="BP6" i="6"/>
  <c r="BP8" i="6" s="1"/>
  <c r="BL6" i="6"/>
  <c r="BP9" i="6" s="1"/>
  <c r="BP12" i="6" s="1"/>
  <c r="BP16" i="6" s="1"/>
  <c r="BP20" i="6" s="1"/>
  <c r="BP26" i="6" s="1"/>
  <c r="BP33" i="6" s="1"/>
  <c r="BP41" i="6" s="1"/>
  <c r="AA6" i="6"/>
  <c r="Z6" i="6"/>
  <c r="Y6" i="6"/>
  <c r="P6" i="6"/>
  <c r="O6" i="6"/>
  <c r="BP5" i="6"/>
  <c r="BP7" i="6" s="1"/>
  <c r="BP10" i="6" s="1"/>
  <c r="BP14" i="6" s="1"/>
  <c r="BH49" i="6" s="1"/>
  <c r="BP24" i="6" s="1"/>
  <c r="BP31" i="6" s="1"/>
  <c r="BP39" i="6" s="1"/>
  <c r="BL14" i="6" s="1"/>
  <c r="Z5" i="6"/>
  <c r="AA5" i="6" s="1"/>
  <c r="Y5" i="6"/>
  <c r="Q5" i="6"/>
  <c r="P5" i="6"/>
  <c r="O5" i="6"/>
  <c r="K3" i="6"/>
  <c r="D3" i="6"/>
  <c r="K1" i="6" s="1"/>
  <c r="AE2" i="6"/>
  <c r="U2" i="6"/>
  <c r="S2" i="6"/>
  <c r="K2" i="6"/>
  <c r="G2" i="6"/>
  <c r="V1" i="6"/>
  <c r="S1" i="6"/>
  <c r="BF48" i="5"/>
  <c r="BF47" i="5"/>
  <c r="BF46" i="5"/>
  <c r="BF45" i="5"/>
  <c r="BE45" i="5"/>
  <c r="BF44" i="5"/>
  <c r="BE44" i="5"/>
  <c r="BD44" i="5"/>
  <c r="BE43" i="5"/>
  <c r="BD43" i="5"/>
  <c r="BC43" i="5"/>
  <c r="BE42" i="5"/>
  <c r="BF43" i="5" s="1"/>
  <c r="BD42" i="5"/>
  <c r="BC42" i="5"/>
  <c r="BF41" i="5"/>
  <c r="BE41" i="5"/>
  <c r="BF42" i="5" s="1"/>
  <c r="BD41" i="5"/>
  <c r="BC41" i="5"/>
  <c r="BF40" i="5"/>
  <c r="BE40" i="5"/>
  <c r="BD40" i="5"/>
  <c r="BC40" i="5"/>
  <c r="BC39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BH34" i="5"/>
  <c r="BH40" i="5" s="1"/>
  <c r="BH45" i="5" s="1"/>
  <c r="BH50" i="5" s="1"/>
  <c r="BF34" i="5"/>
  <c r="BF33" i="5"/>
  <c r="C33" i="5"/>
  <c r="B33" i="5"/>
  <c r="C32" i="5"/>
  <c r="B32" i="5"/>
  <c r="BE31" i="5"/>
  <c r="BF32" i="5" s="1"/>
  <c r="BH30" i="5"/>
  <c r="BH37" i="5" s="1"/>
  <c r="BH43" i="5" s="1"/>
  <c r="BH48" i="5" s="1"/>
  <c r="BH53" i="5" s="1"/>
  <c r="BH56" i="5" s="1"/>
  <c r="BH58" i="5" s="1"/>
  <c r="BH59" i="5" s="1"/>
  <c r="BF30" i="5"/>
  <c r="BE30" i="5"/>
  <c r="BF31" i="5" s="1"/>
  <c r="BD30" i="5"/>
  <c r="E30" i="5"/>
  <c r="D30" i="5"/>
  <c r="BH29" i="5"/>
  <c r="BH36" i="5" s="1"/>
  <c r="BH42" i="5" s="1"/>
  <c r="BH47" i="5" s="1"/>
  <c r="BH52" i="5" s="1"/>
  <c r="BH55" i="5" s="1"/>
  <c r="BH57" i="5" s="1"/>
  <c r="BL13" i="5" s="1"/>
  <c r="BE29" i="5"/>
  <c r="BD29" i="5"/>
  <c r="BC29" i="5"/>
  <c r="C29" i="5"/>
  <c r="B29" i="5"/>
  <c r="BH28" i="5"/>
  <c r="BH35" i="5" s="1"/>
  <c r="BH41" i="5" s="1"/>
  <c r="BH46" i="5" s="1"/>
  <c r="BH51" i="5" s="1"/>
  <c r="BH54" i="5" s="1"/>
  <c r="BL12" i="5" s="1"/>
  <c r="BP47" i="5" s="1"/>
  <c r="BE28" i="5"/>
  <c r="BF29" i="5" s="1"/>
  <c r="BD28" i="5"/>
  <c r="BC28" i="5"/>
  <c r="BH27" i="5"/>
  <c r="BF27" i="5"/>
  <c r="BE27" i="5"/>
  <c r="BF28" i="5" s="1"/>
  <c r="BD27" i="5"/>
  <c r="BC27" i="5"/>
  <c r="C27" i="5"/>
  <c r="B27" i="5"/>
  <c r="BH26" i="5"/>
  <c r="BH33" i="5" s="1"/>
  <c r="BH39" i="5" s="1"/>
  <c r="BH44" i="5" s="1"/>
  <c r="BL10" i="5" s="1"/>
  <c r="BP30" i="5" s="1"/>
  <c r="BP37" i="5" s="1"/>
  <c r="BP45" i="5" s="1"/>
  <c r="BF26" i="5"/>
  <c r="BE26" i="5"/>
  <c r="BD26" i="5"/>
  <c r="BC26" i="5"/>
  <c r="E26" i="5"/>
  <c r="E27" i="5" s="1"/>
  <c r="D26" i="5"/>
  <c r="D27" i="5" s="1"/>
  <c r="D23" i="5" s="1"/>
  <c r="C26" i="5"/>
  <c r="B26" i="5"/>
  <c r="BH25" i="5"/>
  <c r="BH32" i="5" s="1"/>
  <c r="BH38" i="5" s="1"/>
  <c r="BC25" i="5"/>
  <c r="E25" i="5"/>
  <c r="D25" i="5"/>
  <c r="C25" i="5"/>
  <c r="C31" i="5" s="1"/>
  <c r="W39" i="5" s="1"/>
  <c r="B25" i="5"/>
  <c r="BH24" i="5"/>
  <c r="BH31" i="5" s="1"/>
  <c r="BH23" i="5"/>
  <c r="C22" i="5"/>
  <c r="AB18" i="5" s="1"/>
  <c r="B22" i="5"/>
  <c r="R18" i="5" s="1"/>
  <c r="B21" i="5"/>
  <c r="B20" i="5"/>
  <c r="AN19" i="5"/>
  <c r="AI19" i="5" s="1"/>
  <c r="Y19" i="5" s="1"/>
  <c r="AK19" i="5"/>
  <c r="AG19" i="5"/>
  <c r="Z19" i="5"/>
  <c r="P19" i="5"/>
  <c r="AA18" i="5"/>
  <c r="Q18" i="5"/>
  <c r="AN17" i="5"/>
  <c r="AI17" i="5" s="1"/>
  <c r="Y17" i="5" s="1"/>
  <c r="AK17" i="5"/>
  <c r="AG17" i="5"/>
  <c r="Z17" i="5"/>
  <c r="AA17" i="5" s="1"/>
  <c r="AB17" i="5" s="1"/>
  <c r="P17" i="5"/>
  <c r="O17" i="5"/>
  <c r="AA16" i="5"/>
  <c r="AB16" i="5" s="1"/>
  <c r="Q16" i="5"/>
  <c r="R16" i="5" s="1"/>
  <c r="C16" i="5"/>
  <c r="B16" i="5"/>
  <c r="AA15" i="5"/>
  <c r="Q15" i="5"/>
  <c r="AN14" i="5"/>
  <c r="AI14" i="5"/>
  <c r="Z14" i="5"/>
  <c r="Y14" i="5"/>
  <c r="AA14" i="5" s="1"/>
  <c r="AB14" i="5" s="1"/>
  <c r="P14" i="5"/>
  <c r="Q14" i="5" s="1"/>
  <c r="R14" i="5" s="1"/>
  <c r="O14" i="5"/>
  <c r="Z13" i="5"/>
  <c r="P13" i="5"/>
  <c r="AC12" i="5"/>
  <c r="AA12" i="5"/>
  <c r="AB12" i="5" s="1"/>
  <c r="Q12" i="5"/>
  <c r="BL11" i="5"/>
  <c r="BP38" i="5" s="1"/>
  <c r="BP46" i="5" s="1"/>
  <c r="AK11" i="5"/>
  <c r="AG11" i="5"/>
  <c r="Z11" i="5"/>
  <c r="P11" i="5"/>
  <c r="AN10" i="5"/>
  <c r="AI10" i="5" s="1"/>
  <c r="AK10" i="5"/>
  <c r="AG10" i="5"/>
  <c r="Z10" i="5"/>
  <c r="P10" i="5"/>
  <c r="BL9" i="5"/>
  <c r="BP23" i="5" s="1"/>
  <c r="BP29" i="5" s="1"/>
  <c r="BP36" i="5" s="1"/>
  <c r="BP44" i="5" s="1"/>
  <c r="AK9" i="5"/>
  <c r="AN9" i="5" s="1"/>
  <c r="AI9" i="5" s="1"/>
  <c r="Y9" i="5" s="1"/>
  <c r="AG9" i="5"/>
  <c r="Z9" i="5"/>
  <c r="P9" i="5"/>
  <c r="O9" i="5"/>
  <c r="Q9" i="5" s="1"/>
  <c r="R9" i="5" s="1"/>
  <c r="BL8" i="5"/>
  <c r="BP18" i="5" s="1"/>
  <c r="BP22" i="5" s="1"/>
  <c r="BP28" i="5" s="1"/>
  <c r="BP35" i="5" s="1"/>
  <c r="BP43" i="5" s="1"/>
  <c r="AK8" i="5"/>
  <c r="AN8" i="5" s="1"/>
  <c r="AI8" i="5"/>
  <c r="O8" i="5" s="1"/>
  <c r="AG8" i="5"/>
  <c r="Z8" i="5"/>
  <c r="P8" i="5"/>
  <c r="Q8" i="5" s="1"/>
  <c r="R8" i="5" s="1"/>
  <c r="BL7" i="5"/>
  <c r="BP13" i="5" s="1"/>
  <c r="BP17" i="5" s="1"/>
  <c r="BP21" i="5" s="1"/>
  <c r="BP27" i="5" s="1"/>
  <c r="BP34" i="5" s="1"/>
  <c r="BP42" i="5" s="1"/>
  <c r="AB7" i="5"/>
  <c r="Z7" i="5"/>
  <c r="AA7" i="5" s="1"/>
  <c r="P7" i="5"/>
  <c r="Q7" i="5" s="1"/>
  <c r="R7" i="5" s="1"/>
  <c r="S7" i="5" s="1"/>
  <c r="BP6" i="5"/>
  <c r="BP8" i="5" s="1"/>
  <c r="BP11" i="5" s="1"/>
  <c r="BP15" i="5" s="1"/>
  <c r="BP19" i="5" s="1"/>
  <c r="BP25" i="5" s="1"/>
  <c r="BP32" i="5" s="1"/>
  <c r="BP40" i="5" s="1"/>
  <c r="BL6" i="5"/>
  <c r="BP9" i="5" s="1"/>
  <c r="BP12" i="5" s="1"/>
  <c r="BP16" i="5" s="1"/>
  <c r="BP20" i="5" s="1"/>
  <c r="BP26" i="5" s="1"/>
  <c r="BP33" i="5" s="1"/>
  <c r="BP41" i="5" s="1"/>
  <c r="AK6" i="5"/>
  <c r="AN6" i="5" s="1"/>
  <c r="AI6" i="5" s="1"/>
  <c r="AG6" i="5"/>
  <c r="Z6" i="5"/>
  <c r="P6" i="5"/>
  <c r="BP5" i="5"/>
  <c r="BP7" i="5" s="1"/>
  <c r="BP10" i="5" s="1"/>
  <c r="BP14" i="5" s="1"/>
  <c r="BH49" i="5" s="1"/>
  <c r="BP24" i="5" s="1"/>
  <c r="BP31" i="5" s="1"/>
  <c r="BP39" i="5" s="1"/>
  <c r="BL14" i="5" s="1"/>
  <c r="AN5" i="5"/>
  <c r="AI5" i="5" s="1"/>
  <c r="AK5" i="5"/>
  <c r="AG5" i="5"/>
  <c r="Z5" i="5"/>
  <c r="P5" i="5"/>
  <c r="D3" i="5"/>
  <c r="AI2" i="5"/>
  <c r="S2" i="5"/>
  <c r="R12" i="5" s="1"/>
  <c r="S1" i="5"/>
  <c r="BF48" i="4"/>
  <c r="BF47" i="4"/>
  <c r="BF45" i="4"/>
  <c r="BE45" i="4"/>
  <c r="BF46" i="4" s="1"/>
  <c r="BF44" i="4"/>
  <c r="BE44" i="4"/>
  <c r="BD44" i="4"/>
  <c r="BH43" i="4"/>
  <c r="BH48" i="4" s="1"/>
  <c r="BH53" i="4" s="1"/>
  <c r="BH56" i="4" s="1"/>
  <c r="BH58" i="4" s="1"/>
  <c r="BH59" i="4" s="1"/>
  <c r="BE43" i="4"/>
  <c r="BD43" i="4"/>
  <c r="BC43" i="4"/>
  <c r="BE42" i="4"/>
  <c r="BF43" i="4" s="1"/>
  <c r="BD42" i="4"/>
  <c r="BC42" i="4"/>
  <c r="BF41" i="4"/>
  <c r="BE41" i="4"/>
  <c r="BF42" i="4" s="1"/>
  <c r="BD41" i="4"/>
  <c r="BC41" i="4"/>
  <c r="BF40" i="4"/>
  <c r="BE40" i="4"/>
  <c r="BD40" i="4"/>
  <c r="BC40" i="4"/>
  <c r="BH39" i="4"/>
  <c r="BH44" i="4" s="1"/>
  <c r="BL10" i="4" s="1"/>
  <c r="BP30" i="4" s="1"/>
  <c r="BP37" i="4" s="1"/>
  <c r="BP45" i="4" s="1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H36" i="4"/>
  <c r="BH42" i="4" s="1"/>
  <c r="BH47" i="4" s="1"/>
  <c r="BH52" i="4" s="1"/>
  <c r="BH55" i="4" s="1"/>
  <c r="BH57" i="4" s="1"/>
  <c r="BL13" i="4" s="1"/>
  <c r="BH35" i="4"/>
  <c r="BH41" i="4" s="1"/>
  <c r="BH46" i="4" s="1"/>
  <c r="BH51" i="4" s="1"/>
  <c r="BH54" i="4" s="1"/>
  <c r="BL12" i="4" s="1"/>
  <c r="BP47" i="4" s="1"/>
  <c r="BH34" i="4"/>
  <c r="BH40" i="4" s="1"/>
  <c r="BH45" i="4" s="1"/>
  <c r="BH50" i="4" s="1"/>
  <c r="BF34" i="4"/>
  <c r="BF33" i="4"/>
  <c r="C33" i="4"/>
  <c r="B33" i="4"/>
  <c r="C32" i="4"/>
  <c r="B32" i="4"/>
  <c r="BE31" i="4"/>
  <c r="BF32" i="4" s="1"/>
  <c r="BH30" i="4"/>
  <c r="BH37" i="4" s="1"/>
  <c r="BF30" i="4"/>
  <c r="BE30" i="4"/>
  <c r="BF31" i="4" s="1"/>
  <c r="BD30" i="4"/>
  <c r="E30" i="4"/>
  <c r="D30" i="4"/>
  <c r="BH29" i="4"/>
  <c r="BE29" i="4"/>
  <c r="BD29" i="4"/>
  <c r="BC29" i="4"/>
  <c r="C29" i="4"/>
  <c r="B29" i="4"/>
  <c r="BH28" i="4"/>
  <c r="BE28" i="4"/>
  <c r="BF29" i="4" s="1"/>
  <c r="BD28" i="4"/>
  <c r="BC28" i="4"/>
  <c r="BH27" i="4"/>
  <c r="BF27" i="4"/>
  <c r="BE27" i="4"/>
  <c r="BF28" i="4" s="1"/>
  <c r="BD27" i="4"/>
  <c r="BC27" i="4"/>
  <c r="E27" i="4"/>
  <c r="E23" i="4" s="1"/>
  <c r="C27" i="4"/>
  <c r="B27" i="4"/>
  <c r="BH26" i="4"/>
  <c r="BH33" i="4" s="1"/>
  <c r="BF26" i="4"/>
  <c r="BE26" i="4"/>
  <c r="BD26" i="4"/>
  <c r="BC26" i="4"/>
  <c r="E26" i="4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B22" i="4"/>
  <c r="C22" i="4" s="1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C16" i="4"/>
  <c r="B16" i="4"/>
  <c r="AG15" i="4"/>
  <c r="Z15" i="4"/>
  <c r="P15" i="4"/>
  <c r="AL14" i="4"/>
  <c r="AG14" i="4" s="1"/>
  <c r="AN14" i="4" s="1"/>
  <c r="AH14" i="4"/>
  <c r="AK14" i="4" s="1"/>
  <c r="Z14" i="4"/>
  <c r="P14" i="4"/>
  <c r="Z13" i="4"/>
  <c r="P13" i="4"/>
  <c r="BP12" i="4"/>
  <c r="BP16" i="4" s="1"/>
  <c r="BP20" i="4" s="1"/>
  <c r="BP26" i="4" s="1"/>
  <c r="BP33" i="4" s="1"/>
  <c r="BP41" i="4" s="1"/>
  <c r="AO12" i="4"/>
  <c r="AL12" i="4"/>
  <c r="AK12" i="4"/>
  <c r="AH12" i="4"/>
  <c r="AG12" i="4"/>
  <c r="AN12" i="4" s="1"/>
  <c r="Z12" i="4"/>
  <c r="P12" i="4"/>
  <c r="BL11" i="4"/>
  <c r="BP38" i="4" s="1"/>
  <c r="BP46" i="4" s="1"/>
  <c r="AO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P9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Z8" i="4"/>
  <c r="P8" i="4"/>
  <c r="BP7" i="4"/>
  <c r="BP10" i="4" s="1"/>
  <c r="BP14" i="4" s="1"/>
  <c r="BH49" i="4" s="1"/>
  <c r="BP24" i="4" s="1"/>
  <c r="BP31" i="4" s="1"/>
  <c r="BP39" i="4" s="1"/>
  <c r="BL14" i="4" s="1"/>
  <c r="AL7" i="4"/>
  <c r="AK7" i="4"/>
  <c r="AH7" i="4"/>
  <c r="AG7" i="4"/>
  <c r="AN7" i="4" s="1"/>
  <c r="Z7" i="4"/>
  <c r="P7" i="4"/>
  <c r="BP6" i="4"/>
  <c r="BL6" i="4"/>
  <c r="AO6" i="4"/>
  <c r="AL6" i="4"/>
  <c r="AK6" i="4"/>
  <c r="AH6" i="4"/>
  <c r="AG6" i="4"/>
  <c r="Z6" i="4"/>
  <c r="P6" i="4"/>
  <c r="BP5" i="4"/>
  <c r="AO5" i="4"/>
  <c r="AL5" i="4"/>
  <c r="AK5" i="4"/>
  <c r="AH5" i="4"/>
  <c r="AG5" i="4"/>
  <c r="AN5" i="4" s="1"/>
  <c r="Z5" i="4"/>
  <c r="P5" i="4"/>
  <c r="AM3" i="4"/>
  <c r="D3" i="4"/>
  <c r="K3" i="4" s="1"/>
  <c r="G2" i="4"/>
  <c r="K1" i="4"/>
  <c r="G1" i="4"/>
  <c r="B23" i="11" l="1"/>
  <c r="B24" i="11" s="1"/>
  <c r="N29" i="11" s="1"/>
  <c r="P29" i="11" s="1"/>
  <c r="R2" i="11"/>
  <c r="N2" i="11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AG13" i="4"/>
  <c r="AK15" i="4"/>
  <c r="AG16" i="4"/>
  <c r="AN16" i="4" s="1"/>
  <c r="AK13" i="4"/>
  <c r="AK16" i="4"/>
  <c r="AN11" i="4"/>
  <c r="AN8" i="4"/>
  <c r="AN6" i="4"/>
  <c r="C31" i="4"/>
  <c r="W39" i="4" s="1"/>
  <c r="S9" i="5"/>
  <c r="S8" i="5"/>
  <c r="O6" i="5"/>
  <c r="Y6" i="5"/>
  <c r="S18" i="5"/>
  <c r="AC18" i="5"/>
  <c r="AA8" i="5"/>
  <c r="AB8" i="5" s="1"/>
  <c r="B23" i="4"/>
  <c r="C23" i="4" s="1"/>
  <c r="D27" i="4"/>
  <c r="B31" i="4" s="1"/>
  <c r="K2" i="5"/>
  <c r="G2" i="5"/>
  <c r="K3" i="5"/>
  <c r="K1" i="5"/>
  <c r="G3" i="5"/>
  <c r="G1" i="5"/>
  <c r="AN9" i="4"/>
  <c r="AN19" i="4"/>
  <c r="AN13" i="4"/>
  <c r="S14" i="5"/>
  <c r="AN15" i="4"/>
  <c r="AC7" i="5"/>
  <c r="S16" i="5"/>
  <c r="AC16" i="5"/>
  <c r="AN10" i="4"/>
  <c r="AN17" i="4"/>
  <c r="AN18" i="4"/>
  <c r="AI13" i="5"/>
  <c r="Q6" i="5"/>
  <c r="R6" i="5" s="1"/>
  <c r="Y8" i="5"/>
  <c r="Q19" i="5"/>
  <c r="R19" i="5" s="1"/>
  <c r="C23" i="5"/>
  <c r="T33" i="5" s="1"/>
  <c r="K2" i="4"/>
  <c r="Y5" i="5"/>
  <c r="AA5" i="5" s="1"/>
  <c r="AB5" i="5" s="1"/>
  <c r="O5" i="5"/>
  <c r="Q5" i="5" s="1"/>
  <c r="R5" i="5" s="1"/>
  <c r="AA6" i="5"/>
  <c r="AB6" i="5" s="1"/>
  <c r="Z18" i="4"/>
  <c r="AA9" i="5"/>
  <c r="AB9" i="5" s="1"/>
  <c r="O10" i="5"/>
  <c r="Q10" i="5" s="1"/>
  <c r="R10" i="5" s="1"/>
  <c r="Y10" i="5"/>
  <c r="AA10" i="5" s="1"/>
  <c r="AB10" i="5" s="1"/>
  <c r="G3" i="4"/>
  <c r="P18" i="4"/>
  <c r="AC14" i="5"/>
  <c r="S12" i="5"/>
  <c r="AN11" i="5"/>
  <c r="AI11" i="5" s="1"/>
  <c r="AC17" i="5"/>
  <c r="B23" i="6"/>
  <c r="T43" i="6" s="1"/>
  <c r="R15" i="5"/>
  <c r="O19" i="5"/>
  <c r="L1" i="6"/>
  <c r="B31" i="6"/>
  <c r="W25" i="6" s="1"/>
  <c r="AB15" i="5"/>
  <c r="Q17" i="5"/>
  <c r="R17" i="5" s="1"/>
  <c r="Q6" i="6"/>
  <c r="B23" i="5"/>
  <c r="B31" i="5"/>
  <c r="W25" i="5" s="1"/>
  <c r="T28" i="5"/>
  <c r="T27" i="5"/>
  <c r="T34" i="5"/>
  <c r="T30" i="5"/>
  <c r="T29" i="5"/>
  <c r="AA19" i="5"/>
  <c r="AB19" i="5" s="1"/>
  <c r="T46" i="5"/>
  <c r="T41" i="5"/>
  <c r="T47" i="5"/>
  <c r="E23" i="5"/>
  <c r="BF29" i="7"/>
  <c r="BF28" i="7"/>
  <c r="G3" i="6"/>
  <c r="Q14" i="6"/>
  <c r="G1" i="6"/>
  <c r="H1" i="6" s="1"/>
  <c r="H1" i="7"/>
  <c r="Q10" i="6"/>
  <c r="AA19" i="6"/>
  <c r="D23" i="6"/>
  <c r="T46" i="6"/>
  <c r="T45" i="6"/>
  <c r="T49" i="6"/>
  <c r="T39" i="6"/>
  <c r="AA10" i="7"/>
  <c r="K1" i="7"/>
  <c r="L1" i="7" s="1"/>
  <c r="B23" i="7"/>
  <c r="BF45" i="7"/>
  <c r="G3" i="7"/>
  <c r="BF44" i="7"/>
  <c r="T39" i="7"/>
  <c r="T37" i="7" s="1"/>
  <c r="T46" i="7"/>
  <c r="K1" i="8"/>
  <c r="L1" i="8" s="1"/>
  <c r="Q5" i="8"/>
  <c r="Q11" i="8"/>
  <c r="B23" i="8"/>
  <c r="T43" i="8" s="1"/>
  <c r="G3" i="8"/>
  <c r="H1" i="8" s="1"/>
  <c r="T42" i="8"/>
  <c r="T39" i="8"/>
  <c r="T46" i="8"/>
  <c r="BF29" i="8"/>
  <c r="B34" i="11" l="1"/>
  <c r="T44" i="11"/>
  <c r="C23" i="11"/>
  <c r="T35" i="11" s="1"/>
  <c r="T48" i="11"/>
  <c r="N27" i="11"/>
  <c r="P27" i="11" s="1"/>
  <c r="T39" i="11"/>
  <c r="T49" i="11"/>
  <c r="N26" i="11"/>
  <c r="P26" i="11" s="1"/>
  <c r="T41" i="11"/>
  <c r="T42" i="11"/>
  <c r="T45" i="11"/>
  <c r="N30" i="11"/>
  <c r="P30" i="11" s="1"/>
  <c r="R35" i="11" s="1"/>
  <c r="N28" i="11"/>
  <c r="P28" i="11" s="1"/>
  <c r="N25" i="11"/>
  <c r="P25" i="11" s="1"/>
  <c r="T46" i="11"/>
  <c r="T40" i="11"/>
  <c r="T43" i="11"/>
  <c r="T47" i="11"/>
  <c r="S11" i="11"/>
  <c r="S10" i="11"/>
  <c r="T10" i="11" s="1"/>
  <c r="X10" i="11" s="1"/>
  <c r="AA9" i="11" s="1"/>
  <c r="S15" i="11"/>
  <c r="S5" i="11"/>
  <c r="S4" i="11"/>
  <c r="S12" i="11"/>
  <c r="S7" i="11"/>
  <c r="S6" i="11"/>
  <c r="S8" i="11"/>
  <c r="S14" i="11"/>
  <c r="S9" i="11"/>
  <c r="S13" i="11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34" i="4"/>
  <c r="T31" i="4"/>
  <c r="W25" i="4"/>
  <c r="T46" i="4"/>
  <c r="T45" i="4"/>
  <c r="T49" i="4"/>
  <c r="T42" i="4"/>
  <c r="T47" i="4"/>
  <c r="T44" i="4"/>
  <c r="T40" i="4"/>
  <c r="T48" i="4"/>
  <c r="T39" i="4"/>
  <c r="S10" i="5"/>
  <c r="S19" i="5"/>
  <c r="AC8" i="5"/>
  <c r="B34" i="7"/>
  <c r="T47" i="7"/>
  <c r="B24" i="7"/>
  <c r="T40" i="7"/>
  <c r="T44" i="7"/>
  <c r="T40" i="8"/>
  <c r="M1" i="7"/>
  <c r="M2" i="7" s="1"/>
  <c r="T41" i="6"/>
  <c r="T43" i="5"/>
  <c r="T25" i="5"/>
  <c r="T23" i="5" s="1"/>
  <c r="B24" i="5"/>
  <c r="B34" i="5"/>
  <c r="T39" i="5"/>
  <c r="T37" i="5" s="1"/>
  <c r="T49" i="5"/>
  <c r="T48" i="8"/>
  <c r="T44" i="8"/>
  <c r="T41" i="8"/>
  <c r="T38" i="8"/>
  <c r="T36" i="8" s="1"/>
  <c r="M1" i="8"/>
  <c r="M2" i="8" s="1"/>
  <c r="T49" i="7"/>
  <c r="T48" i="7"/>
  <c r="T45" i="5"/>
  <c r="T31" i="5"/>
  <c r="S6" i="5"/>
  <c r="S15" i="5"/>
  <c r="Y13" i="5"/>
  <c r="AA13" i="5" s="1"/>
  <c r="AB13" i="5" s="1"/>
  <c r="O13" i="5"/>
  <c r="Q13" i="5" s="1"/>
  <c r="R13" i="5" s="1"/>
  <c r="AC10" i="5"/>
  <c r="AD9" i="5" s="1"/>
  <c r="T42" i="7"/>
  <c r="T48" i="5"/>
  <c r="S17" i="5"/>
  <c r="U15" i="5" s="1"/>
  <c r="U17" i="5"/>
  <c r="T17" i="5"/>
  <c r="B34" i="6"/>
  <c r="B24" i="6"/>
  <c r="T40" i="6"/>
  <c r="T44" i="6"/>
  <c r="T37" i="6" s="1"/>
  <c r="AD6" i="5"/>
  <c r="AC6" i="5"/>
  <c r="T45" i="8"/>
  <c r="T47" i="8"/>
  <c r="T45" i="7"/>
  <c r="T42" i="5"/>
  <c r="S5" i="5"/>
  <c r="U14" i="5" s="1"/>
  <c r="T5" i="5"/>
  <c r="T20" i="5" s="1"/>
  <c r="L26" i="5" s="1"/>
  <c r="T43" i="7"/>
  <c r="T47" i="6"/>
  <c r="T42" i="6"/>
  <c r="T40" i="5"/>
  <c r="AC19" i="5"/>
  <c r="T32" i="5"/>
  <c r="AD15" i="5"/>
  <c r="AE15" i="5"/>
  <c r="AC15" i="5"/>
  <c r="C23" i="6"/>
  <c r="AD5" i="5"/>
  <c r="AD20" i="5" s="1"/>
  <c r="L40" i="5" s="1"/>
  <c r="AC5" i="5"/>
  <c r="D23" i="4"/>
  <c r="T41" i="7"/>
  <c r="T48" i="6"/>
  <c r="T44" i="5"/>
  <c r="T26" i="5"/>
  <c r="AC9" i="5"/>
  <c r="B24" i="4"/>
  <c r="B34" i="4"/>
  <c r="T43" i="4"/>
  <c r="T41" i="4"/>
  <c r="AN3" i="4"/>
  <c r="AI9" i="4" s="1"/>
  <c r="B34" i="8"/>
  <c r="B24" i="8"/>
  <c r="C23" i="7"/>
  <c r="M1" i="6"/>
  <c r="M2" i="6" s="1"/>
  <c r="O11" i="5"/>
  <c r="Q11" i="5" s="1"/>
  <c r="R11" i="5" s="1"/>
  <c r="Y11" i="5"/>
  <c r="AA11" i="5" s="1"/>
  <c r="AB11" i="5" s="1"/>
  <c r="C24" i="5"/>
  <c r="T35" i="5"/>
  <c r="C34" i="5"/>
  <c r="C24" i="4"/>
  <c r="T25" i="4"/>
  <c r="C34" i="4"/>
  <c r="T33" i="4"/>
  <c r="T32" i="4"/>
  <c r="T27" i="4"/>
  <c r="T30" i="4"/>
  <c r="T26" i="4"/>
  <c r="T28" i="4"/>
  <c r="T35" i="4"/>
  <c r="T29" i="4"/>
  <c r="C23" i="8"/>
  <c r="U18" i="5"/>
  <c r="R27" i="11" l="1"/>
  <c r="R26" i="11"/>
  <c r="R33" i="11"/>
  <c r="T25" i="11"/>
  <c r="R25" i="11"/>
  <c r="C34" i="11"/>
  <c r="R29" i="11"/>
  <c r="T37" i="11"/>
  <c r="T27" i="11"/>
  <c r="T29" i="11"/>
  <c r="T30" i="11"/>
  <c r="T31" i="11"/>
  <c r="C24" i="11"/>
  <c r="N43" i="11" s="1"/>
  <c r="P43" i="11" s="1"/>
  <c r="T33" i="11"/>
  <c r="R28" i="11"/>
  <c r="T34" i="11"/>
  <c r="R34" i="11"/>
  <c r="T26" i="11"/>
  <c r="T28" i="11"/>
  <c r="T32" i="11"/>
  <c r="P23" i="11"/>
  <c r="R31" i="11"/>
  <c r="N23" i="11"/>
  <c r="R32" i="11"/>
  <c r="R30" i="11"/>
  <c r="U11" i="11"/>
  <c r="Y11" i="11" s="1"/>
  <c r="AG11" i="11" s="1"/>
  <c r="AH11" i="11" s="1"/>
  <c r="T11" i="11"/>
  <c r="X11" i="11" s="1"/>
  <c r="AA10" i="11" s="1"/>
  <c r="AB10" i="11" s="1"/>
  <c r="U10" i="11"/>
  <c r="Y10" i="11" s="1"/>
  <c r="AG10" i="11" s="1"/>
  <c r="AH10" i="11" s="1"/>
  <c r="U6" i="11"/>
  <c r="Y6" i="11" s="1"/>
  <c r="AG6" i="11" s="1"/>
  <c r="T6" i="11"/>
  <c r="X6" i="11" s="1"/>
  <c r="AA5" i="11" s="1"/>
  <c r="U15" i="11"/>
  <c r="Y15" i="11" s="1"/>
  <c r="AG15" i="11" s="1"/>
  <c r="T15" i="11"/>
  <c r="X15" i="11" s="1"/>
  <c r="AA14" i="11" s="1"/>
  <c r="U7" i="11"/>
  <c r="Y7" i="11" s="1"/>
  <c r="AG7" i="11" s="1"/>
  <c r="T7" i="11"/>
  <c r="X7" i="11" s="1"/>
  <c r="AA6" i="11" s="1"/>
  <c r="U9" i="11"/>
  <c r="Y9" i="11" s="1"/>
  <c r="AG9" i="11" s="1"/>
  <c r="T9" i="11"/>
  <c r="X9" i="11" s="1"/>
  <c r="AA8" i="11" s="1"/>
  <c r="U12" i="11"/>
  <c r="Y12" i="11" s="1"/>
  <c r="AG12" i="11" s="1"/>
  <c r="T12" i="11"/>
  <c r="X12" i="11" s="1"/>
  <c r="AA11" i="11" s="1"/>
  <c r="T13" i="11"/>
  <c r="X13" i="11" s="1"/>
  <c r="AA12" i="11" s="1"/>
  <c r="U13" i="11"/>
  <c r="Y13" i="11" s="1"/>
  <c r="AG13" i="11" s="1"/>
  <c r="U14" i="11"/>
  <c r="Y14" i="11" s="1"/>
  <c r="AG14" i="11" s="1"/>
  <c r="T14" i="11"/>
  <c r="X14" i="11" s="1"/>
  <c r="AA13" i="11" s="1"/>
  <c r="T4" i="11"/>
  <c r="S2" i="11"/>
  <c r="U4" i="11"/>
  <c r="U8" i="11"/>
  <c r="Y8" i="11" s="1"/>
  <c r="AG8" i="11" s="1"/>
  <c r="T8" i="11"/>
  <c r="X8" i="11" s="1"/>
  <c r="AA7" i="11" s="1"/>
  <c r="U5" i="11"/>
  <c r="Y5" i="11" s="1"/>
  <c r="AG5" i="11" s="1"/>
  <c r="T5" i="11"/>
  <c r="X5" i="11" s="1"/>
  <c r="AA4" i="11" s="1"/>
  <c r="AB9" i="11"/>
  <c r="R34" i="10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AI17" i="4"/>
  <c r="O17" i="4" s="1"/>
  <c r="Q17" i="4" s="1"/>
  <c r="R17" i="4" s="1"/>
  <c r="AI13" i="4"/>
  <c r="O13" i="4" s="1"/>
  <c r="Q13" i="4" s="1"/>
  <c r="R13" i="4" s="1"/>
  <c r="Y9" i="4"/>
  <c r="AA9" i="4" s="1"/>
  <c r="AB9" i="4" s="1"/>
  <c r="O9" i="4"/>
  <c r="Q9" i="4" s="1"/>
  <c r="R9" i="4" s="1"/>
  <c r="AE7" i="5"/>
  <c r="N39" i="5"/>
  <c r="N42" i="5"/>
  <c r="P42" i="5" s="1"/>
  <c r="N44" i="5"/>
  <c r="P44" i="5" s="1"/>
  <c r="N40" i="5"/>
  <c r="P40" i="5" s="1"/>
  <c r="N43" i="5"/>
  <c r="P43" i="5" s="1"/>
  <c r="N41" i="5"/>
  <c r="P41" i="5" s="1"/>
  <c r="AE17" i="5"/>
  <c r="AE16" i="5"/>
  <c r="R19" i="6"/>
  <c r="R18" i="6"/>
  <c r="R17" i="6"/>
  <c r="AB14" i="6"/>
  <c r="AB10" i="6"/>
  <c r="AB17" i="6"/>
  <c r="AB15" i="6"/>
  <c r="AB19" i="6"/>
  <c r="AB18" i="6"/>
  <c r="AB16" i="6"/>
  <c r="R16" i="6"/>
  <c r="R14" i="6"/>
  <c r="R10" i="6"/>
  <c r="R7" i="6"/>
  <c r="AB8" i="6"/>
  <c r="AB7" i="6"/>
  <c r="R11" i="6"/>
  <c r="AB9" i="6"/>
  <c r="R5" i="6"/>
  <c r="R12" i="6"/>
  <c r="AB11" i="6"/>
  <c r="R6" i="6"/>
  <c r="AB5" i="6"/>
  <c r="R13" i="6"/>
  <c r="AB13" i="6"/>
  <c r="AB6" i="6"/>
  <c r="R15" i="6"/>
  <c r="AB12" i="6"/>
  <c r="R9" i="6"/>
  <c r="R8" i="6"/>
  <c r="T15" i="5"/>
  <c r="N30" i="5"/>
  <c r="P30" i="5" s="1"/>
  <c r="R35" i="5" s="1"/>
  <c r="N29" i="5"/>
  <c r="P29" i="5" s="1"/>
  <c r="R34" i="5" s="1"/>
  <c r="N26" i="5"/>
  <c r="N28" i="5"/>
  <c r="P28" i="5" s="1"/>
  <c r="N27" i="5"/>
  <c r="P27" i="5" s="1"/>
  <c r="N25" i="5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C34" i="7"/>
  <c r="T26" i="7"/>
  <c r="T28" i="7"/>
  <c r="T27" i="7"/>
  <c r="T25" i="7"/>
  <c r="T23" i="7" s="1"/>
  <c r="C24" i="7"/>
  <c r="T31" i="7"/>
  <c r="T34" i="7"/>
  <c r="T32" i="7"/>
  <c r="T35" i="7"/>
  <c r="T33" i="7"/>
  <c r="T29" i="7"/>
  <c r="T30" i="7"/>
  <c r="AI15" i="4"/>
  <c r="T19" i="5"/>
  <c r="N30" i="4"/>
  <c r="P30" i="4" s="1"/>
  <c r="R35" i="4" s="1"/>
  <c r="N29" i="4"/>
  <c r="P29" i="4" s="1"/>
  <c r="N26" i="4"/>
  <c r="N28" i="4"/>
  <c r="P28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C20" i="5"/>
  <c r="AD14" i="5"/>
  <c r="AD18" i="5"/>
  <c r="AD16" i="5"/>
  <c r="AD12" i="5"/>
  <c r="AD7" i="5"/>
  <c r="AD17" i="5"/>
  <c r="AE18" i="5"/>
  <c r="AD19" i="5"/>
  <c r="AI18" i="4"/>
  <c r="U13" i="5"/>
  <c r="T13" i="5"/>
  <c r="S13" i="5"/>
  <c r="U12" i="5"/>
  <c r="R18" i="7"/>
  <c r="R19" i="7"/>
  <c r="AB12" i="7"/>
  <c r="AB6" i="7"/>
  <c r="AB18" i="7"/>
  <c r="R10" i="7"/>
  <c r="AB7" i="7"/>
  <c r="R5" i="7"/>
  <c r="AB10" i="7"/>
  <c r="AB5" i="7"/>
  <c r="R9" i="7"/>
  <c r="R17" i="7"/>
  <c r="R16" i="7"/>
  <c r="R15" i="7"/>
  <c r="R14" i="7"/>
  <c r="AB15" i="7"/>
  <c r="AB13" i="7"/>
  <c r="AB11" i="7"/>
  <c r="R6" i="7"/>
  <c r="R7" i="7"/>
  <c r="AB17" i="7"/>
  <c r="AB16" i="7"/>
  <c r="AB9" i="7"/>
  <c r="AB8" i="7"/>
  <c r="R12" i="7"/>
  <c r="R11" i="7"/>
  <c r="R13" i="7"/>
  <c r="AB14" i="7"/>
  <c r="AB19" i="7"/>
  <c r="R8" i="7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E13" i="5"/>
  <c r="AD13" i="5"/>
  <c r="AC13" i="5"/>
  <c r="AE12" i="5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N25" i="7"/>
  <c r="N30" i="7"/>
  <c r="P30" i="7" s="1"/>
  <c r="R35" i="7" s="1"/>
  <c r="N29" i="7"/>
  <c r="P29" i="7" s="1"/>
  <c r="R34" i="7" s="1"/>
  <c r="N26" i="7"/>
  <c r="N27" i="7"/>
  <c r="P27" i="7" s="1"/>
  <c r="N28" i="7"/>
  <c r="P28" i="7" s="1"/>
  <c r="R33" i="7" s="1"/>
  <c r="AD11" i="5"/>
  <c r="AC11" i="5"/>
  <c r="AE5" i="5" s="1"/>
  <c r="AE20" i="5" s="1"/>
  <c r="L41" i="5" s="1"/>
  <c r="AE11" i="5"/>
  <c r="AE14" i="5"/>
  <c r="S20" i="5"/>
  <c r="T16" i="5"/>
  <c r="T7" i="5"/>
  <c r="T18" i="5"/>
  <c r="T14" i="5"/>
  <c r="T8" i="5"/>
  <c r="T9" i="5"/>
  <c r="T12" i="5"/>
  <c r="AD8" i="5"/>
  <c r="T37" i="4"/>
  <c r="U16" i="5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S11" i="5"/>
  <c r="T11" i="5"/>
  <c r="U11" i="5"/>
  <c r="C24" i="6"/>
  <c r="T25" i="6"/>
  <c r="C34" i="6"/>
  <c r="T30" i="6"/>
  <c r="T26" i="6"/>
  <c r="T28" i="6"/>
  <c r="T29" i="6"/>
  <c r="T35" i="6"/>
  <c r="T31" i="6"/>
  <c r="T27" i="6"/>
  <c r="T32" i="6"/>
  <c r="T34" i="6"/>
  <c r="T33" i="6"/>
  <c r="U5" i="5"/>
  <c r="U20" i="5" s="1"/>
  <c r="L27" i="5" s="1"/>
  <c r="AE6" i="5"/>
  <c r="N30" i="6"/>
  <c r="P30" i="6" s="1"/>
  <c r="R35" i="6" s="1"/>
  <c r="N29" i="6"/>
  <c r="P29" i="6" s="1"/>
  <c r="N26" i="6"/>
  <c r="N28" i="6"/>
  <c r="P28" i="6" s="1"/>
  <c r="N27" i="6"/>
  <c r="P27" i="6" s="1"/>
  <c r="N25" i="6"/>
  <c r="AE10" i="5"/>
  <c r="T6" i="5"/>
  <c r="AE8" i="5"/>
  <c r="V25" i="11" l="1"/>
  <c r="Y25" i="11" s="1"/>
  <c r="V27" i="11"/>
  <c r="AC27" i="11" s="1"/>
  <c r="V26" i="11"/>
  <c r="AA26" i="11" s="1"/>
  <c r="R23" i="11"/>
  <c r="V33" i="11"/>
  <c r="AO32" i="11" s="1"/>
  <c r="V31" i="11"/>
  <c r="AK31" i="11" s="1"/>
  <c r="V29" i="11"/>
  <c r="AG28" i="11" s="1"/>
  <c r="V34" i="11"/>
  <c r="AQ31" i="11" s="1"/>
  <c r="V28" i="11"/>
  <c r="AE27" i="11" s="1"/>
  <c r="N39" i="11"/>
  <c r="N44" i="11"/>
  <c r="P44" i="11" s="1"/>
  <c r="R49" i="11" s="1"/>
  <c r="N40" i="11"/>
  <c r="P40" i="11" s="1"/>
  <c r="N42" i="11"/>
  <c r="P42" i="11" s="1"/>
  <c r="N41" i="11"/>
  <c r="P41" i="11" s="1"/>
  <c r="T23" i="11"/>
  <c r="V30" i="11"/>
  <c r="AI27" i="11" s="1"/>
  <c r="V32" i="11"/>
  <c r="AM26" i="11" s="1"/>
  <c r="AB6" i="11"/>
  <c r="U2" i="11"/>
  <c r="Y4" i="11"/>
  <c r="AH9" i="11"/>
  <c r="AH5" i="11"/>
  <c r="AB13" i="11"/>
  <c r="AH13" i="11"/>
  <c r="AB14" i="11"/>
  <c r="AB4" i="11"/>
  <c r="AH7" i="11"/>
  <c r="AH14" i="11"/>
  <c r="AB12" i="11"/>
  <c r="AH15" i="11"/>
  <c r="T2" i="11"/>
  <c r="X4" i="11"/>
  <c r="X2" i="11" s="1"/>
  <c r="AB7" i="11"/>
  <c r="AB11" i="11"/>
  <c r="AH12" i="11"/>
  <c r="AB5" i="11"/>
  <c r="AH8" i="11"/>
  <c r="AB8" i="11"/>
  <c r="AH6" i="11"/>
  <c r="P39" i="10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Y17" i="4"/>
  <c r="AA17" i="4" s="1"/>
  <c r="AB17" i="4" s="1"/>
  <c r="AC17" i="4" s="1"/>
  <c r="R33" i="4"/>
  <c r="R34" i="4"/>
  <c r="Y13" i="4"/>
  <c r="AA13" i="4" s="1"/>
  <c r="AB13" i="4" s="1"/>
  <c r="AC13" i="4" s="1"/>
  <c r="S6" i="8"/>
  <c r="S13" i="4"/>
  <c r="T16" i="7"/>
  <c r="S16" i="7"/>
  <c r="S17" i="4"/>
  <c r="AC15" i="6"/>
  <c r="S9" i="8"/>
  <c r="S13" i="8"/>
  <c r="U12" i="8" s="1"/>
  <c r="T13" i="8"/>
  <c r="S12" i="7"/>
  <c r="U18" i="7"/>
  <c r="S18" i="7"/>
  <c r="O19" i="4"/>
  <c r="Q19" i="4" s="1"/>
  <c r="R19" i="4" s="1"/>
  <c r="Y19" i="4"/>
  <c r="AA19" i="4" s="1"/>
  <c r="AB19" i="4" s="1"/>
  <c r="S15" i="6"/>
  <c r="AC9" i="4"/>
  <c r="R34" i="6"/>
  <c r="AD8" i="8"/>
  <c r="AC8" i="8"/>
  <c r="S11" i="8"/>
  <c r="U10" i="8" s="1"/>
  <c r="U11" i="8"/>
  <c r="AC15" i="8"/>
  <c r="S14" i="8"/>
  <c r="U13" i="8" s="1"/>
  <c r="T8" i="7"/>
  <c r="S8" i="7"/>
  <c r="AC16" i="7"/>
  <c r="AE15" i="7" s="1"/>
  <c r="S15" i="7"/>
  <c r="T14" i="7" s="1"/>
  <c r="S10" i="7"/>
  <c r="U8" i="7" s="1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R33" i="5"/>
  <c r="S13" i="6"/>
  <c r="AC7" i="6"/>
  <c r="AD9" i="6" s="1"/>
  <c r="AC19" i="6"/>
  <c r="AE16" i="6" s="1"/>
  <c r="AC19" i="7"/>
  <c r="AC18" i="7"/>
  <c r="AD17" i="7" s="1"/>
  <c r="Y5" i="4"/>
  <c r="AA5" i="4" s="1"/>
  <c r="AB5" i="4" s="1"/>
  <c r="AI3" i="4"/>
  <c r="O5" i="4"/>
  <c r="Q5" i="4" s="1"/>
  <c r="R5" i="4" s="1"/>
  <c r="P26" i="5"/>
  <c r="R31" i="5" s="1"/>
  <c r="AC5" i="6"/>
  <c r="T10" i="5"/>
  <c r="U8" i="5"/>
  <c r="S7" i="8"/>
  <c r="AD14" i="7"/>
  <c r="AC14" i="7"/>
  <c r="U8" i="6"/>
  <c r="S8" i="6"/>
  <c r="S6" i="6"/>
  <c r="AC17" i="6"/>
  <c r="R32" i="7"/>
  <c r="T10" i="8"/>
  <c r="S10" i="8"/>
  <c r="S8" i="8"/>
  <c r="S19" i="8"/>
  <c r="U17" i="8" s="1"/>
  <c r="T17" i="8"/>
  <c r="S17" i="8"/>
  <c r="T13" i="7"/>
  <c r="S13" i="7"/>
  <c r="U12" i="7" s="1"/>
  <c r="T6" i="7"/>
  <c r="S6" i="7"/>
  <c r="T5" i="7" s="1"/>
  <c r="T20" i="7" s="1"/>
  <c r="T21" i="7" s="1"/>
  <c r="S9" i="7"/>
  <c r="U7" i="7" s="1"/>
  <c r="AC12" i="7"/>
  <c r="AE11" i="7" s="1"/>
  <c r="O12" i="4"/>
  <c r="Q12" i="4" s="1"/>
  <c r="R12" i="4" s="1"/>
  <c r="Y12" i="4"/>
  <c r="AA12" i="4" s="1"/>
  <c r="AB12" i="4" s="1"/>
  <c r="U9" i="6"/>
  <c r="S9" i="6"/>
  <c r="AC11" i="6"/>
  <c r="AE10" i="6" s="1"/>
  <c r="S10" i="6"/>
  <c r="AC10" i="6"/>
  <c r="AD16" i="6" s="1"/>
  <c r="AD10" i="5"/>
  <c r="AD14" i="8"/>
  <c r="AC14" i="8"/>
  <c r="AD13" i="8" s="1"/>
  <c r="V20" i="5"/>
  <c r="L28" i="5" s="1"/>
  <c r="L25" i="5"/>
  <c r="AC9" i="8"/>
  <c r="AD9" i="8"/>
  <c r="AD16" i="8"/>
  <c r="AC16" i="8"/>
  <c r="AE15" i="8" s="1"/>
  <c r="S16" i="8"/>
  <c r="S7" i="7"/>
  <c r="S17" i="7"/>
  <c r="U15" i="7" s="1"/>
  <c r="AC6" i="7"/>
  <c r="AE6" i="7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S7" i="6"/>
  <c r="R41" i="5"/>
  <c r="P25" i="6"/>
  <c r="N23" i="6"/>
  <c r="AE9" i="5"/>
  <c r="P26" i="7"/>
  <c r="R31" i="7" s="1"/>
  <c r="AE12" i="8"/>
  <c r="AC12" i="8"/>
  <c r="AD18" i="8"/>
  <c r="AC18" i="8"/>
  <c r="S12" i="8"/>
  <c r="T12" i="8"/>
  <c r="AC5" i="8"/>
  <c r="AC20" i="8" s="1"/>
  <c r="R25" i="8"/>
  <c r="P25" i="8"/>
  <c r="R30" i="8" s="1"/>
  <c r="T11" i="7"/>
  <c r="S11" i="7"/>
  <c r="U10" i="7" s="1"/>
  <c r="AC11" i="7"/>
  <c r="AD5" i="7"/>
  <c r="AD20" i="7" s="1"/>
  <c r="AD21" i="7" s="1"/>
  <c r="AC5" i="7"/>
  <c r="AC20" i="7" s="1"/>
  <c r="S19" i="7"/>
  <c r="U17" i="7" s="1"/>
  <c r="T19" i="7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N44" i="7"/>
  <c r="P44" i="7" s="1"/>
  <c r="N40" i="7"/>
  <c r="P40" i="7" s="1"/>
  <c r="N39" i="7"/>
  <c r="N43" i="7"/>
  <c r="P43" i="7" s="1"/>
  <c r="N41" i="7"/>
  <c r="P41" i="7" s="1"/>
  <c r="N42" i="7"/>
  <c r="P42" i="7" s="1"/>
  <c r="U9" i="5"/>
  <c r="AC12" i="6"/>
  <c r="S12" i="6"/>
  <c r="S14" i="6"/>
  <c r="T11" i="6" s="1"/>
  <c r="T14" i="6"/>
  <c r="AC14" i="6"/>
  <c r="R40" i="5"/>
  <c r="S9" i="4"/>
  <c r="AD7" i="8"/>
  <c r="AC7" i="8"/>
  <c r="AE5" i="8" s="1"/>
  <c r="AE20" i="8" s="1"/>
  <c r="L40" i="8" s="1"/>
  <c r="AE17" i="7"/>
  <c r="AC17" i="7"/>
  <c r="AE16" i="7" s="1"/>
  <c r="AD10" i="7"/>
  <c r="AC10" i="7"/>
  <c r="L39" i="5"/>
  <c r="AF20" i="5"/>
  <c r="L42" i="5" s="1"/>
  <c r="Y8" i="4"/>
  <c r="AA8" i="4" s="1"/>
  <c r="AB8" i="4" s="1"/>
  <c r="O8" i="4"/>
  <c r="Q8" i="4" s="1"/>
  <c r="R8" i="4" s="1"/>
  <c r="S5" i="6"/>
  <c r="U6" i="6" s="1"/>
  <c r="T5" i="6"/>
  <c r="R48" i="5"/>
  <c r="R46" i="5"/>
  <c r="R45" i="5"/>
  <c r="R44" i="5"/>
  <c r="R47" i="5"/>
  <c r="R49" i="5"/>
  <c r="R33" i="6"/>
  <c r="N44" i="6"/>
  <c r="P44" i="6" s="1"/>
  <c r="N40" i="6"/>
  <c r="P40" i="6" s="1"/>
  <c r="N43" i="6"/>
  <c r="P43" i="6" s="1"/>
  <c r="N41" i="6"/>
  <c r="P41" i="6" s="1"/>
  <c r="N42" i="6"/>
  <c r="P42" i="6" s="1"/>
  <c r="N39" i="6"/>
  <c r="T5" i="8"/>
  <c r="T20" i="8" s="1"/>
  <c r="L25" i="8" s="1"/>
  <c r="S5" i="8"/>
  <c r="S20" i="8" s="1"/>
  <c r="AE11" i="8"/>
  <c r="AD11" i="8"/>
  <c r="AC11" i="8"/>
  <c r="AC17" i="8"/>
  <c r="AE16" i="8" s="1"/>
  <c r="AD17" i="8"/>
  <c r="R31" i="8"/>
  <c r="AD8" i="7"/>
  <c r="AC8" i="7"/>
  <c r="AC15" i="7"/>
  <c r="AE13" i="7" s="1"/>
  <c r="S5" i="7"/>
  <c r="S20" i="7" s="1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P25" i="5"/>
  <c r="N23" i="5"/>
  <c r="U6" i="5"/>
  <c r="AC6" i="6"/>
  <c r="AD12" i="6" s="1"/>
  <c r="AC9" i="6"/>
  <c r="AE7" i="6" s="1"/>
  <c r="AC16" i="6"/>
  <c r="AE15" i="6" s="1"/>
  <c r="S18" i="6"/>
  <c r="T18" i="6"/>
  <c r="T15" i="8"/>
  <c r="S15" i="8"/>
  <c r="U14" i="8" s="1"/>
  <c r="AC8" i="6"/>
  <c r="AE6" i="6" s="1"/>
  <c r="R32" i="6"/>
  <c r="T23" i="6"/>
  <c r="AD19" i="8"/>
  <c r="AC19" i="8"/>
  <c r="AE17" i="8" s="1"/>
  <c r="AD10" i="8"/>
  <c r="AC10" i="8"/>
  <c r="AE7" i="8" s="1"/>
  <c r="AD13" i="7"/>
  <c r="AC13" i="7"/>
  <c r="AE12" i="7" s="1"/>
  <c r="U16" i="6"/>
  <c r="T16" i="6"/>
  <c r="S16" i="6"/>
  <c r="U15" i="6" s="1"/>
  <c r="S17" i="6"/>
  <c r="T17" i="6"/>
  <c r="U7" i="5"/>
  <c r="P26" i="6"/>
  <c r="R31" i="6" s="1"/>
  <c r="N42" i="8"/>
  <c r="P42" i="8" s="1"/>
  <c r="N40" i="8"/>
  <c r="P40" i="8" s="1"/>
  <c r="N38" i="8"/>
  <c r="N43" i="8"/>
  <c r="P43" i="8" s="1"/>
  <c r="N41" i="8"/>
  <c r="P41" i="8" s="1"/>
  <c r="N39" i="8"/>
  <c r="P39" i="8" s="1"/>
  <c r="N23" i="7"/>
  <c r="P25" i="7"/>
  <c r="AC6" i="8"/>
  <c r="AD5" i="8" s="1"/>
  <c r="AD20" i="8" s="1"/>
  <c r="L39" i="8" s="1"/>
  <c r="AC13" i="8"/>
  <c r="AE10" i="8" s="1"/>
  <c r="U18" i="8"/>
  <c r="S18" i="8"/>
  <c r="P24" i="8"/>
  <c r="N22" i="8"/>
  <c r="AD9" i="7"/>
  <c r="AC9" i="7"/>
  <c r="AE7" i="7" s="1"/>
  <c r="U14" i="7"/>
  <c r="S14" i="7"/>
  <c r="U13" i="7" s="1"/>
  <c r="AC7" i="7"/>
  <c r="AE5" i="7" s="1"/>
  <c r="AE20" i="7" s="1"/>
  <c r="AE21" i="7" s="1"/>
  <c r="L41" i="7" s="1"/>
  <c r="AD7" i="7"/>
  <c r="Y14" i="4"/>
  <c r="AA14" i="4" s="1"/>
  <c r="AB14" i="4" s="1"/>
  <c r="O14" i="4"/>
  <c r="Q14" i="4" s="1"/>
  <c r="R14" i="4" s="1"/>
  <c r="P25" i="4"/>
  <c r="N23" i="4"/>
  <c r="R32" i="5"/>
  <c r="AC13" i="6"/>
  <c r="AE9" i="6" s="1"/>
  <c r="S11" i="6"/>
  <c r="U7" i="6" s="1"/>
  <c r="U11" i="6"/>
  <c r="AD18" i="6"/>
  <c r="AC18" i="6"/>
  <c r="S19" i="6"/>
  <c r="U17" i="6" s="1"/>
  <c r="T19" i="6"/>
  <c r="N37" i="5"/>
  <c r="P39" i="5"/>
  <c r="R43" i="5" s="1"/>
  <c r="U10" i="5"/>
  <c r="AO28" i="11" l="1"/>
  <c r="AK25" i="11"/>
  <c r="AO30" i="11"/>
  <c r="AA25" i="11"/>
  <c r="AA23" i="11" s="1"/>
  <c r="AK27" i="11"/>
  <c r="AE28" i="11"/>
  <c r="AO33" i="11"/>
  <c r="R48" i="11"/>
  <c r="AG27" i="11"/>
  <c r="AQ30" i="11"/>
  <c r="AG26" i="11"/>
  <c r="AG29" i="11"/>
  <c r="AG25" i="11"/>
  <c r="AE26" i="11"/>
  <c r="AO26" i="11"/>
  <c r="AE25" i="11"/>
  <c r="AO27" i="11"/>
  <c r="AO31" i="11"/>
  <c r="AO25" i="11"/>
  <c r="AC25" i="11"/>
  <c r="AC26" i="11"/>
  <c r="AO29" i="11"/>
  <c r="AM31" i="11"/>
  <c r="AQ26" i="11"/>
  <c r="AQ33" i="11"/>
  <c r="AK28" i="11"/>
  <c r="AQ25" i="11"/>
  <c r="AK29" i="11"/>
  <c r="AQ32" i="11"/>
  <c r="AK26" i="11"/>
  <c r="AQ27" i="11"/>
  <c r="AK30" i="11"/>
  <c r="AQ28" i="11"/>
  <c r="AI25" i="11"/>
  <c r="R47" i="11"/>
  <c r="AM29" i="11"/>
  <c r="AI28" i="11"/>
  <c r="AQ34" i="11"/>
  <c r="AI30" i="11"/>
  <c r="V23" i="11"/>
  <c r="V35" i="11" s="1"/>
  <c r="V22" i="11" s="1"/>
  <c r="AM25" i="11"/>
  <c r="AQ29" i="11"/>
  <c r="AI26" i="11"/>
  <c r="R46" i="11"/>
  <c r="P39" i="11"/>
  <c r="N37" i="11"/>
  <c r="AM27" i="11"/>
  <c r="AI29" i="11"/>
  <c r="R45" i="11"/>
  <c r="AM32" i="11"/>
  <c r="AM30" i="11"/>
  <c r="AM28" i="11"/>
  <c r="AD5" i="11"/>
  <c r="AD14" i="11"/>
  <c r="AD11" i="11"/>
  <c r="AD8" i="11"/>
  <c r="AD13" i="11"/>
  <c r="AD12" i="11"/>
  <c r="AD4" i="11"/>
  <c r="AC5" i="11"/>
  <c r="AD10" i="11"/>
  <c r="AC8" i="11"/>
  <c r="AB18" i="11"/>
  <c r="AC15" i="11"/>
  <c r="AD15" i="11"/>
  <c r="AC10" i="11"/>
  <c r="AC9" i="11"/>
  <c r="AD9" i="11"/>
  <c r="Y2" i="11"/>
  <c r="AG4" i="11"/>
  <c r="AC11" i="11"/>
  <c r="AC12" i="11"/>
  <c r="AC7" i="11"/>
  <c r="AC4" i="11"/>
  <c r="AC14" i="11"/>
  <c r="AC13" i="11"/>
  <c r="AC6" i="11"/>
  <c r="AD7" i="11"/>
  <c r="AD6" i="11"/>
  <c r="Y23" i="11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R42" i="4"/>
  <c r="R26" i="4"/>
  <c r="R41" i="4"/>
  <c r="L26" i="7"/>
  <c r="S14" i="4"/>
  <c r="N36" i="8"/>
  <c r="P38" i="8"/>
  <c r="AE12" i="6"/>
  <c r="R40" i="8"/>
  <c r="AE8" i="7"/>
  <c r="L24" i="8"/>
  <c r="V20" i="8"/>
  <c r="L27" i="8" s="1"/>
  <c r="S15" i="4"/>
  <c r="R27" i="6"/>
  <c r="R25" i="6"/>
  <c r="R28" i="6"/>
  <c r="R30" i="6"/>
  <c r="P23" i="6"/>
  <c r="R29" i="6"/>
  <c r="U10" i="6"/>
  <c r="AD17" i="6"/>
  <c r="AE14" i="7"/>
  <c r="AD19" i="6"/>
  <c r="AD15" i="6"/>
  <c r="U16" i="7"/>
  <c r="R40" i="4"/>
  <c r="AE9" i="7"/>
  <c r="AE13" i="8"/>
  <c r="R42" i="5"/>
  <c r="V20" i="7"/>
  <c r="V21" i="7" s="1"/>
  <c r="L28" i="7" s="1"/>
  <c r="U5" i="8"/>
  <c r="U20" i="8" s="1"/>
  <c r="L26" i="8" s="1"/>
  <c r="R49" i="6"/>
  <c r="R47" i="6"/>
  <c r="R44" i="6"/>
  <c r="R46" i="6"/>
  <c r="R45" i="6"/>
  <c r="R48" i="6"/>
  <c r="R42" i="7"/>
  <c r="AF20" i="7"/>
  <c r="AF21" i="7" s="1"/>
  <c r="L42" i="7" s="1"/>
  <c r="T17" i="7"/>
  <c r="AE9" i="8"/>
  <c r="AC20" i="6"/>
  <c r="AE18" i="7"/>
  <c r="AD7" i="6"/>
  <c r="AC16" i="4"/>
  <c r="T18" i="7"/>
  <c r="T9" i="8"/>
  <c r="AC5" i="4"/>
  <c r="R30" i="5"/>
  <c r="R29" i="5"/>
  <c r="R28" i="5"/>
  <c r="R27" i="5"/>
  <c r="P23" i="5"/>
  <c r="R25" i="5"/>
  <c r="U16" i="8"/>
  <c r="L23" i="5"/>
  <c r="T8" i="8"/>
  <c r="T7" i="8"/>
  <c r="U9" i="8"/>
  <c r="AD13" i="6"/>
  <c r="R24" i="8"/>
  <c r="R26" i="8"/>
  <c r="P22" i="8"/>
  <c r="R27" i="8"/>
  <c r="V27" i="8" s="1"/>
  <c r="R29" i="8"/>
  <c r="R28" i="8"/>
  <c r="AD6" i="8"/>
  <c r="R39" i="8"/>
  <c r="U18" i="6"/>
  <c r="S7" i="4"/>
  <c r="AD15" i="7"/>
  <c r="S20" i="6"/>
  <c r="AE10" i="7"/>
  <c r="AD14" i="6"/>
  <c r="U12" i="6"/>
  <c r="AC6" i="4"/>
  <c r="AD11" i="7"/>
  <c r="L38" i="8"/>
  <c r="AF20" i="8"/>
  <c r="L41" i="8" s="1"/>
  <c r="AE18" i="8"/>
  <c r="AC11" i="4"/>
  <c r="T16" i="8"/>
  <c r="U8" i="8"/>
  <c r="AE5" i="6"/>
  <c r="AD19" i="7"/>
  <c r="AD16" i="7"/>
  <c r="AE8" i="8"/>
  <c r="U6" i="8"/>
  <c r="AC8" i="4"/>
  <c r="T12" i="6"/>
  <c r="L40" i="7"/>
  <c r="AE11" i="6"/>
  <c r="T6" i="6"/>
  <c r="AD5" i="6"/>
  <c r="AD20" i="6" s="1"/>
  <c r="AD21" i="6" s="1"/>
  <c r="T14" i="8"/>
  <c r="AE18" i="6"/>
  <c r="AE13" i="6"/>
  <c r="T18" i="8"/>
  <c r="AE6" i="8"/>
  <c r="R41" i="8"/>
  <c r="R26" i="6"/>
  <c r="V26" i="6" s="1"/>
  <c r="R43" i="4"/>
  <c r="S10" i="4"/>
  <c r="P39" i="6"/>
  <c r="R41" i="6" s="1"/>
  <c r="N37" i="6"/>
  <c r="U5" i="6"/>
  <c r="U20" i="6" s="1"/>
  <c r="U21" i="6" s="1"/>
  <c r="L27" i="6" s="1"/>
  <c r="AE14" i="6"/>
  <c r="P39" i="7"/>
  <c r="N37" i="7"/>
  <c r="S18" i="4"/>
  <c r="AD12" i="8"/>
  <c r="T7" i="6"/>
  <c r="S11" i="4"/>
  <c r="T7" i="7"/>
  <c r="AD10" i="6"/>
  <c r="AD11" i="6"/>
  <c r="AC12" i="4"/>
  <c r="T9" i="7"/>
  <c r="S5" i="4"/>
  <c r="U13" i="6"/>
  <c r="AD15" i="8"/>
  <c r="AC19" i="4"/>
  <c r="T12" i="7"/>
  <c r="AE17" i="6"/>
  <c r="AC7" i="4"/>
  <c r="S6" i="4"/>
  <c r="T15" i="6"/>
  <c r="R27" i="4"/>
  <c r="R25" i="4"/>
  <c r="V26" i="4" s="1"/>
  <c r="R28" i="4"/>
  <c r="R30" i="4"/>
  <c r="P23" i="4"/>
  <c r="R29" i="4"/>
  <c r="P23" i="7"/>
  <c r="R30" i="7"/>
  <c r="R29" i="7"/>
  <c r="R28" i="7"/>
  <c r="V28" i="7" s="1"/>
  <c r="R27" i="7"/>
  <c r="R25" i="7"/>
  <c r="R47" i="8"/>
  <c r="R43" i="8"/>
  <c r="R48" i="8"/>
  <c r="R45" i="8"/>
  <c r="R46" i="8"/>
  <c r="R44" i="8"/>
  <c r="U15" i="8"/>
  <c r="AD6" i="6"/>
  <c r="AC10" i="4"/>
  <c r="R42" i="6"/>
  <c r="S8" i="4"/>
  <c r="R40" i="7"/>
  <c r="AC18" i="4"/>
  <c r="AD6" i="7"/>
  <c r="AE14" i="8"/>
  <c r="S12" i="4"/>
  <c r="U9" i="7"/>
  <c r="T8" i="6"/>
  <c r="R26" i="5"/>
  <c r="T13" i="6"/>
  <c r="T10" i="7"/>
  <c r="S19" i="4"/>
  <c r="T6" i="8"/>
  <c r="R49" i="7"/>
  <c r="R48" i="7"/>
  <c r="R47" i="7"/>
  <c r="R44" i="7"/>
  <c r="R45" i="7"/>
  <c r="R46" i="7"/>
  <c r="AC14" i="4"/>
  <c r="AD8" i="6"/>
  <c r="U5" i="7"/>
  <c r="U20" i="7" s="1"/>
  <c r="U21" i="7" s="1"/>
  <c r="L27" i="7" s="1"/>
  <c r="R43" i="6"/>
  <c r="R39" i="4"/>
  <c r="P37" i="4"/>
  <c r="T9" i="6"/>
  <c r="P37" i="5"/>
  <c r="R39" i="5"/>
  <c r="V40" i="5" s="1"/>
  <c r="R42" i="8"/>
  <c r="AE8" i="6"/>
  <c r="R40" i="6"/>
  <c r="L37" i="5"/>
  <c r="U14" i="6"/>
  <c r="AC15" i="4"/>
  <c r="U11" i="7"/>
  <c r="R26" i="7"/>
  <c r="V26" i="7" s="1"/>
  <c r="T10" i="6"/>
  <c r="T20" i="6" s="1"/>
  <c r="T21" i="6" s="1"/>
  <c r="AD12" i="7"/>
  <c r="U6" i="7"/>
  <c r="T19" i="8"/>
  <c r="U7" i="8"/>
  <c r="AD18" i="7"/>
  <c r="S16" i="4"/>
  <c r="T15" i="7"/>
  <c r="T11" i="8"/>
  <c r="AS32" i="11" l="1"/>
  <c r="J32" i="11" s="1"/>
  <c r="AG23" i="11"/>
  <c r="AS29" i="11"/>
  <c r="J29" i="11" s="1"/>
  <c r="AS25" i="11"/>
  <c r="J25" i="11" s="1"/>
  <c r="AS28" i="11"/>
  <c r="J28" i="11" s="1"/>
  <c r="AS34" i="11"/>
  <c r="J34" i="11" s="1"/>
  <c r="AS35" i="11"/>
  <c r="J35" i="11" s="1"/>
  <c r="AO23" i="11"/>
  <c r="AS33" i="11"/>
  <c r="J33" i="11" s="1"/>
  <c r="AS30" i="11"/>
  <c r="J30" i="11" s="1"/>
  <c r="AC23" i="11"/>
  <c r="AS27" i="11"/>
  <c r="J27" i="11" s="1"/>
  <c r="AE23" i="11"/>
  <c r="AK23" i="11"/>
  <c r="AQ23" i="11"/>
  <c r="AI23" i="11"/>
  <c r="AS26" i="11"/>
  <c r="J26" i="11" s="1"/>
  <c r="AS31" i="11"/>
  <c r="J31" i="11" s="1"/>
  <c r="R41" i="11"/>
  <c r="P37" i="11"/>
  <c r="R39" i="11"/>
  <c r="AM23" i="11"/>
  <c r="R44" i="11"/>
  <c r="R42" i="11"/>
  <c r="R40" i="11"/>
  <c r="R43" i="11"/>
  <c r="AD18" i="11"/>
  <c r="L27" i="11" s="1"/>
  <c r="AC18" i="11"/>
  <c r="L26" i="11" s="1"/>
  <c r="AJ4" i="11"/>
  <c r="AI4" i="11"/>
  <c r="AH4" i="11"/>
  <c r="L25" i="1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V42" i="4"/>
  <c r="T19" i="4"/>
  <c r="AE5" i="4"/>
  <c r="U5" i="4"/>
  <c r="U13" i="4"/>
  <c r="AE11" i="4"/>
  <c r="AE14" i="4"/>
  <c r="AE17" i="4"/>
  <c r="AE18" i="4"/>
  <c r="AE7" i="4"/>
  <c r="T5" i="4"/>
  <c r="U17" i="4"/>
  <c r="AE6" i="4"/>
  <c r="U10" i="4"/>
  <c r="T11" i="4"/>
  <c r="U7" i="4"/>
  <c r="AE42" i="4"/>
  <c r="AE41" i="4"/>
  <c r="AE39" i="4"/>
  <c r="AE40" i="4"/>
  <c r="AA40" i="5"/>
  <c r="AA39" i="5"/>
  <c r="AA37" i="5" s="1"/>
  <c r="L26" i="6"/>
  <c r="AA26" i="4"/>
  <c r="AA25" i="4"/>
  <c r="AA23" i="4" s="1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R39" i="7"/>
  <c r="P37" i="7"/>
  <c r="V20" i="6"/>
  <c r="V21" i="6" s="1"/>
  <c r="L28" i="6" s="1"/>
  <c r="R41" i="7"/>
  <c r="V41" i="7" s="1"/>
  <c r="AC20" i="4"/>
  <c r="AD17" i="4"/>
  <c r="AD13" i="4"/>
  <c r="AD9" i="4"/>
  <c r="AE9" i="4"/>
  <c r="AE16" i="4"/>
  <c r="V25" i="6"/>
  <c r="R23" i="6"/>
  <c r="V34" i="6"/>
  <c r="V31" i="6"/>
  <c r="V29" i="6"/>
  <c r="V33" i="6"/>
  <c r="V32" i="6"/>
  <c r="V30" i="6"/>
  <c r="U11" i="4"/>
  <c r="AA26" i="6"/>
  <c r="AA25" i="6"/>
  <c r="AD18" i="4"/>
  <c r="AD7" i="4"/>
  <c r="S20" i="4"/>
  <c r="T17" i="4"/>
  <c r="T9" i="4"/>
  <c r="T13" i="4"/>
  <c r="AD12" i="4"/>
  <c r="AD6" i="4"/>
  <c r="V25" i="5"/>
  <c r="R23" i="5"/>
  <c r="V34" i="5"/>
  <c r="V30" i="5"/>
  <c r="V33" i="5"/>
  <c r="V29" i="5"/>
  <c r="V32" i="5"/>
  <c r="V31" i="5"/>
  <c r="V42" i="7"/>
  <c r="AA26" i="7"/>
  <c r="AA25" i="7"/>
  <c r="AA23" i="7" s="1"/>
  <c r="AD10" i="4"/>
  <c r="R23" i="7"/>
  <c r="V25" i="7"/>
  <c r="V33" i="7"/>
  <c r="V32" i="7"/>
  <c r="V34" i="7"/>
  <c r="V31" i="7"/>
  <c r="V30" i="7"/>
  <c r="V29" i="7"/>
  <c r="AE12" i="4"/>
  <c r="AD11" i="4"/>
  <c r="T7" i="4"/>
  <c r="V40" i="4"/>
  <c r="T15" i="4"/>
  <c r="T14" i="4"/>
  <c r="L40" i="6"/>
  <c r="AD5" i="4"/>
  <c r="V27" i="6"/>
  <c r="AE10" i="4"/>
  <c r="V41" i="8"/>
  <c r="AE24" i="8"/>
  <c r="AE22" i="8" s="1"/>
  <c r="AE26" i="8"/>
  <c r="AE25" i="8"/>
  <c r="AE27" i="8"/>
  <c r="U15" i="4"/>
  <c r="R37" i="5"/>
  <c r="V39" i="5"/>
  <c r="V47" i="5"/>
  <c r="V46" i="5"/>
  <c r="V45" i="5"/>
  <c r="V43" i="5"/>
  <c r="V44" i="5"/>
  <c r="V48" i="5"/>
  <c r="V40" i="7"/>
  <c r="V27" i="7"/>
  <c r="V28" i="4"/>
  <c r="R39" i="6"/>
  <c r="V42" i="6" s="1"/>
  <c r="P37" i="6"/>
  <c r="V41" i="5"/>
  <c r="AD8" i="4"/>
  <c r="R43" i="7"/>
  <c r="V26" i="8"/>
  <c r="V27" i="5"/>
  <c r="AE28" i="7"/>
  <c r="AE26" i="7"/>
  <c r="AE27" i="7"/>
  <c r="AE25" i="7"/>
  <c r="AE23" i="7" s="1"/>
  <c r="T18" i="4"/>
  <c r="AE8" i="4"/>
  <c r="V28" i="5"/>
  <c r="S21" i="7"/>
  <c r="L25" i="7" s="1"/>
  <c r="AD14" i="4"/>
  <c r="V26" i="5"/>
  <c r="U12" i="4"/>
  <c r="U8" i="4"/>
  <c r="V27" i="4"/>
  <c r="T6" i="4"/>
  <c r="U18" i="4"/>
  <c r="T10" i="4"/>
  <c r="V39" i="8"/>
  <c r="V42" i="5"/>
  <c r="L22" i="8"/>
  <c r="V40" i="6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AC21" i="7"/>
  <c r="L39" i="7" s="1"/>
  <c r="T16" i="4"/>
  <c r="AD15" i="4"/>
  <c r="U6" i="4"/>
  <c r="AE20" i="6"/>
  <c r="AE21" i="6" s="1"/>
  <c r="L41" i="6" s="1"/>
  <c r="L36" i="8"/>
  <c r="V25" i="8"/>
  <c r="AD16" i="4"/>
  <c r="V28" i="6"/>
  <c r="P36" i="8"/>
  <c r="R38" i="8"/>
  <c r="V40" i="8" s="1"/>
  <c r="V40" i="11" l="1"/>
  <c r="AA40" i="11" s="1"/>
  <c r="AS23" i="11"/>
  <c r="AS22" i="11" s="1"/>
  <c r="J23" i="11"/>
  <c r="V42" i="11"/>
  <c r="R37" i="11"/>
  <c r="V39" i="11"/>
  <c r="V48" i="11"/>
  <c r="V45" i="11"/>
  <c r="V46" i="11"/>
  <c r="V44" i="11"/>
  <c r="V43" i="11"/>
  <c r="V47" i="11"/>
  <c r="V41" i="11"/>
  <c r="AE18" i="11"/>
  <c r="L28" i="11" s="1"/>
  <c r="H32" i="11" s="1"/>
  <c r="H25" i="11"/>
  <c r="H26" i="11"/>
  <c r="H27" i="11"/>
  <c r="AH18" i="11"/>
  <c r="AI11" i="11"/>
  <c r="AI10" i="11"/>
  <c r="AJ10" i="11"/>
  <c r="AI9" i="11"/>
  <c r="AJ9" i="11"/>
  <c r="AI5" i="11"/>
  <c r="AI15" i="11"/>
  <c r="AJ14" i="11"/>
  <c r="AI14" i="11"/>
  <c r="AJ8" i="11"/>
  <c r="AJ12" i="11"/>
  <c r="AI6" i="11"/>
  <c r="AI13" i="11"/>
  <c r="AI12" i="11"/>
  <c r="AI8" i="11"/>
  <c r="AJ7" i="11"/>
  <c r="AI7" i="11"/>
  <c r="AJ11" i="11"/>
  <c r="AJ15" i="11"/>
  <c r="AJ6" i="11"/>
  <c r="AJ5" i="11"/>
  <c r="AJ13" i="11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E20" i="4"/>
  <c r="L41" i="4" s="1"/>
  <c r="U20" i="4"/>
  <c r="L27" i="4" s="1"/>
  <c r="T20" i="4"/>
  <c r="L26" i="4" s="1"/>
  <c r="AC39" i="8"/>
  <c r="AC40" i="8"/>
  <c r="AC38" i="8"/>
  <c r="AC36" i="8" s="1"/>
  <c r="AE42" i="6"/>
  <c r="AE41" i="6"/>
  <c r="AE39" i="6"/>
  <c r="AE40" i="6"/>
  <c r="AE27" i="4"/>
  <c r="AE26" i="4"/>
  <c r="AE28" i="4"/>
  <c r="AE25" i="4"/>
  <c r="AE23" i="4" s="1"/>
  <c r="AD20" i="4"/>
  <c r="L40" i="4" s="1"/>
  <c r="AE39" i="7"/>
  <c r="AE37" i="7" s="1"/>
  <c r="AE40" i="7"/>
  <c r="AE42" i="7"/>
  <c r="AE41" i="7"/>
  <c r="AK30" i="6"/>
  <c r="AK26" i="6"/>
  <c r="AK29" i="6"/>
  <c r="AK28" i="6"/>
  <c r="AK27" i="6"/>
  <c r="AK25" i="6"/>
  <c r="AK31" i="6"/>
  <c r="L23" i="7"/>
  <c r="AF20" i="6"/>
  <c r="AF21" i="6" s="1"/>
  <c r="L42" i="6" s="1"/>
  <c r="AO42" i="5"/>
  <c r="AO41" i="5"/>
  <c r="AO40" i="5"/>
  <c r="AO46" i="5"/>
  <c r="AO39" i="5"/>
  <c r="AO37" i="5" s="1"/>
  <c r="AO44" i="5"/>
  <c r="AO47" i="5"/>
  <c r="AO43" i="5"/>
  <c r="AO45" i="5"/>
  <c r="AC25" i="6"/>
  <c r="AC23" i="6" s="1"/>
  <c r="AC26" i="6"/>
  <c r="AC27" i="6"/>
  <c r="AM32" i="5"/>
  <c r="AM29" i="5"/>
  <c r="AM25" i="5"/>
  <c r="AM23" i="5" s="1"/>
  <c r="AM31" i="5"/>
  <c r="AM28" i="5"/>
  <c r="AM26" i="5"/>
  <c r="AM27" i="5"/>
  <c r="AM30" i="5"/>
  <c r="AE28" i="6"/>
  <c r="AE25" i="6"/>
  <c r="AE23" i="6" s="1"/>
  <c r="AE26" i="6"/>
  <c r="AE27" i="6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E28" i="5"/>
  <c r="AE26" i="5"/>
  <c r="AE27" i="5"/>
  <c r="AE25" i="5"/>
  <c r="AE23" i="5" s="1"/>
  <c r="AQ44" i="5"/>
  <c r="AQ45" i="5"/>
  <c r="AQ42" i="5"/>
  <c r="AQ41" i="5"/>
  <c r="AQ48" i="5"/>
  <c r="AQ40" i="5"/>
  <c r="AQ39" i="5"/>
  <c r="AQ37" i="5" s="1"/>
  <c r="AQ46" i="5"/>
  <c r="AQ47" i="5"/>
  <c r="AQ43" i="5"/>
  <c r="AA39" i="4"/>
  <c r="AA40" i="4"/>
  <c r="AO25" i="5"/>
  <c r="AO23" i="5" s="1"/>
  <c r="AO30" i="5"/>
  <c r="AO31" i="5"/>
  <c r="AO29" i="5"/>
  <c r="AO28" i="5"/>
  <c r="AO33" i="5"/>
  <c r="AO26" i="5"/>
  <c r="AO32" i="5"/>
  <c r="AO27" i="5"/>
  <c r="AA23" i="6"/>
  <c r="AG29" i="6"/>
  <c r="AG28" i="6"/>
  <c r="AG26" i="6"/>
  <c r="AG27" i="6"/>
  <c r="AG25" i="6"/>
  <c r="L39" i="4"/>
  <c r="AK25" i="8"/>
  <c r="AK26" i="8"/>
  <c r="AK28" i="8"/>
  <c r="AK30" i="8"/>
  <c r="AK27" i="8"/>
  <c r="AK29" i="8"/>
  <c r="AK24" i="8"/>
  <c r="AK22" i="8" s="1"/>
  <c r="V41" i="6"/>
  <c r="AI41" i="5"/>
  <c r="AI42" i="5"/>
  <c r="AI40" i="5"/>
  <c r="AI39" i="5"/>
  <c r="AI37" i="5" s="1"/>
  <c r="AI43" i="5"/>
  <c r="AI44" i="5"/>
  <c r="AO29" i="7"/>
  <c r="AO26" i="7"/>
  <c r="AO28" i="7"/>
  <c r="AO27" i="7"/>
  <c r="AO33" i="7"/>
  <c r="AO25" i="7"/>
  <c r="AO23" i="7" s="1"/>
  <c r="AO32" i="7"/>
  <c r="AO31" i="7"/>
  <c r="AO30" i="7"/>
  <c r="AG43" i="4"/>
  <c r="AG40" i="4"/>
  <c r="AG41" i="4"/>
  <c r="AG42" i="4"/>
  <c r="AG39" i="4"/>
  <c r="Y25" i="7"/>
  <c r="V23" i="7"/>
  <c r="V35" i="7" s="1"/>
  <c r="V22" i="7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AC41" i="5"/>
  <c r="AC40" i="5"/>
  <c r="AC39" i="5"/>
  <c r="AC37" i="5" s="1"/>
  <c r="AK40" i="5"/>
  <c r="AK41" i="5"/>
  <c r="AK39" i="5"/>
  <c r="AK37" i="5" s="1"/>
  <c r="AK45" i="5"/>
  <c r="AK43" i="5"/>
  <c r="AK42" i="5"/>
  <c r="AK44" i="5"/>
  <c r="AC21" i="6"/>
  <c r="L39" i="6" s="1"/>
  <c r="AG25" i="7"/>
  <c r="AG23" i="7" s="1"/>
  <c r="AG26" i="7"/>
  <c r="AG29" i="7"/>
  <c r="AG28" i="7"/>
  <c r="AG27" i="7"/>
  <c r="Y24" i="8"/>
  <c r="V21" i="8"/>
  <c r="V22" i="8"/>
  <c r="V34" i="8" s="1"/>
  <c r="S21" i="6"/>
  <c r="L25" i="6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I29" i="5"/>
  <c r="AI28" i="5"/>
  <c r="AI27" i="5"/>
  <c r="AI25" i="5"/>
  <c r="AI23" i="5" s="1"/>
  <c r="AI30" i="5"/>
  <c r="AI26" i="5"/>
  <c r="AC39" i="4"/>
  <c r="AC40" i="4"/>
  <c r="AC41" i="4"/>
  <c r="AC27" i="7"/>
  <c r="AC26" i="7"/>
  <c r="AC25" i="7"/>
  <c r="AC23" i="7" s="1"/>
  <c r="AG41" i="5"/>
  <c r="AG39" i="5"/>
  <c r="AG37" i="5" s="1"/>
  <c r="AG42" i="5"/>
  <c r="AG40" i="5"/>
  <c r="AG43" i="5"/>
  <c r="AQ28" i="5"/>
  <c r="AQ25" i="5"/>
  <c r="AQ23" i="5" s="1"/>
  <c r="AQ31" i="5"/>
  <c r="AQ26" i="5"/>
  <c r="AQ34" i="5"/>
  <c r="AQ30" i="5"/>
  <c r="AQ33" i="5"/>
  <c r="AQ29" i="5"/>
  <c r="AQ27" i="5"/>
  <c r="AQ32" i="5"/>
  <c r="L25" i="4"/>
  <c r="AQ30" i="6"/>
  <c r="AQ25" i="6"/>
  <c r="AQ28" i="6"/>
  <c r="AQ31" i="6"/>
  <c r="AQ27" i="6"/>
  <c r="AQ26" i="6"/>
  <c r="AQ34" i="6"/>
  <c r="AQ33" i="6"/>
  <c r="AQ32" i="6"/>
  <c r="AQ29" i="6"/>
  <c r="AM30" i="4"/>
  <c r="AM26" i="4"/>
  <c r="AM29" i="4"/>
  <c r="AM32" i="4"/>
  <c r="AM27" i="4"/>
  <c r="AM28" i="4"/>
  <c r="AM31" i="4"/>
  <c r="AM25" i="4"/>
  <c r="AC25" i="4"/>
  <c r="AC26" i="4"/>
  <c r="AC27" i="4"/>
  <c r="AA40" i="7"/>
  <c r="AA39" i="7"/>
  <c r="AA37" i="7" s="1"/>
  <c r="AM43" i="5"/>
  <c r="AM42" i="5"/>
  <c r="AM41" i="5"/>
  <c r="AM40" i="5"/>
  <c r="AM39" i="5"/>
  <c r="AM37" i="5" s="1"/>
  <c r="AM46" i="5"/>
  <c r="AM45" i="5"/>
  <c r="AM44" i="5"/>
  <c r="AI25" i="7"/>
  <c r="AI23" i="7" s="1"/>
  <c r="AI28" i="7"/>
  <c r="AI26" i="7"/>
  <c r="AI30" i="7"/>
  <c r="AI27" i="7"/>
  <c r="AI29" i="7"/>
  <c r="AK26" i="5"/>
  <c r="AK29" i="5"/>
  <c r="AK28" i="5"/>
  <c r="AK25" i="5"/>
  <c r="AK23" i="5" s="1"/>
  <c r="AK30" i="5"/>
  <c r="AK31" i="5"/>
  <c r="AK27" i="5"/>
  <c r="Y25" i="5"/>
  <c r="V23" i="5"/>
  <c r="V35" i="5" s="1"/>
  <c r="V22" i="5"/>
  <c r="AI28" i="6"/>
  <c r="AI25" i="6"/>
  <c r="AI29" i="6"/>
  <c r="AI30" i="6"/>
  <c r="AI27" i="6"/>
  <c r="AI26" i="6"/>
  <c r="V23" i="6"/>
  <c r="V35" i="6" s="1"/>
  <c r="V22" i="6"/>
  <c r="Y25" i="6"/>
  <c r="AE37" i="4"/>
  <c r="AC41" i="7"/>
  <c r="AC40" i="7"/>
  <c r="AC39" i="7"/>
  <c r="AC37" i="7" s="1"/>
  <c r="AA38" i="8"/>
  <c r="AA36" i="8" s="1"/>
  <c r="AA39" i="8"/>
  <c r="AI29" i="4"/>
  <c r="AI28" i="4"/>
  <c r="AI30" i="4"/>
  <c r="AI25" i="4"/>
  <c r="AI26" i="4"/>
  <c r="AI27" i="4"/>
  <c r="AA40" i="6"/>
  <c r="AA39" i="6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C25" i="5"/>
  <c r="AC23" i="5" s="1"/>
  <c r="AC27" i="5"/>
  <c r="AC26" i="5"/>
  <c r="V37" i="5"/>
  <c r="V49" i="5" s="1"/>
  <c r="Y39" i="5"/>
  <c r="V36" i="5"/>
  <c r="AQ30" i="7"/>
  <c r="AQ29" i="7"/>
  <c r="AQ28" i="7"/>
  <c r="AQ26" i="7"/>
  <c r="AQ27" i="7"/>
  <c r="AQ33" i="7"/>
  <c r="AQ25" i="7"/>
  <c r="AQ23" i="7" s="1"/>
  <c r="AQ32" i="7"/>
  <c r="AQ34" i="7"/>
  <c r="AQ31" i="7"/>
  <c r="AM30" i="6"/>
  <c r="AM29" i="6"/>
  <c r="AM31" i="6"/>
  <c r="AM28" i="6"/>
  <c r="AM25" i="6"/>
  <c r="AM27" i="6"/>
  <c r="AM32" i="6"/>
  <c r="AM26" i="6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L37" i="7"/>
  <c r="R36" i="8"/>
  <c r="V38" i="8"/>
  <c r="V43" i="8"/>
  <c r="V42" i="8"/>
  <c r="V46" i="8"/>
  <c r="V47" i="8"/>
  <c r="V45" i="8"/>
  <c r="V44" i="8"/>
  <c r="AE41" i="5"/>
  <c r="AE39" i="5"/>
  <c r="AE37" i="5" s="1"/>
  <c r="AE40" i="5"/>
  <c r="AE42" i="5"/>
  <c r="R37" i="6"/>
  <c r="V39" i="6"/>
  <c r="V46" i="6"/>
  <c r="V45" i="6"/>
  <c r="V43" i="6"/>
  <c r="V44" i="6"/>
  <c r="V48" i="6"/>
  <c r="V47" i="6"/>
  <c r="AK28" i="7"/>
  <c r="AK27" i="7"/>
  <c r="AK30" i="7"/>
  <c r="AK26" i="7"/>
  <c r="AK29" i="7"/>
  <c r="AK31" i="7"/>
  <c r="AK25" i="7"/>
  <c r="AK23" i="7" s="1"/>
  <c r="AG29" i="4"/>
  <c r="AG28" i="4"/>
  <c r="AG27" i="4"/>
  <c r="AG25" i="4"/>
  <c r="AG26" i="4"/>
  <c r="AO33" i="4"/>
  <c r="AO32" i="4"/>
  <c r="AO28" i="4"/>
  <c r="AO27" i="4"/>
  <c r="AO31" i="4"/>
  <c r="AO30" i="4"/>
  <c r="AO29" i="4"/>
  <c r="AO26" i="4"/>
  <c r="AO25" i="4"/>
  <c r="AK44" i="4"/>
  <c r="AK43" i="4"/>
  <c r="AK41" i="4"/>
  <c r="AK40" i="4"/>
  <c r="AK42" i="4"/>
  <c r="AK39" i="4"/>
  <c r="AK45" i="4"/>
  <c r="AA26" i="5"/>
  <c r="AA25" i="5"/>
  <c r="AA23" i="5" s="1"/>
  <c r="AC24" i="8"/>
  <c r="AC22" i="8" s="1"/>
  <c r="AC26" i="8"/>
  <c r="AC25" i="8"/>
  <c r="AM28" i="7"/>
  <c r="AM27" i="7"/>
  <c r="AM25" i="7"/>
  <c r="AM23" i="7" s="1"/>
  <c r="AM26" i="7"/>
  <c r="AM32" i="7"/>
  <c r="AM31" i="7"/>
  <c r="AM29" i="7"/>
  <c r="AM30" i="7"/>
  <c r="AG29" i="5"/>
  <c r="AG27" i="5"/>
  <c r="AG25" i="5"/>
  <c r="AG23" i="5" s="1"/>
  <c r="AG26" i="5"/>
  <c r="AG28" i="5"/>
  <c r="AO33" i="6"/>
  <c r="AO28" i="6"/>
  <c r="AO30" i="6"/>
  <c r="AO32" i="6"/>
  <c r="AO29" i="6"/>
  <c r="AO27" i="6"/>
  <c r="AO31" i="6"/>
  <c r="AO26" i="6"/>
  <c r="AO25" i="6"/>
  <c r="R37" i="7"/>
  <c r="V39" i="7"/>
  <c r="V46" i="7"/>
  <c r="V47" i="7"/>
  <c r="V48" i="7"/>
  <c r="V44" i="7"/>
  <c r="V43" i="7"/>
  <c r="V45" i="7"/>
  <c r="AO26" i="8"/>
  <c r="AO32" i="8"/>
  <c r="AO24" i="8"/>
  <c r="AO22" i="8" s="1"/>
  <c r="AO31" i="8"/>
  <c r="AO25" i="8"/>
  <c r="AO28" i="8"/>
  <c r="AO29" i="8"/>
  <c r="AO30" i="8"/>
  <c r="AO27" i="8"/>
  <c r="AA39" i="11" l="1"/>
  <c r="AA37" i="11" s="1"/>
  <c r="AM40" i="11"/>
  <c r="AM45" i="11"/>
  <c r="AM41" i="11"/>
  <c r="AM43" i="11"/>
  <c r="AM44" i="11"/>
  <c r="AM42" i="11"/>
  <c r="AM39" i="11"/>
  <c r="AM46" i="11"/>
  <c r="AK42" i="11"/>
  <c r="AK40" i="11"/>
  <c r="AK39" i="11"/>
  <c r="AK44" i="11"/>
  <c r="AK45" i="11"/>
  <c r="AK43" i="11"/>
  <c r="AK41" i="11"/>
  <c r="AQ47" i="11"/>
  <c r="AQ40" i="11"/>
  <c r="AQ43" i="11"/>
  <c r="AQ41" i="11"/>
  <c r="AQ45" i="11"/>
  <c r="AQ48" i="11"/>
  <c r="AQ42" i="11"/>
  <c r="AQ44" i="11"/>
  <c r="AQ39" i="11"/>
  <c r="AQ46" i="11"/>
  <c r="Y39" i="11"/>
  <c r="Y37" i="11" s="1"/>
  <c r="V37" i="11"/>
  <c r="V49" i="11" s="1"/>
  <c r="AC40" i="11"/>
  <c r="AC41" i="11"/>
  <c r="AC39" i="11"/>
  <c r="AI40" i="11"/>
  <c r="AI39" i="11"/>
  <c r="AI44" i="11"/>
  <c r="AI41" i="11"/>
  <c r="AI43" i="11"/>
  <c r="AI42" i="11"/>
  <c r="AO44" i="11"/>
  <c r="AO45" i="11"/>
  <c r="AO39" i="11"/>
  <c r="AO43" i="11"/>
  <c r="AO47" i="11"/>
  <c r="AO42" i="11"/>
  <c r="AO46" i="11"/>
  <c r="AO41" i="11"/>
  <c r="AO40" i="11"/>
  <c r="AE39" i="11"/>
  <c r="AE41" i="11"/>
  <c r="AE42" i="11"/>
  <c r="AE40" i="11"/>
  <c r="AG43" i="11"/>
  <c r="AG41" i="11"/>
  <c r="AG42" i="11"/>
  <c r="AG39" i="11"/>
  <c r="AG40" i="11"/>
  <c r="AJ18" i="11"/>
  <c r="L41" i="11" s="1"/>
  <c r="AI18" i="11"/>
  <c r="L40" i="11" s="1"/>
  <c r="H29" i="11"/>
  <c r="H31" i="11"/>
  <c r="H34" i="11"/>
  <c r="H35" i="11"/>
  <c r="H33" i="11"/>
  <c r="H28" i="11"/>
  <c r="L39" i="11"/>
  <c r="L23" i="11"/>
  <c r="H30" i="11"/>
  <c r="AA37" i="10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G23" i="4"/>
  <c r="AO23" i="4"/>
  <c r="AC37" i="4"/>
  <c r="V20" i="4"/>
  <c r="L28" i="4" s="1"/>
  <c r="L23" i="4" s="1"/>
  <c r="AF20" i="4"/>
  <c r="L42" i="4" s="1"/>
  <c r="L37" i="4" s="1"/>
  <c r="J27" i="8"/>
  <c r="AI40" i="7"/>
  <c r="AI42" i="7"/>
  <c r="AI41" i="7"/>
  <c r="AI43" i="7"/>
  <c r="AI39" i="7"/>
  <c r="AI37" i="7" s="1"/>
  <c r="AI44" i="7"/>
  <c r="AM39" i="7"/>
  <c r="AM37" i="7" s="1"/>
  <c r="AM43" i="7"/>
  <c r="AM46" i="7"/>
  <c r="AM42" i="7"/>
  <c r="AM45" i="7"/>
  <c r="AM44" i="7"/>
  <c r="AM40" i="7"/>
  <c r="AM41" i="7"/>
  <c r="AM39" i="8"/>
  <c r="AM42" i="8"/>
  <c r="AM45" i="8"/>
  <c r="AM44" i="8"/>
  <c r="AM38" i="8"/>
  <c r="AM36" i="8" s="1"/>
  <c r="AM41" i="8"/>
  <c r="AM43" i="8"/>
  <c r="AM40" i="8"/>
  <c r="L23" i="6"/>
  <c r="Y23" i="4"/>
  <c r="AO42" i="6"/>
  <c r="AO40" i="6"/>
  <c r="AO41" i="6"/>
  <c r="AO43" i="6"/>
  <c r="AO39" i="6"/>
  <c r="AO46" i="6"/>
  <c r="AO47" i="6"/>
  <c r="AO45" i="6"/>
  <c r="AO44" i="6"/>
  <c r="AG40" i="7"/>
  <c r="AG39" i="7"/>
  <c r="AG37" i="7" s="1"/>
  <c r="AG42" i="7"/>
  <c r="AG43" i="7"/>
  <c r="AG41" i="7"/>
  <c r="J29" i="5"/>
  <c r="AI43" i="6"/>
  <c r="AI42" i="6"/>
  <c r="AI40" i="6"/>
  <c r="AI41" i="6"/>
  <c r="AI39" i="6"/>
  <c r="AI44" i="6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J30" i="7"/>
  <c r="AS28" i="7"/>
  <c r="J28" i="7" s="1"/>
  <c r="H28" i="7" s="1"/>
  <c r="AS30" i="7"/>
  <c r="AS35" i="7"/>
  <c r="J35" i="7" s="1"/>
  <c r="AS27" i="7"/>
  <c r="AS32" i="7"/>
  <c r="J32" i="7" s="1"/>
  <c r="H32" i="7" s="1"/>
  <c r="AS34" i="7"/>
  <c r="J34" i="7" s="1"/>
  <c r="H34" i="7" s="1"/>
  <c r="AS25" i="7"/>
  <c r="AS23" i="7" s="1"/>
  <c r="AS33" i="7"/>
  <c r="J33" i="7" s="1"/>
  <c r="AS31" i="7"/>
  <c r="J31" i="7" s="1"/>
  <c r="H31" i="7" s="1"/>
  <c r="AS26" i="7"/>
  <c r="J26" i="7" s="1"/>
  <c r="AS29" i="7"/>
  <c r="AA37" i="4"/>
  <c r="AO23" i="6"/>
  <c r="J33" i="6"/>
  <c r="AK37" i="4"/>
  <c r="AK43" i="6"/>
  <c r="AK39" i="6"/>
  <c r="AK42" i="6"/>
  <c r="AK45" i="6"/>
  <c r="AK40" i="6"/>
  <c r="AK41" i="6"/>
  <c r="AK44" i="6"/>
  <c r="V36" i="8"/>
  <c r="V48" i="8" s="1"/>
  <c r="Y38" i="8"/>
  <c r="V35" i="8"/>
  <c r="AI23" i="6"/>
  <c r="J34" i="5"/>
  <c r="L37" i="6"/>
  <c r="J31" i="8"/>
  <c r="J25" i="7"/>
  <c r="Y23" i="7"/>
  <c r="AS22" i="7" s="1"/>
  <c r="J29" i="6"/>
  <c r="AM37" i="4"/>
  <c r="AG42" i="6"/>
  <c r="AG41" i="6"/>
  <c r="AG40" i="6"/>
  <c r="AG43" i="6"/>
  <c r="AG39" i="6"/>
  <c r="AG37" i="6" s="1"/>
  <c r="AI38" i="8"/>
  <c r="AI36" i="8" s="1"/>
  <c r="AI41" i="8"/>
  <c r="AI43" i="8"/>
  <c r="AI40" i="8"/>
  <c r="AI39" i="8"/>
  <c r="AI42" i="8"/>
  <c r="AS42" i="4"/>
  <c r="J42" i="4" s="1"/>
  <c r="AS46" i="4"/>
  <c r="J46" i="4" s="1"/>
  <c r="AS41" i="4"/>
  <c r="J41" i="4" s="1"/>
  <c r="AS44" i="4"/>
  <c r="J44" i="4" s="1"/>
  <c r="AS48" i="4"/>
  <c r="J48" i="4" s="1"/>
  <c r="AS47" i="4"/>
  <c r="AS43" i="4"/>
  <c r="AS39" i="4"/>
  <c r="J39" i="4" s="1"/>
  <c r="AS45" i="4"/>
  <c r="J45" i="4" s="1"/>
  <c r="AS40" i="4"/>
  <c r="J40" i="4" s="1"/>
  <c r="AS49" i="4"/>
  <c r="J49" i="4" s="1"/>
  <c r="J47" i="4"/>
  <c r="AG37" i="4"/>
  <c r="AQ41" i="7"/>
  <c r="AQ43" i="7"/>
  <c r="AQ46" i="7"/>
  <c r="AQ40" i="7"/>
  <c r="AQ39" i="7"/>
  <c r="AQ37" i="7" s="1"/>
  <c r="AQ44" i="7"/>
  <c r="AQ47" i="7"/>
  <c r="AQ48" i="7"/>
  <c r="AQ42" i="7"/>
  <c r="AQ45" i="7"/>
  <c r="AO42" i="7"/>
  <c r="AO41" i="7"/>
  <c r="AO46" i="7"/>
  <c r="AO43" i="7"/>
  <c r="AO45" i="7"/>
  <c r="AO44" i="7"/>
  <c r="AO39" i="7"/>
  <c r="AO37" i="7" s="1"/>
  <c r="AO47" i="7"/>
  <c r="AO40" i="7"/>
  <c r="AM43" i="6"/>
  <c r="AM40" i="6"/>
  <c r="AM41" i="6"/>
  <c r="AM45" i="6"/>
  <c r="AM39" i="6"/>
  <c r="AM44" i="6"/>
  <c r="AM42" i="6"/>
  <c r="AM46" i="6"/>
  <c r="AK38" i="8"/>
  <c r="AK36" i="8" s="1"/>
  <c r="AK41" i="8"/>
  <c r="AK40" i="8"/>
  <c r="AK42" i="8"/>
  <c r="AK44" i="8"/>
  <c r="AK43" i="8"/>
  <c r="AK39" i="8"/>
  <c r="AQ23" i="4"/>
  <c r="AA37" i="6"/>
  <c r="Y23" i="6"/>
  <c r="J32" i="4"/>
  <c r="AQ23" i="6"/>
  <c r="AO37" i="4"/>
  <c r="AQ37" i="4"/>
  <c r="J30" i="8"/>
  <c r="J47" i="5"/>
  <c r="Y39" i="6"/>
  <c r="V37" i="6"/>
  <c r="V49" i="6" s="1"/>
  <c r="V36" i="6" s="1"/>
  <c r="J29" i="7"/>
  <c r="AC41" i="6"/>
  <c r="AC40" i="6"/>
  <c r="AC39" i="6"/>
  <c r="V36" i="7"/>
  <c r="V37" i="7"/>
  <c r="V49" i="7" s="1"/>
  <c r="Y39" i="7"/>
  <c r="AS44" i="5"/>
  <c r="J44" i="5" s="1"/>
  <c r="AS42" i="5"/>
  <c r="J42" i="5" s="1"/>
  <c r="H42" i="5" s="1"/>
  <c r="AS43" i="5"/>
  <c r="AS46" i="5"/>
  <c r="J46" i="5" s="1"/>
  <c r="AS41" i="5"/>
  <c r="J41" i="5" s="1"/>
  <c r="AS40" i="5"/>
  <c r="J40" i="5" s="1"/>
  <c r="H40" i="5" s="1"/>
  <c r="AS47" i="5"/>
  <c r="AS48" i="5"/>
  <c r="J48" i="5" s="1"/>
  <c r="AS39" i="5"/>
  <c r="AS37" i="5" s="1"/>
  <c r="AS45" i="5"/>
  <c r="J45" i="5" s="1"/>
  <c r="AS49" i="5"/>
  <c r="J49" i="5" s="1"/>
  <c r="J33" i="8"/>
  <c r="AS31" i="6"/>
  <c r="J31" i="6" s="1"/>
  <c r="H31" i="6" s="1"/>
  <c r="AS33" i="6"/>
  <c r="AS30" i="6"/>
  <c r="J30" i="6" s="1"/>
  <c r="AS29" i="6"/>
  <c r="AS28" i="6"/>
  <c r="J28" i="6" s="1"/>
  <c r="AS26" i="6"/>
  <c r="J26" i="6" s="1"/>
  <c r="AS25" i="6"/>
  <c r="AS34" i="6"/>
  <c r="AS35" i="6"/>
  <c r="J35" i="6" s="1"/>
  <c r="AS32" i="6"/>
  <c r="J32" i="6" s="1"/>
  <c r="H32" i="6" s="1"/>
  <c r="AS27" i="6"/>
  <c r="AS29" i="5"/>
  <c r="AS33" i="5"/>
  <c r="J33" i="5" s="1"/>
  <c r="AS26" i="5"/>
  <c r="AS28" i="5"/>
  <c r="J28" i="5" s="1"/>
  <c r="AS35" i="5"/>
  <c r="J35" i="5" s="1"/>
  <c r="AS30" i="5"/>
  <c r="J30" i="5" s="1"/>
  <c r="AS27" i="5"/>
  <c r="J27" i="5" s="1"/>
  <c r="AS31" i="5"/>
  <c r="AS34" i="5"/>
  <c r="AS25" i="5"/>
  <c r="AS23" i="5" s="1"/>
  <c r="AS32" i="5"/>
  <c r="J32" i="5" s="1"/>
  <c r="H32" i="5" s="1"/>
  <c r="J43" i="5"/>
  <c r="AS33" i="8"/>
  <c r="AS27" i="8"/>
  <c r="AS32" i="8"/>
  <c r="J32" i="8" s="1"/>
  <c r="AS31" i="8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K23" i="6"/>
  <c r="J33" i="4"/>
  <c r="AG39" i="8"/>
  <c r="AG41" i="8"/>
  <c r="AG42" i="8"/>
  <c r="AG40" i="8"/>
  <c r="AG38" i="8"/>
  <c r="AG36" i="8" s="1"/>
  <c r="J31" i="5"/>
  <c r="J26" i="5"/>
  <c r="J39" i="5"/>
  <c r="Y37" i="5"/>
  <c r="AS36" i="5" s="1"/>
  <c r="J27" i="7"/>
  <c r="H27" i="7" s="1"/>
  <c r="AK41" i="7"/>
  <c r="AK42" i="7"/>
  <c r="AK45" i="7"/>
  <c r="AK40" i="7"/>
  <c r="AK43" i="7"/>
  <c r="AK44" i="7"/>
  <c r="AK39" i="7"/>
  <c r="AK37" i="7" s="1"/>
  <c r="AQ41" i="6"/>
  <c r="AQ40" i="6"/>
  <c r="AQ39" i="6"/>
  <c r="AQ37" i="6" s="1"/>
  <c r="AQ43" i="6"/>
  <c r="AQ46" i="6"/>
  <c r="AQ47" i="6"/>
  <c r="AQ48" i="6"/>
  <c r="AQ44" i="6"/>
  <c r="AQ42" i="6"/>
  <c r="AQ45" i="6"/>
  <c r="AQ45" i="8"/>
  <c r="AQ46" i="8"/>
  <c r="AQ44" i="8"/>
  <c r="AQ38" i="8"/>
  <c r="AQ36" i="8" s="1"/>
  <c r="AQ39" i="8"/>
  <c r="AQ47" i="8"/>
  <c r="AQ42" i="8"/>
  <c r="AQ43" i="8"/>
  <c r="AQ41" i="8"/>
  <c r="AQ40" i="8"/>
  <c r="AM23" i="6"/>
  <c r="AI37" i="4"/>
  <c r="Y23" i="5"/>
  <c r="J34" i="6"/>
  <c r="AS31" i="4"/>
  <c r="J31" i="4" s="1"/>
  <c r="AS35" i="4"/>
  <c r="J35" i="4" s="1"/>
  <c r="AS30" i="4"/>
  <c r="J30" i="4" s="1"/>
  <c r="AS32" i="4"/>
  <c r="AS29" i="4"/>
  <c r="J29" i="4" s="1"/>
  <c r="AS28" i="4"/>
  <c r="J28" i="4" s="1"/>
  <c r="AS27" i="4"/>
  <c r="J27" i="4" s="1"/>
  <c r="AS26" i="4"/>
  <c r="J26" i="4" s="1"/>
  <c r="AS25" i="4"/>
  <c r="J25" i="4" s="1"/>
  <c r="AS34" i="4"/>
  <c r="J34" i="4" s="1"/>
  <c r="AS33" i="4"/>
  <c r="AG23" i="6"/>
  <c r="AK23" i="4"/>
  <c r="J27" i="6"/>
  <c r="AE37" i="6"/>
  <c r="AO37" i="11" l="1"/>
  <c r="AM37" i="11"/>
  <c r="AG37" i="11"/>
  <c r="AC37" i="11"/>
  <c r="AS45" i="11"/>
  <c r="J45" i="11" s="1"/>
  <c r="AS43" i="11"/>
  <c r="J43" i="11" s="1"/>
  <c r="AS42" i="11"/>
  <c r="J42" i="11" s="1"/>
  <c r="AS40" i="11"/>
  <c r="J40" i="11" s="1"/>
  <c r="AS47" i="11"/>
  <c r="J47" i="11" s="1"/>
  <c r="AS39" i="11"/>
  <c r="AS44" i="11"/>
  <c r="J44" i="11" s="1"/>
  <c r="AS49" i="11"/>
  <c r="J49" i="11" s="1"/>
  <c r="AS48" i="11"/>
  <c r="J48" i="11" s="1"/>
  <c r="AS41" i="11"/>
  <c r="J41" i="11" s="1"/>
  <c r="AS46" i="11"/>
  <c r="J46" i="11" s="1"/>
  <c r="AK37" i="11"/>
  <c r="AE37" i="11"/>
  <c r="AI37" i="11"/>
  <c r="AQ37" i="11"/>
  <c r="V36" i="11"/>
  <c r="AK18" i="11"/>
  <c r="L42" i="11" s="1"/>
  <c r="H23" i="11"/>
  <c r="J37" i="10"/>
  <c r="AS37" i="10"/>
  <c r="AS36" i="10" s="1"/>
  <c r="H41" i="4"/>
  <c r="H26" i="4"/>
  <c r="H40" i="4"/>
  <c r="H30" i="4"/>
  <c r="H34" i="4"/>
  <c r="H48" i="4"/>
  <c r="H28" i="5"/>
  <c r="J37" i="4"/>
  <c r="H39" i="4"/>
  <c r="BR25" i="5"/>
  <c r="BJ56" i="5"/>
  <c r="BR26" i="5"/>
  <c r="BR27" i="5"/>
  <c r="BJ55" i="5"/>
  <c r="H41" i="5"/>
  <c r="H29" i="8"/>
  <c r="H46" i="5"/>
  <c r="BN11" i="5" s="1"/>
  <c r="H27" i="5"/>
  <c r="H45" i="5"/>
  <c r="BR30" i="5" s="1"/>
  <c r="H27" i="4"/>
  <c r="H28" i="4"/>
  <c r="H33" i="5"/>
  <c r="H29" i="4"/>
  <c r="H27" i="6"/>
  <c r="H30" i="6"/>
  <c r="H44" i="4"/>
  <c r="J41" i="7"/>
  <c r="H30" i="5"/>
  <c r="H44" i="5"/>
  <c r="BR29" i="5" s="1"/>
  <c r="H31" i="4"/>
  <c r="H28" i="8"/>
  <c r="H32" i="8"/>
  <c r="H48" i="5"/>
  <c r="H45" i="4"/>
  <c r="J42" i="6"/>
  <c r="H33" i="7"/>
  <c r="H33" i="8"/>
  <c r="H32" i="4"/>
  <c r="H42" i="4"/>
  <c r="H31" i="8"/>
  <c r="J45" i="6"/>
  <c r="J25" i="5"/>
  <c r="H34" i="8"/>
  <c r="AS23" i="6"/>
  <c r="AC37" i="6"/>
  <c r="AM37" i="6"/>
  <c r="Y36" i="8"/>
  <c r="H26" i="7"/>
  <c r="J24" i="8"/>
  <c r="H25" i="8" s="1"/>
  <c r="AI37" i="6"/>
  <c r="H33" i="6"/>
  <c r="H29" i="5"/>
  <c r="H43" i="4"/>
  <c r="Y37" i="6"/>
  <c r="J39" i="6"/>
  <c r="H47" i="5"/>
  <c r="BJ54" i="5" s="1"/>
  <c r="AS37" i="4"/>
  <c r="Y37" i="7"/>
  <c r="J23" i="7"/>
  <c r="H25" i="7"/>
  <c r="H26" i="5"/>
  <c r="H47" i="4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H44" i="8" s="1"/>
  <c r="AS47" i="8"/>
  <c r="AS46" i="8"/>
  <c r="J46" i="8" s="1"/>
  <c r="AS38" i="8"/>
  <c r="AS36" i="8" s="1"/>
  <c r="AS41" i="8"/>
  <c r="J41" i="8" s="1"/>
  <c r="AS42" i="8"/>
  <c r="J23" i="4"/>
  <c r="H31" i="5"/>
  <c r="H35" i="4"/>
  <c r="H34" i="6"/>
  <c r="J47" i="8"/>
  <c r="J45" i="7"/>
  <c r="H49" i="5"/>
  <c r="AS41" i="7"/>
  <c r="AS44" i="7"/>
  <c r="J44" i="7" s="1"/>
  <c r="AS40" i="7"/>
  <c r="J40" i="7" s="1"/>
  <c r="AS48" i="7"/>
  <c r="AS47" i="7"/>
  <c r="J47" i="7" s="1"/>
  <c r="H47" i="7" s="1"/>
  <c r="AS39" i="7"/>
  <c r="AS37" i="7" s="1"/>
  <c r="AS45" i="7"/>
  <c r="AS46" i="7"/>
  <c r="AS42" i="7"/>
  <c r="J42" i="7" s="1"/>
  <c r="AS43" i="7"/>
  <c r="J43" i="7" s="1"/>
  <c r="AS49" i="7"/>
  <c r="J49" i="7" s="1"/>
  <c r="H29" i="7"/>
  <c r="J25" i="6"/>
  <c r="H28" i="6" s="1"/>
  <c r="AO37" i="6"/>
  <c r="J46" i="7"/>
  <c r="AS44" i="6"/>
  <c r="J44" i="6" s="1"/>
  <c r="AS41" i="6"/>
  <c r="J41" i="6" s="1"/>
  <c r="H41" i="6" s="1"/>
  <c r="AS42" i="6"/>
  <c r="AS40" i="6"/>
  <c r="J40" i="6" s="1"/>
  <c r="H40" i="6" s="1"/>
  <c r="AS47" i="6"/>
  <c r="J47" i="6" s="1"/>
  <c r="AS48" i="6"/>
  <c r="J48" i="6" s="1"/>
  <c r="H48" i="6" s="1"/>
  <c r="AS45" i="6"/>
  <c r="AS39" i="6"/>
  <c r="AS46" i="6"/>
  <c r="J46" i="6" s="1"/>
  <c r="H46" i="6" s="1"/>
  <c r="AS49" i="6"/>
  <c r="J49" i="6" s="1"/>
  <c r="AS43" i="6"/>
  <c r="J43" i="6" s="1"/>
  <c r="H29" i="6"/>
  <c r="J42" i="8"/>
  <c r="H43" i="5"/>
  <c r="BR28" i="5" s="1"/>
  <c r="H35" i="6"/>
  <c r="H30" i="8"/>
  <c r="H33" i="4"/>
  <c r="H34" i="5"/>
  <c r="AS36" i="4"/>
  <c r="AS23" i="4"/>
  <c r="AS22" i="4" s="1"/>
  <c r="AS22" i="6"/>
  <c r="J48" i="7"/>
  <c r="AS22" i="5"/>
  <c r="J37" i="5"/>
  <c r="H39" i="5"/>
  <c r="H37" i="5" s="1"/>
  <c r="H35" i="5"/>
  <c r="BN14" i="5" s="1"/>
  <c r="H25" i="4"/>
  <c r="H46" i="4"/>
  <c r="H49" i="4"/>
  <c r="AK37" i="6"/>
  <c r="H35" i="7"/>
  <c r="H30" i="7"/>
  <c r="AS21" i="8"/>
  <c r="J39" i="11" l="1"/>
  <c r="H41" i="11" s="1"/>
  <c r="AS37" i="11"/>
  <c r="AS36" i="11" s="1"/>
  <c r="H45" i="11"/>
  <c r="BS45" i="11" s="1"/>
  <c r="H47" i="11"/>
  <c r="BS47" i="11" s="1"/>
  <c r="L37" i="11"/>
  <c r="H49" i="11"/>
  <c r="BO14" i="11" s="1"/>
  <c r="H46" i="11"/>
  <c r="BK34" i="11" s="1"/>
  <c r="H43" i="11"/>
  <c r="BS35" i="11" s="1"/>
  <c r="H44" i="11"/>
  <c r="BK17" i="11" s="1"/>
  <c r="H48" i="11"/>
  <c r="BK47" i="11" s="1"/>
  <c r="BR15" i="4"/>
  <c r="BJ14" i="4"/>
  <c r="BJ22" i="4"/>
  <c r="BJ21" i="4"/>
  <c r="BR41" i="4"/>
  <c r="BJ18" i="4"/>
  <c r="BJ20" i="4"/>
  <c r="BJ19" i="4"/>
  <c r="BJ17" i="4"/>
  <c r="BN5" i="4"/>
  <c r="BN13" i="4"/>
  <c r="BN9" i="4"/>
  <c r="BR16" i="4"/>
  <c r="BR17" i="4"/>
  <c r="BR18" i="4"/>
  <c r="BJ47" i="4"/>
  <c r="BR40" i="4"/>
  <c r="BR14" i="4"/>
  <c r="BR46" i="4"/>
  <c r="BR42" i="4"/>
  <c r="BJ46" i="4"/>
  <c r="BJ48" i="4"/>
  <c r="BR4" i="4"/>
  <c r="BJ15" i="4"/>
  <c r="BR39" i="4"/>
  <c r="BR43" i="4"/>
  <c r="BJ16" i="4"/>
  <c r="BJ52" i="6"/>
  <c r="BJ55" i="6"/>
  <c r="H41" i="8"/>
  <c r="BR21" i="8" s="1"/>
  <c r="BJ22" i="8"/>
  <c r="BJ18" i="8"/>
  <c r="BJ19" i="8"/>
  <c r="BJ17" i="8"/>
  <c r="H43" i="6"/>
  <c r="BJ31" i="6" s="1"/>
  <c r="H44" i="6"/>
  <c r="H45" i="8"/>
  <c r="BJ33" i="6"/>
  <c r="BJ36" i="6"/>
  <c r="BJ34" i="6"/>
  <c r="BJ32" i="6"/>
  <c r="BR8" i="6"/>
  <c r="BR9" i="6"/>
  <c r="H43" i="8"/>
  <c r="BR20" i="6"/>
  <c r="BR26" i="6"/>
  <c r="BN11" i="6"/>
  <c r="BJ50" i="6"/>
  <c r="BJ51" i="7"/>
  <c r="BR47" i="7"/>
  <c r="BJ54" i="7"/>
  <c r="BJ28" i="7"/>
  <c r="BJ35" i="7"/>
  <c r="H47" i="6"/>
  <c r="BR19" i="6"/>
  <c r="BR25" i="6"/>
  <c r="H43" i="7"/>
  <c r="H44" i="7"/>
  <c r="H46" i="8"/>
  <c r="BJ20" i="8" s="1"/>
  <c r="H49" i="6"/>
  <c r="BJ37" i="6" s="1"/>
  <c r="BR36" i="8"/>
  <c r="BR35" i="8"/>
  <c r="BJ57" i="8"/>
  <c r="BR38" i="8"/>
  <c r="BR37" i="8"/>
  <c r="BR34" i="8"/>
  <c r="BJ29" i="5"/>
  <c r="BJ28" i="5"/>
  <c r="BJ27" i="5"/>
  <c r="BJ24" i="5"/>
  <c r="BJ30" i="5"/>
  <c r="BJ25" i="5"/>
  <c r="BJ23" i="5"/>
  <c r="BJ26" i="5"/>
  <c r="BR6" i="5"/>
  <c r="BR5" i="5"/>
  <c r="BN6" i="5"/>
  <c r="BJ38" i="6"/>
  <c r="BJ42" i="6"/>
  <c r="BJ41" i="6"/>
  <c r="BJ39" i="6"/>
  <c r="BJ43" i="6"/>
  <c r="BJ40" i="6"/>
  <c r="BR12" i="6"/>
  <c r="BR11" i="6"/>
  <c r="BJ55" i="8"/>
  <c r="BR30" i="8"/>
  <c r="BR27" i="8"/>
  <c r="BR29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H48" i="7"/>
  <c r="BR23" i="8"/>
  <c r="BJ50" i="8"/>
  <c r="BN10" i="8"/>
  <c r="BJ52" i="8"/>
  <c r="H46" i="7"/>
  <c r="BN14" i="4"/>
  <c r="AS35" i="8"/>
  <c r="BJ59" i="4"/>
  <c r="H26" i="8"/>
  <c r="BJ45" i="4"/>
  <c r="BJ45" i="7"/>
  <c r="BJ46" i="7"/>
  <c r="BJ47" i="7"/>
  <c r="BN9" i="7"/>
  <c r="BR18" i="7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BJ21" i="7"/>
  <c r="BJ19" i="7"/>
  <c r="BJ17" i="7"/>
  <c r="BJ16" i="7"/>
  <c r="BJ20" i="7"/>
  <c r="BJ18" i="7"/>
  <c r="BN14" i="6"/>
  <c r="J23" i="6"/>
  <c r="H25" i="6"/>
  <c r="H27" i="8"/>
  <c r="J38" i="8"/>
  <c r="H39" i="8" s="1"/>
  <c r="BN14" i="8"/>
  <c r="BR35" i="7"/>
  <c r="BJ57" i="7"/>
  <c r="BR37" i="7"/>
  <c r="BR36" i="7"/>
  <c r="BR38" i="7"/>
  <c r="BN12" i="7"/>
  <c r="BR35" i="4"/>
  <c r="BJ57" i="4"/>
  <c r="BJ58" i="4"/>
  <c r="BR38" i="4"/>
  <c r="BR34" i="4"/>
  <c r="BR37" i="4"/>
  <c r="BR36" i="4"/>
  <c r="BN12" i="4"/>
  <c r="BR33" i="4"/>
  <c r="BR31" i="4"/>
  <c r="BR32" i="4"/>
  <c r="BJ42" i="5"/>
  <c r="BJ41" i="5"/>
  <c r="BJ40" i="5"/>
  <c r="BJ43" i="5"/>
  <c r="BJ38" i="5"/>
  <c r="BR13" i="5"/>
  <c r="BR12" i="5"/>
  <c r="BJ39" i="5"/>
  <c r="BR10" i="5"/>
  <c r="BN8" i="5"/>
  <c r="BR11" i="5"/>
  <c r="H42" i="6"/>
  <c r="BN7" i="6" s="1"/>
  <c r="BJ45" i="5"/>
  <c r="BJ44" i="5"/>
  <c r="BJ48" i="5"/>
  <c r="BJ46" i="5"/>
  <c r="BR16" i="5"/>
  <c r="BR17" i="5"/>
  <c r="BR15" i="5"/>
  <c r="BR14" i="5"/>
  <c r="BJ47" i="5"/>
  <c r="BR18" i="5"/>
  <c r="BN9" i="5"/>
  <c r="BJ48" i="6"/>
  <c r="BJ46" i="6"/>
  <c r="BJ47" i="6"/>
  <c r="BR14" i="6"/>
  <c r="BJ45" i="6"/>
  <c r="BR15" i="6"/>
  <c r="BR18" i="6"/>
  <c r="BR16" i="6"/>
  <c r="BN9" i="6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AS36" i="7"/>
  <c r="BJ58" i="6"/>
  <c r="BJ57" i="6"/>
  <c r="BR38" i="6"/>
  <c r="BR33" i="6"/>
  <c r="BN12" i="6"/>
  <c r="BR36" i="6"/>
  <c r="BR32" i="6"/>
  <c r="BR31" i="6"/>
  <c r="J23" i="5"/>
  <c r="H25" i="5"/>
  <c r="BR47" i="4"/>
  <c r="BJ33" i="4"/>
  <c r="BN7" i="4"/>
  <c r="BJ35" i="4"/>
  <c r="BJ34" i="4"/>
  <c r="BJ37" i="4"/>
  <c r="BR9" i="4"/>
  <c r="BR8" i="4"/>
  <c r="BJ32" i="4"/>
  <c r="BJ31" i="4"/>
  <c r="BJ36" i="4"/>
  <c r="BR7" i="4"/>
  <c r="H45" i="7"/>
  <c r="J22" i="8"/>
  <c r="H24" i="8"/>
  <c r="BJ30" i="6"/>
  <c r="BJ25" i="6"/>
  <c r="BJ26" i="6"/>
  <c r="BJ29" i="6"/>
  <c r="BJ28" i="6"/>
  <c r="BJ27" i="6"/>
  <c r="BN6" i="6"/>
  <c r="BJ23" i="6"/>
  <c r="BR6" i="6"/>
  <c r="BR5" i="6"/>
  <c r="J39" i="7"/>
  <c r="H40" i="7" s="1"/>
  <c r="J37" i="6"/>
  <c r="H39" i="6"/>
  <c r="BR7" i="6" s="1"/>
  <c r="BR35" i="5"/>
  <c r="BR33" i="5"/>
  <c r="BJ57" i="5"/>
  <c r="BR37" i="5"/>
  <c r="BR36" i="5"/>
  <c r="BR34" i="5"/>
  <c r="BJ58" i="5"/>
  <c r="BR32" i="5"/>
  <c r="BR31" i="5"/>
  <c r="BR38" i="5"/>
  <c r="BN12" i="5"/>
  <c r="BJ44" i="8"/>
  <c r="BR18" i="8"/>
  <c r="BJ45" i="8"/>
  <c r="BJ48" i="8"/>
  <c r="BN9" i="8"/>
  <c r="BJ32" i="5"/>
  <c r="BJ31" i="5"/>
  <c r="BJ35" i="5"/>
  <c r="BJ33" i="5"/>
  <c r="BJ37" i="5"/>
  <c r="BJ36" i="5"/>
  <c r="BJ34" i="5"/>
  <c r="BR8" i="5"/>
  <c r="BR9" i="5"/>
  <c r="BN7" i="5"/>
  <c r="BR7" i="5"/>
  <c r="BJ8" i="4"/>
  <c r="H23" i="4"/>
  <c r="BJ12" i="4"/>
  <c r="BJ13" i="4"/>
  <c r="BJ7" i="4"/>
  <c r="BJ11" i="4"/>
  <c r="BJ6" i="4"/>
  <c r="BN4" i="4"/>
  <c r="BJ9" i="4"/>
  <c r="BJ10" i="4"/>
  <c r="BJ5" i="4"/>
  <c r="BJ4" i="4"/>
  <c r="BJ38" i="7"/>
  <c r="BJ42" i="7"/>
  <c r="BJ41" i="7"/>
  <c r="BJ39" i="7"/>
  <c r="BN8" i="7"/>
  <c r="BJ40" i="7"/>
  <c r="BR45" i="4"/>
  <c r="BR24" i="5"/>
  <c r="H49" i="7"/>
  <c r="H45" i="6"/>
  <c r="BR37" i="6" s="1"/>
  <c r="H47" i="8"/>
  <c r="BJ47" i="8" s="1"/>
  <c r="BJ40" i="8"/>
  <c r="BJ39" i="8"/>
  <c r="BJ38" i="8"/>
  <c r="BJ42" i="8"/>
  <c r="BN8" i="8"/>
  <c r="BR46" i="5"/>
  <c r="BR42" i="5"/>
  <c r="BR41" i="5"/>
  <c r="BR40" i="5"/>
  <c r="BR43" i="5"/>
  <c r="BR47" i="5"/>
  <c r="BR39" i="5"/>
  <c r="BN13" i="5"/>
  <c r="BR44" i="5"/>
  <c r="BR45" i="5"/>
  <c r="BJ59" i="5"/>
  <c r="AS37" i="6"/>
  <c r="AS36" i="6" s="1"/>
  <c r="BR45" i="6"/>
  <c r="BR44" i="6"/>
  <c r="BR40" i="6"/>
  <c r="BJ59" i="6"/>
  <c r="BR42" i="6"/>
  <c r="BR46" i="6"/>
  <c r="BR41" i="6"/>
  <c r="BN13" i="6"/>
  <c r="BR39" i="6"/>
  <c r="BR47" i="6"/>
  <c r="BJ53" i="5"/>
  <c r="BJ49" i="5"/>
  <c r="BJ52" i="5"/>
  <c r="BR20" i="5"/>
  <c r="BJ50" i="5"/>
  <c r="BR21" i="5"/>
  <c r="BR19" i="5"/>
  <c r="BR22" i="5"/>
  <c r="BJ51" i="5"/>
  <c r="BN10" i="5"/>
  <c r="BR23" i="5"/>
  <c r="BJ21" i="5"/>
  <c r="BJ19" i="5"/>
  <c r="BJ17" i="5"/>
  <c r="BJ22" i="5"/>
  <c r="BJ18" i="5"/>
  <c r="BJ14" i="5"/>
  <c r="BR4" i="5"/>
  <c r="B39" i="5" s="1"/>
  <c r="BJ15" i="5"/>
  <c r="BN5" i="5"/>
  <c r="BJ16" i="5"/>
  <c r="BJ20" i="5"/>
  <c r="BJ9" i="7"/>
  <c r="BJ8" i="7"/>
  <c r="BJ11" i="7"/>
  <c r="BJ12" i="7"/>
  <c r="BJ10" i="7"/>
  <c r="H23" i="7"/>
  <c r="BJ7" i="7"/>
  <c r="BJ59" i="8"/>
  <c r="BR45" i="8"/>
  <c r="BR43" i="8"/>
  <c r="BR46" i="8"/>
  <c r="BR42" i="8"/>
  <c r="BR47" i="8"/>
  <c r="BR44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H26" i="6"/>
  <c r="BJ44" i="4"/>
  <c r="H37" i="4"/>
  <c r="BK44" i="11" l="1"/>
  <c r="BS30" i="11"/>
  <c r="BO10" i="11"/>
  <c r="BK9" i="11"/>
  <c r="BK18" i="11"/>
  <c r="BK33" i="11"/>
  <c r="BS37" i="11"/>
  <c r="BK39" i="11"/>
  <c r="BK26" i="11"/>
  <c r="BS9" i="11"/>
  <c r="BK5" i="11"/>
  <c r="BS16" i="11"/>
  <c r="BS41" i="11"/>
  <c r="BK14" i="11"/>
  <c r="BO6" i="11"/>
  <c r="BS26" i="11"/>
  <c r="BS20" i="11"/>
  <c r="BS33" i="11"/>
  <c r="BS12" i="11"/>
  <c r="H42" i="11"/>
  <c r="BS34" i="11" s="1"/>
  <c r="J37" i="11"/>
  <c r="H39" i="11"/>
  <c r="H40" i="11"/>
  <c r="BO12" i="11"/>
  <c r="BK41" i="11"/>
  <c r="BK28" i="11"/>
  <c r="BK46" i="11"/>
  <c r="BK37" i="11"/>
  <c r="BK58" i="11"/>
  <c r="BO13" i="11"/>
  <c r="BK55" i="11"/>
  <c r="BK57" i="11"/>
  <c r="BK30" i="11"/>
  <c r="BK42" i="11"/>
  <c r="BK29" i="11"/>
  <c r="BK59" i="11"/>
  <c r="BK24" i="11"/>
  <c r="BS22" i="11"/>
  <c r="BK53" i="11"/>
  <c r="BK45" i="11"/>
  <c r="BS46" i="11"/>
  <c r="BK48" i="11"/>
  <c r="BK20" i="11"/>
  <c r="BK13" i="11"/>
  <c r="BK21" i="11"/>
  <c r="BK50" i="11"/>
  <c r="BK51" i="11"/>
  <c r="BK54" i="11"/>
  <c r="BK43" i="11"/>
  <c r="BK52" i="11"/>
  <c r="BK10" i="11"/>
  <c r="BK40" i="11"/>
  <c r="BK11" i="11"/>
  <c r="BS38" i="11"/>
  <c r="BO11" i="11"/>
  <c r="BK56" i="11"/>
  <c r="BK36" i="11"/>
  <c r="BK16" i="11"/>
  <c r="BK19" i="11"/>
  <c r="BK35" i="11"/>
  <c r="BK22" i="11"/>
  <c r="BK12" i="11"/>
  <c r="BK27" i="11"/>
  <c r="BS43" i="11"/>
  <c r="BO8" i="11"/>
  <c r="BS23" i="11"/>
  <c r="BK25" i="11"/>
  <c r="BK31" i="11"/>
  <c r="BS28" i="11"/>
  <c r="BK38" i="11"/>
  <c r="BK32" i="11"/>
  <c r="BS44" i="11"/>
  <c r="BK7" i="11"/>
  <c r="BS36" i="11"/>
  <c r="BK8" i="11"/>
  <c r="BS29" i="11"/>
  <c r="BS18" i="11"/>
  <c r="BO9" i="11"/>
  <c r="B39" i="4"/>
  <c r="B37" i="4"/>
  <c r="BR15" i="8"/>
  <c r="BR32" i="8"/>
  <c r="BR40" i="8"/>
  <c r="BR25" i="8"/>
  <c r="BR11" i="8"/>
  <c r="BN5" i="8"/>
  <c r="BR19" i="8"/>
  <c r="BR6" i="7"/>
  <c r="BR25" i="7"/>
  <c r="BR19" i="7"/>
  <c r="BR40" i="7"/>
  <c r="BR8" i="7"/>
  <c r="BN5" i="7"/>
  <c r="BR15" i="7"/>
  <c r="BJ4" i="7"/>
  <c r="B38" i="7" s="1"/>
  <c r="BR11" i="7"/>
  <c r="BR32" i="7"/>
  <c r="BR43" i="6"/>
  <c r="BJ22" i="6"/>
  <c r="BJ20" i="6"/>
  <c r="BJ21" i="6"/>
  <c r="BJ19" i="6"/>
  <c r="BN5" i="6"/>
  <c r="BR4" i="6"/>
  <c r="BJ15" i="6"/>
  <c r="BJ18" i="6"/>
  <c r="BJ16" i="6"/>
  <c r="BJ14" i="6"/>
  <c r="BJ17" i="6"/>
  <c r="BR17" i="8"/>
  <c r="BR35" i="6"/>
  <c r="BR22" i="8"/>
  <c r="BR28" i="8"/>
  <c r="BN12" i="8"/>
  <c r="BR23" i="6"/>
  <c r="BR29" i="6"/>
  <c r="BJ21" i="8"/>
  <c r="BJ59" i="7"/>
  <c r="BJ56" i="7"/>
  <c r="BJ37" i="7"/>
  <c r="BJ30" i="7"/>
  <c r="BJ53" i="7"/>
  <c r="H42" i="7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3" i="7"/>
  <c r="BJ46" i="8"/>
  <c r="BJ58" i="7"/>
  <c r="BJ5" i="6"/>
  <c r="BN4" i="6"/>
  <c r="B37" i="6" s="1"/>
  <c r="H23" i="6"/>
  <c r="BJ13" i="6"/>
  <c r="BJ9" i="6"/>
  <c r="BJ10" i="6"/>
  <c r="BJ12" i="6"/>
  <c r="BJ6" i="6"/>
  <c r="BJ8" i="6"/>
  <c r="BJ7" i="6"/>
  <c r="BJ11" i="6"/>
  <c r="BJ4" i="6"/>
  <c r="BJ22" i="7"/>
  <c r="BJ53" i="8"/>
  <c r="BJ36" i="7"/>
  <c r="BJ52" i="7"/>
  <c r="BJ55" i="7"/>
  <c r="BJ29" i="7"/>
  <c r="BN13" i="7"/>
  <c r="BR13" i="6"/>
  <c r="BJ54" i="6"/>
  <c r="BJ51" i="6"/>
  <c r="H41" i="7"/>
  <c r="BR22" i="6"/>
  <c r="BR28" i="6"/>
  <c r="BJ43" i="8"/>
  <c r="BR17" i="6"/>
  <c r="BJ54" i="8"/>
  <c r="BJ56" i="6"/>
  <c r="BJ53" i="6"/>
  <c r="BJ15" i="8"/>
  <c r="B38" i="4"/>
  <c r="BJ24" i="6"/>
  <c r="BJ13" i="5"/>
  <c r="H23" i="5"/>
  <c r="BJ9" i="5"/>
  <c r="BJ10" i="5"/>
  <c r="BN4" i="5"/>
  <c r="B37" i="5" s="1"/>
  <c r="B36" i="5" s="1"/>
  <c r="BJ11" i="5"/>
  <c r="BJ12" i="5"/>
  <c r="BJ8" i="5"/>
  <c r="BJ6" i="5"/>
  <c r="BJ5" i="5"/>
  <c r="BJ7" i="5"/>
  <c r="BJ4" i="5"/>
  <c r="B38" i="5" s="1"/>
  <c r="BR21" i="6"/>
  <c r="BR27" i="6"/>
  <c r="J36" i="8"/>
  <c r="H38" i="8"/>
  <c r="BN4" i="8" s="1"/>
  <c r="B37" i="8" s="1"/>
  <c r="B36" i="8" s="1"/>
  <c r="BJ48" i="7"/>
  <c r="BJ56" i="8"/>
  <c r="BN8" i="6"/>
  <c r="BR23" i="7"/>
  <c r="BR44" i="7"/>
  <c r="BJ32" i="7"/>
  <c r="BJ25" i="7"/>
  <c r="BR29" i="7"/>
  <c r="BJ35" i="6"/>
  <c r="J37" i="7"/>
  <c r="H39" i="7"/>
  <c r="BJ8" i="8"/>
  <c r="BJ12" i="8"/>
  <c r="H22" i="8"/>
  <c r="BJ4" i="8"/>
  <c r="B38" i="8" s="1"/>
  <c r="BJ7" i="8"/>
  <c r="BJ13" i="8"/>
  <c r="BJ10" i="8"/>
  <c r="BJ6" i="8"/>
  <c r="BJ11" i="8"/>
  <c r="BJ9" i="8"/>
  <c r="BJ13" i="7"/>
  <c r="BN13" i="8"/>
  <c r="BR13" i="8"/>
  <c r="BN10" i="6"/>
  <c r="BR30" i="6"/>
  <c r="H37" i="6"/>
  <c r="BJ49" i="6"/>
  <c r="BR24" i="6"/>
  <c r="BJ33" i="7"/>
  <c r="BR45" i="7"/>
  <c r="BR30" i="7"/>
  <c r="BN10" i="7"/>
  <c r="BJ26" i="7"/>
  <c r="BR34" i="6"/>
  <c r="BJ44" i="6"/>
  <c r="BJ34" i="8"/>
  <c r="BJ36" i="8"/>
  <c r="BJ35" i="8"/>
  <c r="BJ31" i="8"/>
  <c r="BJ32" i="8"/>
  <c r="BJ33" i="8"/>
  <c r="BJ37" i="8"/>
  <c r="BR8" i="8"/>
  <c r="BN7" i="8"/>
  <c r="BR7" i="8"/>
  <c r="BN14" i="7"/>
  <c r="BJ44" i="7"/>
  <c r="BR46" i="7"/>
  <c r="BJ34" i="7"/>
  <c r="BN11" i="7"/>
  <c r="BJ27" i="7"/>
  <c r="BJ50" i="7"/>
  <c r="BR10" i="6"/>
  <c r="BR28" i="7"/>
  <c r="BJ24" i="7"/>
  <c r="BR22" i="7"/>
  <c r="BJ31" i="7"/>
  <c r="BR43" i="7"/>
  <c r="H40" i="8"/>
  <c r="BS17" i="11" l="1"/>
  <c r="H37" i="11"/>
  <c r="BS27" i="11"/>
  <c r="BO7" i="11"/>
  <c r="BS13" i="11"/>
  <c r="BS42" i="11"/>
  <c r="BK15" i="11"/>
  <c r="BS14" i="11"/>
  <c r="BK49" i="11"/>
  <c r="BS10" i="11"/>
  <c r="BO4" i="11"/>
  <c r="BS24" i="11"/>
  <c r="BS31" i="11"/>
  <c r="BS39" i="11"/>
  <c r="BS5" i="11"/>
  <c r="BS7" i="11"/>
  <c r="BS4" i="11"/>
  <c r="BK23" i="11"/>
  <c r="BS15" i="11"/>
  <c r="BS40" i="11"/>
  <c r="BS6" i="11"/>
  <c r="BS11" i="11"/>
  <c r="BS19" i="11"/>
  <c r="BO5" i="11"/>
  <c r="BS8" i="11"/>
  <c r="BS32" i="11"/>
  <c r="BK4" i="11"/>
  <c r="BS25" i="11"/>
  <c r="BS21" i="11"/>
  <c r="BK6" i="11"/>
  <c r="B36" i="4"/>
  <c r="B38" i="6"/>
  <c r="B36" i="6" s="1"/>
  <c r="BR26" i="8"/>
  <c r="BR16" i="8"/>
  <c r="BJ14" i="8"/>
  <c r="BR33" i="8"/>
  <c r="BR12" i="8"/>
  <c r="BR20" i="8"/>
  <c r="BR41" i="8"/>
  <c r="B39" i="6"/>
  <c r="BR9" i="8"/>
  <c r="H37" i="7"/>
  <c r="BR39" i="7"/>
  <c r="BR7" i="7"/>
  <c r="BR5" i="7"/>
  <c r="BR24" i="7"/>
  <c r="BJ49" i="7"/>
  <c r="BN4" i="7"/>
  <c r="B37" i="7" s="1"/>
  <c r="B36" i="7" s="1"/>
  <c r="BR14" i="7"/>
  <c r="BR31" i="7"/>
  <c r="BR10" i="7"/>
  <c r="BR4" i="7"/>
  <c r="B39" i="7" s="1"/>
  <c r="BN6" i="7"/>
  <c r="BR41" i="7"/>
  <c r="BR9" i="7"/>
  <c r="BR20" i="7"/>
  <c r="BR26" i="7"/>
  <c r="BR33" i="7"/>
  <c r="BR12" i="7"/>
  <c r="BR16" i="7"/>
  <c r="BJ14" i="7"/>
  <c r="BJ5" i="7"/>
  <c r="BJ5" i="8"/>
  <c r="H36" i="8"/>
  <c r="BR24" i="8"/>
  <c r="BJ49" i="8"/>
  <c r="BR14" i="8"/>
  <c r="BR4" i="8"/>
  <c r="B39" i="8" s="1"/>
  <c r="BR39" i="8"/>
  <c r="BR10" i="8"/>
  <c r="BR31" i="8"/>
  <c r="BR27" i="7"/>
  <c r="BR21" i="7"/>
  <c r="BR42" i="7"/>
  <c r="BN7" i="7"/>
  <c r="BJ23" i="7"/>
  <c r="BJ15" i="7"/>
  <c r="BR13" i="7"/>
  <c r="BR17" i="7"/>
  <c r="BR34" i="7"/>
  <c r="BJ6" i="7"/>
  <c r="B37" i="11" l="1"/>
  <c r="B36" i="11"/>
  <c r="B38" i="11"/>
  <c r="R11" i="10"/>
  <c r="R14" i="10"/>
  <c r="R8" i="10"/>
  <c r="N2" i="10"/>
  <c r="R2" i="10" l="1"/>
  <c r="S5" i="10"/>
  <c r="U5" i="10"/>
  <c r="Y5" i="10" s="1"/>
  <c r="AG5" i="10" s="1"/>
  <c r="T5" i="10"/>
  <c r="X5" i="10" s="1"/>
  <c r="AA4" i="10" s="1"/>
  <c r="S15" i="10"/>
  <c r="S9" i="10"/>
  <c r="S10" i="10"/>
  <c r="S14" i="10"/>
  <c r="S11" i="10"/>
  <c r="U11" i="10" s="1"/>
  <c r="Y11" i="10" s="1"/>
  <c r="AG11" i="10" s="1"/>
  <c r="S8" i="10"/>
  <c r="S12" i="10"/>
  <c r="S13" i="10"/>
  <c r="S7" i="10"/>
  <c r="S4" i="10"/>
  <c r="S6" i="10"/>
  <c r="T8" i="10" l="1"/>
  <c r="X8" i="10" s="1"/>
  <c r="AA7" i="10" s="1"/>
  <c r="U8" i="10"/>
  <c r="Y8" i="10" s="1"/>
  <c r="AG8" i="10" s="1"/>
  <c r="AH11" i="10"/>
  <c r="T6" i="10"/>
  <c r="X6" i="10" s="1"/>
  <c r="AA5" i="10" s="1"/>
  <c r="U6" i="10"/>
  <c r="Y6" i="10" s="1"/>
  <c r="AG6" i="10" s="1"/>
  <c r="T9" i="10"/>
  <c r="X9" i="10" s="1"/>
  <c r="AA8" i="10" s="1"/>
  <c r="U9" i="10"/>
  <c r="Y9" i="10" s="1"/>
  <c r="AG9" i="10" s="1"/>
  <c r="AB4" i="10"/>
  <c r="U14" i="10"/>
  <c r="Y14" i="10" s="1"/>
  <c r="AG14" i="10" s="1"/>
  <c r="T14" i="10"/>
  <c r="X14" i="10" s="1"/>
  <c r="AA13" i="10" s="1"/>
  <c r="T10" i="10"/>
  <c r="X10" i="10" s="1"/>
  <c r="AA9" i="10" s="1"/>
  <c r="U10" i="10"/>
  <c r="Y10" i="10" s="1"/>
  <c r="AG10" i="10" s="1"/>
  <c r="U4" i="10"/>
  <c r="T4" i="10"/>
  <c r="S2" i="10"/>
  <c r="T7" i="10"/>
  <c r="X7" i="10" s="1"/>
  <c r="AA6" i="10" s="1"/>
  <c r="U7" i="10"/>
  <c r="Y7" i="10" s="1"/>
  <c r="AG7" i="10" s="1"/>
  <c r="U15" i="10"/>
  <c r="Y15" i="10" s="1"/>
  <c r="AG15" i="10" s="1"/>
  <c r="T15" i="10"/>
  <c r="X15" i="10" s="1"/>
  <c r="AA14" i="10" s="1"/>
  <c r="T13" i="10"/>
  <c r="X13" i="10" s="1"/>
  <c r="AA12" i="10" s="1"/>
  <c r="U13" i="10"/>
  <c r="Y13" i="10" s="1"/>
  <c r="AG13" i="10" s="1"/>
  <c r="T12" i="10"/>
  <c r="X12" i="10" s="1"/>
  <c r="AA11" i="10" s="1"/>
  <c r="U12" i="10"/>
  <c r="Y12" i="10" s="1"/>
  <c r="AG12" i="10" s="1"/>
  <c r="AH5" i="10"/>
  <c r="AH10" i="10" l="1"/>
  <c r="AH15" i="10"/>
  <c r="AB12" i="10"/>
  <c r="AB9" i="10"/>
  <c r="AB13" i="10"/>
  <c r="AB6" i="10"/>
  <c r="AB14" i="10"/>
  <c r="AH14" i="10"/>
  <c r="AB11" i="10"/>
  <c r="T2" i="10"/>
  <c r="X4" i="10"/>
  <c r="X2" i="10" s="1"/>
  <c r="AH8" i="10"/>
  <c r="AB8" i="10"/>
  <c r="AH6" i="10"/>
  <c r="AB5" i="10"/>
  <c r="AC14" i="10" s="1"/>
  <c r="AH7" i="10"/>
  <c r="AH12" i="10"/>
  <c r="AH13" i="10"/>
  <c r="U2" i="10"/>
  <c r="Y4" i="10"/>
  <c r="AH9" i="10"/>
  <c r="AB7" i="10"/>
  <c r="AD5" i="10" s="1"/>
  <c r="AD15" i="10" l="1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Y2" i="10"/>
  <c r="AC15" i="10"/>
  <c r="AD6" i="10"/>
  <c r="AC12" i="10"/>
  <c r="AC8" i="10"/>
  <c r="AC13" i="10"/>
  <c r="AD11" i="10"/>
  <c r="AD12" i="10"/>
  <c r="AC7" i="10"/>
  <c r="AD8" i="10"/>
  <c r="AD10" i="10"/>
  <c r="AD13" i="10"/>
  <c r="AD18" i="10" l="1"/>
  <c r="L27" i="10" s="1"/>
  <c r="AC18" i="10"/>
  <c r="L26" i="10" s="1"/>
  <c r="L25" i="10"/>
  <c r="AH4" i="10"/>
  <c r="AI4" i="10"/>
  <c r="AJ4" i="10"/>
  <c r="AE18" i="10" l="1"/>
  <c r="L28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AJ18" i="10" s="1"/>
  <c r="L41" i="10" s="1"/>
  <c r="H32" i="10"/>
  <c r="H26" i="10"/>
  <c r="H31" i="10"/>
  <c r="H27" i="10"/>
  <c r="H33" i="10"/>
  <c r="H35" i="10"/>
  <c r="L23" i="10"/>
  <c r="H30" i="10"/>
  <c r="H29" i="10"/>
  <c r="H25" i="10"/>
  <c r="H34" i="10"/>
  <c r="H28" i="10"/>
  <c r="AI18" i="10" l="1"/>
  <c r="L40" i="10" s="1"/>
  <c r="H23" i="10"/>
  <c r="L39" i="10"/>
  <c r="AK18" i="10"/>
  <c r="L42" i="10" s="1"/>
  <c r="H45" i="10" l="1"/>
  <c r="H42" i="10"/>
  <c r="L37" i="10"/>
  <c r="H44" i="10"/>
  <c r="H46" i="10"/>
  <c r="H41" i="10"/>
  <c r="H39" i="10"/>
  <c r="H43" i="10"/>
  <c r="H48" i="10"/>
  <c r="H40" i="10"/>
  <c r="H49" i="10"/>
  <c r="H47" i="10"/>
  <c r="BS20" i="10" l="1"/>
  <c r="BK5" i="10"/>
  <c r="BS26" i="10"/>
  <c r="BS33" i="10"/>
  <c r="BS9" i="10"/>
  <c r="BS16" i="10"/>
  <c r="BK14" i="10"/>
  <c r="BS12" i="10"/>
  <c r="BS41" i="10"/>
  <c r="BO6" i="10"/>
  <c r="BS18" i="10"/>
  <c r="BK31" i="10"/>
  <c r="BS28" i="10"/>
  <c r="BK24" i="10"/>
  <c r="BS43" i="10"/>
  <c r="BS22" i="10"/>
  <c r="BK16" i="10"/>
  <c r="BS35" i="10"/>
  <c r="BO8" i="10"/>
  <c r="BK7" i="10"/>
  <c r="H37" i="10"/>
  <c r="BS7" i="10"/>
  <c r="BS24" i="10"/>
  <c r="BO4" i="10"/>
  <c r="BS5" i="10"/>
  <c r="BS39" i="10"/>
  <c r="BS4" i="10"/>
  <c r="BS14" i="10"/>
  <c r="BK49" i="10"/>
  <c r="BS10" i="10"/>
  <c r="BS31" i="10"/>
  <c r="BK50" i="10"/>
  <c r="BK34" i="10"/>
  <c r="BK45" i="10"/>
  <c r="BS46" i="10"/>
  <c r="BK10" i="10"/>
  <c r="BK27" i="10"/>
  <c r="BK19" i="10"/>
  <c r="BO11" i="10"/>
  <c r="BS38" i="10"/>
  <c r="BK40" i="10"/>
  <c r="BO12" i="10"/>
  <c r="BK54" i="10"/>
  <c r="BK41" i="10"/>
  <c r="BK20" i="10"/>
  <c r="BK11" i="10"/>
  <c r="BK28" i="10"/>
  <c r="BK35" i="10"/>
  <c r="BK51" i="10"/>
  <c r="BS47" i="10"/>
  <c r="BK46" i="10"/>
  <c r="BK17" i="10"/>
  <c r="BO9" i="10"/>
  <c r="BK32" i="10"/>
  <c r="BK25" i="10"/>
  <c r="BS36" i="10"/>
  <c r="BK38" i="10"/>
  <c r="BS23" i="10"/>
  <c r="BS44" i="10"/>
  <c r="BK8" i="10"/>
  <c r="BS29" i="10"/>
  <c r="BO14" i="10"/>
  <c r="BK30" i="10"/>
  <c r="BK22" i="10"/>
  <c r="BK13" i="10"/>
  <c r="BK43" i="10"/>
  <c r="BK37" i="10"/>
  <c r="BK58" i="10"/>
  <c r="BK56" i="10"/>
  <c r="BK59" i="10"/>
  <c r="BK53" i="10"/>
  <c r="BK48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O13" i="10"/>
  <c r="BK52" i="10"/>
  <c r="BK42" i="10"/>
  <c r="BK47" i="10"/>
  <c r="BK57" i="10"/>
  <c r="BK29" i="10"/>
  <c r="BK55" i="10"/>
  <c r="BK21" i="10"/>
  <c r="BK36" i="10"/>
  <c r="BK12" i="10"/>
  <c r="BS37" i="10"/>
  <c r="BO10" i="10"/>
  <c r="BK44" i="10"/>
  <c r="BK39" i="10"/>
  <c r="BS30" i="10"/>
  <c r="BK33" i="10"/>
  <c r="BK26" i="10"/>
  <c r="BS45" i="10"/>
  <c r="BK18" i="10"/>
  <c r="BK9" i="10"/>
  <c r="B38" i="10" l="1"/>
  <c r="B37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65BD257-CF02-4AAE-9F5C-B82D5D7BF38E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A485327F-7FE3-4EB8-9207-9F5C8D119D9E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38F191FB-EA25-445E-9C15-9864176CEC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6385A6F4-A19A-4F9D-B6D8-255C9D7904E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B79FF58-7AF9-4A18-9A1B-A3864AE67E6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4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4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5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5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5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6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6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600-00001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6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600-000016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6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6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6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6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6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6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6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6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6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6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6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600-00000F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6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6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6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6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6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<sst xmlns="http://schemas.openxmlformats.org/spreadsheetml/2006/main" count="1463" uniqueCount="193">
  <si>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</si>
  <si>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</si>
  <si>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</si>
  <si>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</si>
  <si>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</si>
  <si>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</si>
  <si>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</si>
  <si>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</si>
  <si>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</si>
  <si>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</si>
  <si>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</si>
  <si>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</si>
  <si>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</si>
  <si>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</si>
  <si>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</si>
  <si>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</si>
  <si>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</si>
  <si>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</si>
  <si>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</si>
  <si>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</si>
  <si>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</si>
  <si>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</si>
  <si>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</si>
  <si>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</si>
  <si>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</si>
  <si>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</si>
  <si>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</si>
  <si>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</si>
  <si>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</si>
  <si>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</si>
  <si>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</si>
  <si>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</si>
  <si>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</si>
  <si>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</si>
  <si>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</si>
  <si>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</si>
  <si>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</si>
  <si>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</si>
  <si>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</si>
  <si>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</si>
  <si>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</si>
  <si>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</si>
  <si>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</si>
  <si>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</si>
  <si>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</si>
  <si>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</si>
  <si>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</si>
  <si>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</si>
  <si>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</si>
  <si>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</si>
  <si>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</si>
  <si>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</si>
  <si>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</si>
  <si>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</si>
  <si>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</si>
  <si>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</si>
  <si>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</si>
  <si>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</si>
  <si>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</si>
  <si>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</si>
  <si>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</si>
  <si>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</si>
  <si>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</si>
  <si>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</si>
  <si>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</si>
  <si>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</si>
  <si>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</si>
  <si>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</si>
  <si>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</si>
  <si>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</si>
  <si>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</si>
  <si>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</si>
  <si>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</si>
  <si>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</si>
  <si>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</si>
  <si>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</si>
  <si>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</si>
  <si>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</si>
  <si>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</si>
  <si>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</si>
  <si>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</si>
  <si>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</si>
  <si>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</si>
  <si>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</si>
  <si>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</si>
  <si>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</si>
  <si>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</si>
  <si>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</si>
  <si>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</si>
  <si>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</si>
  <si>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</si>
  <si>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</si>
  <si>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</si>
  <si>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</si>
  <si>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</si>
  <si>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</si>
  <si>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</si>
  <si>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</si>
  <si>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</si>
  <si>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</si>
  <si>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</si>
  <si>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</si>
  <si>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</si>
  <si>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</si>
  <si>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</si>
  <si>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</si>
  <si>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</si>
  <si>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</si>
  <si>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</si>
  <si>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</si>
  <si>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</si>
  <si>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</si>
  <si>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</si>
  <si>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</si>
  <si>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</si>
  <si>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</si>
  <si>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</si>
  <si>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</si>
  <si>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</si>
  <si>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</si>
  <si>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</si>
  <si>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</si>
  <si>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</si>
  <si>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</si>
  <si>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</si>
  <si>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</si>
  <si>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</si>
  <si>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</si>
  <si>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</si>
  <si>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</si>
  <si>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</si>
  <si>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</si>
  <si>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</si>
  <si>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</si>
  <si>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</si>
  <si>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</si>
  <si>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</si>
  <si>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</si>
  <si>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</si>
  <si>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</si>
  <si>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</si>
  <si>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</si>
  <si>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</si>
  <si>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</si>
  <si>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</si>
  <si>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CA</t>
  </si>
  <si>
    <t>Obiwan</t>
  </si>
  <si>
    <t>Eventos</t>
  </si>
  <si>
    <t>0,4</t>
  </si>
  <si>
    <t>0,6</t>
  </si>
  <si>
    <t>0,72</t>
  </si>
  <si>
    <t>pA</t>
  </si>
  <si>
    <t>Tiro lejano</t>
  </si>
  <si>
    <t>07</t>
  </si>
  <si>
    <t>JC</t>
  </si>
  <si>
    <t>Ev.Clima</t>
  </si>
  <si>
    <t>&lt;debil</t>
  </si>
  <si>
    <t>Constantes Clima</t>
  </si>
  <si>
    <t>pLocal50</t>
  </si>
  <si>
    <t>pVis50</t>
  </si>
  <si>
    <t>FORM</t>
  </si>
  <si>
    <t>rap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</si>
  <si>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</si>
  <si>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</si>
  <si>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</si>
  <si>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</si>
  <si>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</si>
  <si>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</si>
  <si>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</si>
  <si>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</si>
  <si>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</si>
  <si>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</si>
  <si>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</si>
  <si>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</si>
  <si>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</si>
  <si>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</si>
  <si>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</si>
  <si>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</si>
  <si>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</si>
  <si>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</si>
  <si>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</si>
  <si>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</si>
  <si>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</si>
  <si>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</si>
  <si>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</si>
  <si>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</si>
  <si>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</si>
  <si>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</si>
  <si>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</si>
  <si>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</si>
  <si>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Badajoz</t>
  </si>
  <si>
    <t>VADER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</si>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</sst>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#,##0.000_ ;\-#,##0.000\ "/>
  </numFmts>
  <fonts count="26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99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4" fillId="38" borderId="51" xfId="0" applyNumberFormat="1" applyFont="1" applyFill="1" applyBorder="1" applyAlignment="1">
      <alignment horizontal="center"/>
    </xf>
    <xf numFmtId="49" fontId="3" fillId="38" borderId="51" xfId="0" applyNumberFormat="1" applyFont="1" applyFill="1" applyBorder="1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6" fontId="0" fillId="0" borderId="2" xfId="0" applyNumberFormat="1" applyBorder="1"/>
    <xf numFmtId="166" fontId="0" fillId="0" borderId="2" xfId="0" applyNumberFormat="1" applyBorder="1"/>
    <xf numFmtId="166" fontId="0" fillId="0" borderId="53" xfId="0" applyNumberFormat="1" applyBorder="1"/>
    <xf numFmtId="166" fontId="0" fillId="0" borderId="53" xfId="0" applyNumberFormat="1" applyBorder="1"/>
    <xf numFmtId="165" fontId="3" fillId="0" borderId="2" xfId="2" applyNumberFormat="1" applyFont="1" applyBorder="1"/>
    <xf numFmtId="165" fontId="2" fillId="0" borderId="2" xfId="2" applyNumberFormat="1" applyFont="1" applyBorder="1"/>
    <xf numFmtId="165" fontId="3" fillId="0" borderId="0" xfId="2" applyNumberFormat="1" applyFont="1"/>
    <xf numFmtId="165" fontId="2" fillId="0" borderId="0" xfId="2" applyNumberFormat="1" applyFont="1"/>
    <xf numFmtId="165" fontId="4" fillId="0" borderId="2" xfId="2" applyNumberFormat="1" applyFont="1" applyBorder="1"/>
    <xf numFmtId="165" fontId="4" fillId="0" borderId="0" xfId="2" applyNumberFormat="1" applyFont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3" fillId="38" borderId="51" xfId="1" applyNumberFormat="1" applyFont="1" applyFill="1" applyBorder="1" applyAlignment="1">
      <alignment horizontal="center"/>
    </xf>
    <xf numFmtId="167" fontId="4" fillId="38" borderId="51" xfId="1" applyNumberFormat="1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9" fontId="3" fillId="38" borderId="51" xfId="1" applyNumberFormat="1" applyFont="1" applyFill="1" applyBorder="1" applyAlignment="1">
      <alignment horizontal="center"/>
    </xf>
    <xf numFmtId="169" fontId="4" fillId="38" borderId="51" xfId="1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4" borderId="51" xfId="0" applyNumberFormat="1" applyFont="1" applyFill="1" applyBorder="1"/>
    <xf numFmtId="2" fontId="4" fillId="44" borderId="51" xfId="0" applyNumberFormat="1" applyFont="1" applyFill="1" applyBorder="1"/>
    <xf numFmtId="2" fontId="3" fillId="44" borderId="51" xfId="0" applyNumberFormat="1" applyFont="1" applyFill="1" applyBorder="1" applyAlignment="1">
      <alignment wrapText="1"/>
    </xf>
    <xf numFmtId="2" fontId="4" fillId="44" borderId="51" xfId="0" applyNumberFormat="1" applyFont="1" applyFill="1" applyBorder="1" applyAlignment="1">
      <alignment wrapText="1"/>
    </xf>
    <xf numFmtId="0" fontId="1" fillId="44" borderId="51" xfId="0" applyFont="1" applyFill="1" applyBorder="1" applyAlignment="1">
      <alignment horizontal="right"/>
    </xf>
    <xf numFmtId="0" fontId="7" fillId="44" borderId="51" xfId="0" applyFont="1" applyFill="1" applyBorder="1" applyAlignment="1">
      <alignment horizontal="right"/>
    </xf>
    <xf numFmtId="9" fontId="3" fillId="44" borderId="51" xfId="2" applyFont="1" applyFill="1" applyBorder="1"/>
    <xf numFmtId="9" fontId="4" fillId="44" borderId="51" xfId="2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9" fontId="22" fillId="0" borderId="0" xfId="2" applyFont="1" applyAlignment="1">
      <alignment horizontal="center"/>
    </xf>
    <xf numFmtId="9" fontId="23" fillId="0" borderId="0" xfId="2" applyFont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0" fillId="42" borderId="5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46" borderId="48" xfId="0" applyFill="1" applyBorder="1" applyAlignment="1">
      <alignment horizontal="center" vertical="center" wrapText="1"/>
    </xf>
    <xf numFmtId="0" fontId="0" fillId="47" borderId="48" xfId="0" applyFill="1" applyBorder="1" applyAlignment="1">
      <alignment horizontal="center" vertical="center" wrapText="1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9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'Badajoz-VADER'!$G$25:$G$35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'Badajoz-VADER'!$H$25:$H$35</c:f>
              <c:numCache>
                <c:formatCode>0.0%</c:formatCode>
                <c:ptCount val="11"/>
                <c:pt idx="0">
                  <c:v>6.1093775074718505E-2</c:v>
                </c:pt>
                <c:pt idx="1">
                  <c:v>0.18867338072614606</c:v>
                </c:pt>
                <c:pt idx="2">
                  <c:v>0.26808808330535583</c:v>
                </c:pt>
                <c:pt idx="3">
                  <c:v>0.23509686074092107</c:v>
                </c:pt>
                <c:pt idx="4">
                  <c:v>0.14469964881544942</c:v>
                </c:pt>
                <c:pt idx="5">
                  <c:v>6.754497822700288E-2</c:v>
                </c:pt>
                <c:pt idx="6">
                  <c:v>2.5074643661103468E-2</c:v>
                </c:pt>
                <c:pt idx="7">
                  <c:v>7.5328704910028309E-3</c:v>
                </c:pt>
                <c:pt idx="8">
                  <c:v>1.809430993555218E-3</c:v>
                </c:pt>
                <c:pt idx="9">
                  <c:v>3.3591033279998378E-4</c:v>
                </c:pt>
                <c:pt idx="10">
                  <c:v>4.5869821512723297E-5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D-42C8-85DF-F9466C3D7904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'Badajoz-VADER'!$H$39:$H$49</c:f>
              <c:numCache>
                <c:formatCode>0.0%</c:formatCode>
                <c:ptCount val="11"/>
                <c:pt idx="0">
                  <c:v>0.25932438381529677</c:v>
                </c:pt>
                <c:pt idx="1">
                  <c:v>0.3593652950233942</c:v>
                </c:pt>
                <c:pt idx="2">
                  <c:v>0.22981593269688555</c:v>
                </c:pt>
                <c:pt idx="3">
                  <c:v>0.10126549743851208</c:v>
                </c:pt>
                <c:pt idx="4">
                  <c:v>3.6566739591413162E-2</c:v>
                </c:pt>
                <c:pt idx="5">
                  <c:v>1.0782504207577429E-2</c:v>
                </c:pt>
                <c:pt idx="6">
                  <c:v>2.4276423818091327E-3</c:v>
                </c:pt>
                <c:pt idx="7">
                  <c:v>4.0010737710083805E-4</c:v>
                </c:pt>
                <c:pt idx="8">
                  <c:v>4.7571541479025662E-5</c:v>
                </c:pt>
                <c:pt idx="9">
                  <c:v>4.0655621111785096E-6</c:v>
                </c:pt>
                <c:pt idx="10">
                  <c:v>2.4919440614410182E-7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D-42C8-85DF-F9466C3D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75264"/>
        <c:axId val="1200883152"/>
      </c:lineChart>
      <c:catAx>
        <c:axId val="17047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883152"/>
        <c:crosses val="autoZero"/>
        <c:auto val="1"/>
        <c:lblAlgn val="ctr"/>
        <c:lblOffset val="100"/>
        <c:noMultiLvlLbl val="0"/>
      </c:catAx>
      <c:valAx>
        <c:axId val="12008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47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8A2-4F67-9096-6C7CF8CCB3F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8A2-4F67-9096-6C7CF8CCB3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A2-4F67-9096-6C7CF8CCB3F5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8A2-4F67-9096-6C7CF8C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8.577309073333704E-2</c:v>
                </c:pt>
                <c:pt idx="1">
                  <c:v>0.24415493466719279</c:v>
                </c:pt>
                <c:pt idx="2">
                  <c:v>0.30280114313491391</c:v>
                </c:pt>
                <c:pt idx="3">
                  <c:v>0.21894872952376346</c:v>
                </c:pt>
                <c:pt idx="4">
                  <c:v>0.10394349357233471</c:v>
                </c:pt>
                <c:pt idx="5">
                  <c:v>3.4462253271217026E-2</c:v>
                </c:pt>
                <c:pt idx="6">
                  <c:v>8.2555457926021224E-3</c:v>
                </c:pt>
                <c:pt idx="7">
                  <c:v>1.4530886622363222E-3</c:v>
                </c:pt>
                <c:pt idx="8">
                  <c:v>1.8858243946782668E-4</c:v>
                </c:pt>
                <c:pt idx="9">
                  <c:v>1.7875492999055131E-5</c:v>
                </c:pt>
                <c:pt idx="10">
                  <c:v>1.2061484729908977E-6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3.4131276372055758E-3</c:v>
                </c:pt>
                <c:pt idx="1">
                  <c:v>2.4645585954930743E-2</c:v>
                </c:pt>
                <c:pt idx="2">
                  <c:v>8.1662186054693692E-2</c:v>
                </c:pt>
                <c:pt idx="3">
                  <c:v>0.1643210549671259</c:v>
                </c:pt>
                <c:pt idx="4">
                  <c:v>0.22391043074811182</c:v>
                </c:pt>
                <c:pt idx="5">
                  <c:v>0.21806941739334948</c:v>
                </c:pt>
                <c:pt idx="6">
                  <c:v>0.15608812450356124</c:v>
                </c:pt>
                <c:pt idx="7">
                  <c:v>8.310499758586827E-2</c:v>
                </c:pt>
                <c:pt idx="8">
                  <c:v>3.2908946110837535E-2</c:v>
                </c:pt>
                <c:pt idx="9">
                  <c:v>9.5763890344942593E-3</c:v>
                </c:pt>
                <c:pt idx="10">
                  <c:v>1.9929074219209855E-3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4.5360424470794039E-2</c:v>
                </c:pt>
                <c:pt idx="1">
                  <c:v>0.15783330304573795</c:v>
                </c:pt>
                <c:pt idx="2">
                  <c:v>0.25392608577972164</c:v>
                </c:pt>
                <c:pt idx="3">
                  <c:v>0.25045534381676698</c:v>
                </c:pt>
                <c:pt idx="4">
                  <c:v>0.16918412165769878</c:v>
                </c:pt>
                <c:pt idx="5">
                  <c:v>8.2740684471239612E-2</c:v>
                </c:pt>
                <c:pt idx="6">
                  <c:v>3.0165294160438536E-2</c:v>
                </c:pt>
                <c:pt idx="7">
                  <c:v>8.3058589548542089E-3</c:v>
                </c:pt>
                <c:pt idx="8">
                  <c:v>1.7279043580330185E-3</c:v>
                </c:pt>
                <c:pt idx="9">
                  <c:v>2.6829640626167806E-4</c:v>
                </c:pt>
                <c:pt idx="10">
                  <c:v>3.0227836015330314E-5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1.6581076073962548E-2</c:v>
                </c:pt>
                <c:pt idx="1">
                  <c:v>8.1605266938989937E-2</c:v>
                </c:pt>
                <c:pt idx="2">
                  <c:v>0.18323572841762997</c:v>
                </c:pt>
                <c:pt idx="3">
                  <c:v>0.2481921520245913</c:v>
                </c:pt>
                <c:pt idx="4">
                  <c:v>0.22588690034616293</c:v>
                </c:pt>
                <c:pt idx="5">
                  <c:v>0.14560294494229817</c:v>
                </c:pt>
                <c:pt idx="6">
                  <c:v>6.8241411365084603E-2</c:v>
                </c:pt>
                <c:pt idx="7">
                  <c:v>2.3493488258559014E-2</c:v>
                </c:pt>
                <c:pt idx="8">
                  <c:v>5.9284584728184269E-3</c:v>
                </c:pt>
                <c:pt idx="9">
                  <c:v>1.0814193371394922E-3</c:v>
                </c:pt>
                <c:pt idx="10">
                  <c:v>1.3863995863244092E-4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0.174849493678958</c:v>
                </c:pt>
                <c:pt idx="1">
                  <c:v>0.53824289584910767</c:v>
                </c:pt>
                <c:pt idx="2">
                  <c:v>0.28686241832912457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688D-4546-90DD-5E30B5FEF743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88D-4546-90DD-5E30B5FE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246-44AA-8374-8382191FF02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246-44AA-8374-8382191FF02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46-44AA-8374-8382191FF020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3246-44AA-8374-8382191F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78-4C93-87C7-25014BC7314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F78-4C93-87C7-25014BC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954-49FB-9354-589796E115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954-49FB-9354-589796E11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954-49FB-9354-589796E11576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954-49FB-9354-589796E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741-41C2-AFA1-EDBD243D68FA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741-41C2-AFA1-EDBD243D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195790</xdr:colOff>
      <xdr:row>15</xdr:row>
      <xdr:rowOff>110066</xdr:rowOff>
    </xdr:from>
    <xdr:to>
      <xdr:col>25</xdr:col>
      <xdr:colOff>359832</xdr:colOff>
      <xdr:row>35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6D7DA9-2B43-4AB6-A2C7-4695EB6B4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A2E0-BBA0-4D68-863E-A82E3FCCB00E}">
  <sheetPr>
    <tabColor theme="9" tint="-0.249977111117893"/>
  </sheetPr>
  <dimension ref="A1:BS59"/>
  <sheetViews>
    <sheetView tabSelected="1" zoomScale="90" zoomScaleNormal="90" workbookViewId="0">
      <selection activeCell="D8" sqref="D8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4" width="6.7109375" style="31" bestFit="1" customWidth="1"/>
    <col min="25" max="25" width="7.8554687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18" t="s">
        <v>190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292"/>
      <c r="R1" s="29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18" t="s">
        <v>191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</v>
      </c>
      <c r="O2" s="245"/>
      <c r="P2" s="247"/>
      <c r="Q2" s="247"/>
      <c r="R2" s="198">
        <f>SUM(R4:R15)</f>
        <v>2.9699999999999998</v>
      </c>
      <c r="S2" s="198">
        <f>SUM(S4:S15)</f>
        <v>3.5700000000000003</v>
      </c>
      <c r="T2" s="256">
        <f t="shared" ref="T2:U2" si="0">SUM(T4:T15)</f>
        <v>0.76267556555466409</v>
      </c>
      <c r="U2" s="256">
        <f t="shared" si="0"/>
        <v>0.50429995892086055</v>
      </c>
      <c r="V2" s="158"/>
      <c r="W2" s="158"/>
      <c r="X2" s="286">
        <f t="shared" ref="X2:Y2" si="1">SUM(X4:X15)</f>
        <v>0.42265059564752183</v>
      </c>
      <c r="Y2" s="287">
        <f t="shared" si="1"/>
        <v>0.30296517507992921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2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293" t="s">
        <v>5</v>
      </c>
      <c r="C3" s="293"/>
      <c r="D3" s="31" t="str">
        <f>IF(B3="Sol","SI",IF(B3="Lluvia","SI","NO"))</f>
        <v>SI</v>
      </c>
      <c r="E3" s="248"/>
      <c r="F3" s="249"/>
      <c r="G3" s="279" t="s">
        <v>32</v>
      </c>
      <c r="H3" s="248"/>
      <c r="I3" s="248"/>
      <c r="J3" s="245"/>
      <c r="K3" s="257" t="s">
        <v>167</v>
      </c>
      <c r="L3" s="257" t="s">
        <v>168</v>
      </c>
      <c r="M3" s="257" t="s">
        <v>28</v>
      </c>
      <c r="N3" s="257" t="s">
        <v>28</v>
      </c>
      <c r="O3" s="257" t="s">
        <v>169</v>
      </c>
      <c r="P3" s="262" t="s">
        <v>170</v>
      </c>
      <c r="Q3" s="264" t="s">
        <v>171</v>
      </c>
      <c r="R3" s="257" t="s">
        <v>28</v>
      </c>
      <c r="S3" s="257" t="s">
        <v>172</v>
      </c>
      <c r="T3" s="262" t="s">
        <v>173</v>
      </c>
      <c r="U3" s="264" t="s">
        <v>174</v>
      </c>
      <c r="V3" s="262" t="s">
        <v>175</v>
      </c>
      <c r="W3" s="264" t="s">
        <v>176</v>
      </c>
      <c r="X3" s="288" t="s">
        <v>177</v>
      </c>
      <c r="Y3" s="289" t="s">
        <v>178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/>
      <c r="G4" s="279" t="s">
        <v>32</v>
      </c>
      <c r="H4" s="279"/>
      <c r="I4" s="279"/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97" t="s">
        <v>179</v>
      </c>
      <c r="P4" s="249">
        <f>COUNTIF(E3:I4,"IMP")</f>
        <v>1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0.54090909090909101</v>
      </c>
      <c r="T4" s="263">
        <f t="shared" ref="T4:T9" si="4">IF(S4=0,0,IF(Q4=0,S4*P4/L4,S4*P4/(L4*2)))</f>
        <v>4.5075757575757582E-2</v>
      </c>
      <c r="U4" s="265">
        <f t="shared" ref="U4:U9" si="5">IF(S4=0,0,IF(P4=0,S4*Q4/L4,S4*Q4/(L4*2)))</f>
        <v>4.5075757575757582E-2</v>
      </c>
      <c r="V4" s="255">
        <f>$G$17</f>
        <v>0.6</v>
      </c>
      <c r="W4" s="253">
        <f>$H$17</f>
        <v>0.7</v>
      </c>
      <c r="X4" s="290">
        <f>V4*T4</f>
        <v>2.704545454545455E-2</v>
      </c>
      <c r="Y4" s="291">
        <f>W4*U4</f>
        <v>3.1553030303030305E-2</v>
      </c>
      <c r="Z4" s="227"/>
      <c r="AA4" s="281">
        <f t="shared" ref="AA4:AA14" si="6">X5</f>
        <v>3.1553030303030298E-2</v>
      </c>
      <c r="AB4" s="282">
        <f t="shared" ref="AB4:AB15" si="7">(1-AA4)</f>
        <v>0.96844696969696975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3.1553030303030305E-2</v>
      </c>
      <c r="AH4" s="284">
        <f t="shared" ref="AH4:AH15" si="8">(1-AG4)</f>
        <v>0.96844696969696975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2.1954982503819102E-2</v>
      </c>
      <c r="BM4" s="31">
        <v>0</v>
      </c>
      <c r="BN4" s="31">
        <v>0</v>
      </c>
      <c r="BO4" s="107">
        <f>H25*H39</f>
        <v>1.5843105576201711E-2</v>
      </c>
      <c r="BQ4" s="31">
        <v>1</v>
      </c>
      <c r="BR4" s="31">
        <v>0</v>
      </c>
      <c r="BS4" s="107">
        <f>$H$26*H39</f>
        <v>4.8927608199156716E-2</v>
      </c>
    </row>
    <row r="5" spans="1:71" ht="15.75" x14ac:dyDescent="0.25">
      <c r="A5" s="40" t="s">
        <v>30</v>
      </c>
      <c r="B5" s="154">
        <v>253</v>
      </c>
      <c r="C5" s="154">
        <v>352</v>
      </c>
      <c r="E5" s="279" t="s">
        <v>2</v>
      </c>
      <c r="F5" s="279" t="s">
        <v>37</v>
      </c>
      <c r="G5" s="279" t="s">
        <v>1</v>
      </c>
      <c r="H5" s="279" t="s">
        <v>144</v>
      </c>
      <c r="I5" s="279" t="s">
        <v>144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97" t="s">
        <v>180</v>
      </c>
      <c r="P5" s="249">
        <f>COUNTIF(E5:I6,"IMP")</f>
        <v>2</v>
      </c>
      <c r="Q5" s="251">
        <f>COUNTIF(E10:I11,"IMP")</f>
        <v>1</v>
      </c>
      <c r="R5" s="258">
        <f t="shared" si="2"/>
        <v>0.35</v>
      </c>
      <c r="S5" s="258">
        <f t="shared" si="3"/>
        <v>0.4207070707070707</v>
      </c>
      <c r="T5" s="263">
        <f t="shared" si="4"/>
        <v>5.2588383838383837E-2</v>
      </c>
      <c r="U5" s="265">
        <f t="shared" si="5"/>
        <v>2.6294191919191919E-2</v>
      </c>
      <c r="V5" s="255">
        <f>$G$17</f>
        <v>0.6</v>
      </c>
      <c r="W5" s="253">
        <f>$H$17</f>
        <v>0.7</v>
      </c>
      <c r="X5" s="290">
        <f t="shared" ref="X5:Y15" si="11">V5*T5</f>
        <v>3.1553030303030298E-2</v>
      </c>
      <c r="Y5" s="291">
        <f t="shared" si="11"/>
        <v>1.8405934343434342E-2</v>
      </c>
      <c r="Z5" s="236"/>
      <c r="AA5" s="281">
        <f t="shared" si="6"/>
        <v>1.8723776223776224E-2</v>
      </c>
      <c r="AB5" s="282">
        <f t="shared" si="7"/>
        <v>0.98127622377622381</v>
      </c>
      <c r="AC5" s="282">
        <f>AA5*PRODUCT(AB3:AB4)*PRODUCT(AB6:AB17)</f>
        <v>1.2640488908957068E-2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4.7725208195963922E-3</v>
      </c>
      <c r="AE5" s="220"/>
      <c r="AF5" s="234"/>
      <c r="AG5" s="283">
        <f t="shared" ref="AG5:AG15" si="12">Y5</f>
        <v>1.8405934343434342E-2</v>
      </c>
      <c r="AH5" s="284">
        <f t="shared" si="8"/>
        <v>0.98159406565656571</v>
      </c>
      <c r="AI5" s="284">
        <f>AG5*PRODUCT(AH3:AH4)*PRODUCT(AH6:AH17)</f>
        <v>1.3766556093673507E-2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3.6330712323635337E-3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1.4040322900770171E-2</v>
      </c>
      <c r="BM5" s="31">
        <v>1</v>
      </c>
      <c r="BN5" s="31">
        <v>1</v>
      </c>
      <c r="BO5" s="107">
        <f>$H$26*H40</f>
        <v>6.7802665127712658E-2</v>
      </c>
      <c r="BQ5" s="31">
        <f>BQ4+1</f>
        <v>2</v>
      </c>
      <c r="BR5" s="31">
        <v>0</v>
      </c>
      <c r="BS5" s="107">
        <f>$H$27*H39</f>
        <v>6.9521777011385344E-2</v>
      </c>
    </row>
    <row r="6" spans="1:71" ht="15.75" x14ac:dyDescent="0.25">
      <c r="A6" s="2" t="s">
        <v>35</v>
      </c>
      <c r="B6" s="269">
        <v>11.25</v>
      </c>
      <c r="C6" s="270">
        <v>4</v>
      </c>
      <c r="E6" s="248"/>
      <c r="F6" s="279" t="s">
        <v>144</v>
      </c>
      <c r="G6" s="279" t="s">
        <v>2</v>
      </c>
      <c r="H6" s="279" t="s">
        <v>37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97" t="s">
        <v>37</v>
      </c>
      <c r="P6" s="249">
        <f>COUNTIF(E4:I6,"IMP")</f>
        <v>3</v>
      </c>
      <c r="Q6" s="251">
        <f>COUNTIF(E9:I11,"IMP")</f>
        <v>2</v>
      </c>
      <c r="R6" s="258">
        <f t="shared" si="2"/>
        <v>0.45</v>
      </c>
      <c r="S6" s="258">
        <f t="shared" si="3"/>
        <v>0.54090909090909101</v>
      </c>
      <c r="T6" s="263">
        <f t="shared" si="4"/>
        <v>6.2412587412587421E-2</v>
      </c>
      <c r="U6" s="265">
        <f t="shared" si="5"/>
        <v>4.1608391608391616E-2</v>
      </c>
      <c r="V6" s="255">
        <f>$G$18</f>
        <v>0.3</v>
      </c>
      <c r="W6" s="253">
        <f>$H$18</f>
        <v>0.55000000000000004</v>
      </c>
      <c r="X6" s="290">
        <f t="shared" si="11"/>
        <v>1.8723776223776224E-2</v>
      </c>
      <c r="Y6" s="291">
        <f t="shared" si="11"/>
        <v>2.2884615384615392E-2</v>
      </c>
      <c r="Z6" s="236"/>
      <c r="AA6" s="281">
        <f t="shared" si="6"/>
        <v>1.1268939393939395E-3</v>
      </c>
      <c r="AB6" s="282">
        <f t="shared" si="7"/>
        <v>0.99887310606060609</v>
      </c>
      <c r="AC6" s="282">
        <f>AA6*PRODUCT(AB3:AB5)*PRODUCT(AB7:AB17)</f>
        <v>7.4736787980863434E-4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2.8133175125151641E-4</v>
      </c>
      <c r="AE6" s="220"/>
      <c r="AF6" s="234"/>
      <c r="AG6" s="283">
        <f t="shared" si="12"/>
        <v>2.2884615384615392E-2</v>
      </c>
      <c r="AH6" s="284">
        <f t="shared" si="8"/>
        <v>0.97711538461538461</v>
      </c>
      <c r="AI6" s="284">
        <f>AG6*PRODUCT(AH3:AH5)*PRODUCT(AH7:AH17)</f>
        <v>1.7194800083117006E-2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4.1350917133145121E-3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6.1866915233379401E-3</v>
      </c>
      <c r="BM6" s="31">
        <f>BI14+1</f>
        <v>2</v>
      </c>
      <c r="BN6" s="31">
        <v>2</v>
      </c>
      <c r="BO6" s="107">
        <f>$H$27*H41</f>
        <v>6.1610912909740703E-2</v>
      </c>
      <c r="BQ6" s="31">
        <f>BM5+1</f>
        <v>2</v>
      </c>
      <c r="BR6" s="31">
        <v>1</v>
      </c>
      <c r="BS6" s="107">
        <f>$H$27*H40</f>
        <v>9.6341553149285483E-2</v>
      </c>
    </row>
    <row r="7" spans="1:71" ht="15.75" x14ac:dyDescent="0.25">
      <c r="A7" s="5" t="s">
        <v>40</v>
      </c>
      <c r="B7" s="269">
        <v>12.25</v>
      </c>
      <c r="C7" s="270">
        <v>21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0.05</v>
      </c>
      <c r="N7" s="259">
        <f t="shared" si="10"/>
        <v>0.05</v>
      </c>
      <c r="O7" s="297" t="s">
        <v>181</v>
      </c>
      <c r="P7" s="249">
        <f>COUNTIF(E9:I9,"IMP")+COUNTIF(F10:H10,"IMP")</f>
        <v>1</v>
      </c>
      <c r="Q7" s="251">
        <f>COUNTIF(E4:I4,"IMP")+COUNTIF(F5:H5,"IMP")</f>
        <v>2</v>
      </c>
      <c r="R7" s="258">
        <f t="shared" si="2"/>
        <v>0.05</v>
      </c>
      <c r="S7" s="258">
        <f t="shared" si="3"/>
        <v>6.0101010101010106E-2</v>
      </c>
      <c r="T7" s="263">
        <f t="shared" si="4"/>
        <v>3.7563131313131316E-3</v>
      </c>
      <c r="U7" s="265">
        <f t="shared" si="5"/>
        <v>7.5126262626262633E-3</v>
      </c>
      <c r="V7" s="255">
        <f>$G$18</f>
        <v>0.3</v>
      </c>
      <c r="W7" s="253">
        <f>$H$18</f>
        <v>0.55000000000000004</v>
      </c>
      <c r="X7" s="290">
        <f t="shared" si="11"/>
        <v>1.1268939393939395E-3</v>
      </c>
      <c r="Y7" s="291">
        <f t="shared" si="11"/>
        <v>4.131944444444445E-3</v>
      </c>
      <c r="Z7" s="236"/>
      <c r="AA7" s="281">
        <f t="shared" si="6"/>
        <v>2.2537878787878787E-2</v>
      </c>
      <c r="AB7" s="282">
        <f t="shared" si="7"/>
        <v>0.97746212121212117</v>
      </c>
      <c r="AC7" s="282">
        <f>AA7*PRODUCT(AB3:AB6)*PRODUCT(AB8:AB17)</f>
        <v>1.5274774526272928E-2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5.3976857750696995E-3</v>
      </c>
      <c r="AE7" s="220"/>
      <c r="AF7" s="234"/>
      <c r="AG7" s="283">
        <f t="shared" si="12"/>
        <v>4.131944444444445E-3</v>
      </c>
      <c r="AH7" s="284">
        <f t="shared" si="8"/>
        <v>0.99586805555555558</v>
      </c>
      <c r="AI7" s="284">
        <f>AG7*PRODUCT(AH3:AH6)*PRODUCT(AH8:AH17)</f>
        <v>3.0461552673308988E-3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7.1991592059337736E-4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2.2340001638135997E-3</v>
      </c>
      <c r="BM7" s="31">
        <f>BI23+1</f>
        <v>3</v>
      </c>
      <c r="BN7" s="31">
        <v>3</v>
      </c>
      <c r="BO7" s="107">
        <f>$H$28*H42</f>
        <v>2.3807200549161973E-2</v>
      </c>
      <c r="BQ7" s="31">
        <f>BQ5+1</f>
        <v>3</v>
      </c>
      <c r="BR7" s="31">
        <v>0</v>
      </c>
      <c r="BS7" s="107">
        <f>$H$28*H39</f>
        <v>6.0966348548549987E-2</v>
      </c>
    </row>
    <row r="8" spans="1:71" ht="15.75" x14ac:dyDescent="0.25">
      <c r="A8" s="5" t="s">
        <v>44</v>
      </c>
      <c r="B8" s="269">
        <v>10.25</v>
      </c>
      <c r="C8" s="270">
        <v>24.75</v>
      </c>
      <c r="E8" s="250"/>
      <c r="F8" s="251"/>
      <c r="G8" s="280" t="s">
        <v>32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98" t="s">
        <v>182</v>
      </c>
      <c r="P8" s="249">
        <f>COUNTIF(E5:I6,"RAP")</f>
        <v>1</v>
      </c>
      <c r="Q8" s="251">
        <f>COUNTIF(E10:I11,"RAP")</f>
        <v>2</v>
      </c>
      <c r="R8" s="258">
        <f t="shared" si="2"/>
        <v>0.5</v>
      </c>
      <c r="S8" s="258">
        <f t="shared" si="3"/>
        <v>0.60101010101010099</v>
      </c>
      <c r="T8" s="263">
        <f t="shared" si="4"/>
        <v>3.7563131313131312E-2</v>
      </c>
      <c r="U8" s="265">
        <f t="shared" si="5"/>
        <v>7.5126262626262624E-2</v>
      </c>
      <c r="V8" s="255">
        <f>$G$17</f>
        <v>0.6</v>
      </c>
      <c r="W8" s="253">
        <f>$H$17</f>
        <v>0.7</v>
      </c>
      <c r="X8" s="290">
        <f t="shared" si="11"/>
        <v>2.2537878787878787E-2</v>
      </c>
      <c r="Y8" s="291">
        <f t="shared" si="11"/>
        <v>5.2588383838383837E-2</v>
      </c>
      <c r="Z8" s="236"/>
      <c r="AA8" s="281">
        <f t="shared" si="6"/>
        <v>2.2537878787878787E-2</v>
      </c>
      <c r="AB8" s="282">
        <f t="shared" si="7"/>
        <v>0.97746212121212117</v>
      </c>
      <c r="AC8" s="282">
        <f>AA8*PRODUCT(AB3:AB7)*PRODUCT(AB9:AB17)</f>
        <v>1.5274774526272926E-2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5.0454869437140549E-3</v>
      </c>
      <c r="AE8" s="220"/>
      <c r="AF8" s="234"/>
      <c r="AG8" s="283">
        <f t="shared" si="12"/>
        <v>5.2588383838383837E-2</v>
      </c>
      <c r="AH8" s="284">
        <f t="shared" si="8"/>
        <v>0.94741161616161618</v>
      </c>
      <c r="AI8" s="284">
        <f>AG8*PRODUCT(AH3:AH7)*PRODUCT(AH9:AH17)</f>
        <v>4.0752145968962643E-2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7.3691491995485237E-3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6.5874388679994136E-4</v>
      </c>
      <c r="BM8" s="31">
        <f>BI31+1</f>
        <v>4</v>
      </c>
      <c r="BN8" s="31">
        <v>4</v>
      </c>
      <c r="BO8" s="107">
        <f>$H$29*H43</f>
        <v>5.291194377203475E-3</v>
      </c>
      <c r="BQ8" s="31">
        <f>BQ6+1</f>
        <v>3</v>
      </c>
      <c r="BR8" s="31">
        <v>1</v>
      </c>
      <c r="BS8" s="107">
        <f>$H$28*H40</f>
        <v>8.4485652719234916E-2</v>
      </c>
    </row>
    <row r="9" spans="1:71" ht="15.75" x14ac:dyDescent="0.25">
      <c r="A9" s="5" t="s">
        <v>47</v>
      </c>
      <c r="B9" s="269">
        <v>7.25</v>
      </c>
      <c r="C9" s="270">
        <v>22.5</v>
      </c>
      <c r="E9" s="280" t="s">
        <v>1</v>
      </c>
      <c r="F9" s="280" t="s">
        <v>32</v>
      </c>
      <c r="G9" s="280" t="s">
        <v>32</v>
      </c>
      <c r="H9" s="280" t="s">
        <v>32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98" t="s">
        <v>183</v>
      </c>
      <c r="P9" s="249">
        <f>COUNTIF(E5:I6,"RAP")</f>
        <v>1</v>
      </c>
      <c r="Q9" s="251">
        <f>COUNTIF(E10:I11,"RAP")</f>
        <v>2</v>
      </c>
      <c r="R9" s="258">
        <f t="shared" si="2"/>
        <v>0.5</v>
      </c>
      <c r="S9" s="258">
        <f t="shared" si="3"/>
        <v>0.60101010101010099</v>
      </c>
      <c r="T9" s="263">
        <f t="shared" si="4"/>
        <v>3.7563131313131312E-2</v>
      </c>
      <c r="U9" s="265">
        <f t="shared" si="5"/>
        <v>7.5126262626262624E-2</v>
      </c>
      <c r="V9" s="255">
        <f>$G$17</f>
        <v>0.6</v>
      </c>
      <c r="W9" s="253">
        <f>$H$17</f>
        <v>0.7</v>
      </c>
      <c r="X9" s="290">
        <f t="shared" si="11"/>
        <v>2.2537878787878787E-2</v>
      </c>
      <c r="Y9" s="291">
        <f t="shared" si="11"/>
        <v>5.2588383838383837E-2</v>
      </c>
      <c r="Z9" s="236"/>
      <c r="AA9" s="281">
        <f t="shared" si="6"/>
        <v>3.9903129657228018E-2</v>
      </c>
      <c r="AB9" s="282">
        <f t="shared" si="7"/>
        <v>0.96009687034277202</v>
      </c>
      <c r="AC9" s="282">
        <f>AA9*PRODUCT(AB3:AB8)*PRODUCT(AB10:AB17)</f>
        <v>2.7533004849658548E-2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7.9502493249481859E-3</v>
      </c>
      <c r="AE9" s="220"/>
      <c r="AF9" s="234"/>
      <c r="AG9" s="283">
        <f t="shared" si="12"/>
        <v>5.2588383838383837E-2</v>
      </c>
      <c r="AH9" s="284">
        <f t="shared" si="8"/>
        <v>0.94741161616161618</v>
      </c>
      <c r="AI9" s="284">
        <f>AG9*PRODUCT(AH3:AH8)*PRODUCT(AH10:AH17)</f>
        <v>4.0752145968962643E-2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5.1071023152847866E-3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1.4831383763610107E-4</v>
      </c>
      <c r="BM9" s="31">
        <f>BI38+1</f>
        <v>5</v>
      </c>
      <c r="BN9" s="31">
        <v>5</v>
      </c>
      <c r="BO9" s="107">
        <f>$H$30*H44</f>
        <v>7.2830401193338444E-4</v>
      </c>
      <c r="BQ9" s="31">
        <f>BM6+1</f>
        <v>3</v>
      </c>
      <c r="BR9" s="31">
        <v>2</v>
      </c>
      <c r="BS9" s="107">
        <f>$H$28*H41</f>
        <v>5.4029004325284589E-2</v>
      </c>
    </row>
    <row r="10" spans="1:71" ht="15.75" x14ac:dyDescent="0.25">
      <c r="A10" s="6" t="s">
        <v>50</v>
      </c>
      <c r="B10" s="269">
        <v>16</v>
      </c>
      <c r="C10" s="270">
        <v>7.5</v>
      </c>
      <c r="E10" s="280" t="s">
        <v>1</v>
      </c>
      <c r="F10" s="280" t="s">
        <v>1</v>
      </c>
      <c r="G10" s="280"/>
      <c r="H10" s="280" t="s">
        <v>32</v>
      </c>
      <c r="I10" s="280" t="s">
        <v>37</v>
      </c>
      <c r="J10" s="245"/>
      <c r="K10" s="246">
        <v>18</v>
      </c>
      <c r="L10" s="246" t="s">
        <v>184</v>
      </c>
      <c r="M10" s="259">
        <v>0.15</v>
      </c>
      <c r="N10" s="259">
        <f t="shared" si="10"/>
        <v>0.15</v>
      </c>
      <c r="O10" s="246" t="s">
        <v>185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0.1803030303030303</v>
      </c>
      <c r="T10" s="263">
        <f>S10*G13</f>
        <v>0.13301043219076006</v>
      </c>
      <c r="U10" s="265">
        <f>S10*G14</f>
        <v>4.7292598112270233E-2</v>
      </c>
      <c r="V10" s="255">
        <f>$G$18</f>
        <v>0.3</v>
      </c>
      <c r="W10" s="253">
        <f>$H$18</f>
        <v>0.55000000000000004</v>
      </c>
      <c r="X10" s="290">
        <f t="shared" si="11"/>
        <v>3.9903129657228018E-2</v>
      </c>
      <c r="Y10" s="291">
        <f t="shared" si="11"/>
        <v>2.6010928961748631E-2</v>
      </c>
      <c r="Z10" s="236"/>
      <c r="AA10" s="281">
        <f t="shared" si="6"/>
        <v>0.13301043219076009</v>
      </c>
      <c r="AB10" s="282">
        <f t="shared" si="7"/>
        <v>0.86698956780923986</v>
      </c>
      <c r="AC10" s="282">
        <f>AA10*PRODUCT(AB3:AB9)*PRODUCT(AB11:AB17)</f>
        <v>0.10163271765805063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1.3754667560925041E-2</v>
      </c>
      <c r="AE10" s="220"/>
      <c r="AF10" s="234"/>
      <c r="AG10" s="283">
        <f t="shared" si="12"/>
        <v>2.6010928961748631E-2</v>
      </c>
      <c r="AH10" s="284">
        <f t="shared" si="8"/>
        <v>0.97398907103825139</v>
      </c>
      <c r="AI10" s="284">
        <f>AG10*PRODUCT(AH3:AH9)*PRODUCT(AH11:AH17)</f>
        <v>1.9606548299442882E-2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1.9335095444999644E-3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2.4444070102334177E-5</v>
      </c>
      <c r="BM10" s="31">
        <f>BI44+1</f>
        <v>6</v>
      </c>
      <c r="BN10" s="31">
        <v>6</v>
      </c>
      <c r="BO10" s="107">
        <f>$H$31*H45</f>
        <v>6.0872267660456491E-5</v>
      </c>
      <c r="BQ10" s="31">
        <f>BQ7+1</f>
        <v>4</v>
      </c>
      <c r="BR10" s="31">
        <v>0</v>
      </c>
      <c r="BS10" s="107">
        <f>$H$29*H39</f>
        <v>3.7524147267356256E-2</v>
      </c>
    </row>
    <row r="11" spans="1:71" ht="15.75" x14ac:dyDescent="0.25">
      <c r="A11" s="6" t="s">
        <v>53</v>
      </c>
      <c r="B11" s="269">
        <v>17</v>
      </c>
      <c r="C11" s="270">
        <v>3.5</v>
      </c>
      <c r="E11" s="250"/>
      <c r="F11" s="280"/>
      <c r="G11" s="280" t="s">
        <v>144</v>
      </c>
      <c r="H11" s="280"/>
      <c r="I11" s="250"/>
      <c r="J11" s="245"/>
      <c r="K11" s="246">
        <v>19</v>
      </c>
      <c r="L11" s="246" t="s">
        <v>184</v>
      </c>
      <c r="M11" s="259">
        <v>0.2</v>
      </c>
      <c r="N11" s="259">
        <f t="shared" si="10"/>
        <v>0.2</v>
      </c>
      <c r="O11" s="246" t="s">
        <v>186</v>
      </c>
      <c r="P11" s="249">
        <f>COUNTIF(E4:I6,"CAB")</f>
        <v>3</v>
      </c>
      <c r="Q11" s="251">
        <f>COUNTIF(E9:I11,"CAB")</f>
        <v>1</v>
      </c>
      <c r="R11" s="258">
        <f t="shared" si="2"/>
        <v>0.2</v>
      </c>
      <c r="S11" s="258">
        <f t="shared" si="3"/>
        <v>0.24040404040404043</v>
      </c>
      <c r="T11" s="263">
        <f>IF(P11&gt;0,IF(Q11&gt;0,G13*S11,S11),0)</f>
        <v>0.17734724292101345</v>
      </c>
      <c r="U11" s="265">
        <f>IF(Q11&gt;0,IF(P11&gt;0,G14*S11,S11),0)</f>
        <v>6.3056797483026991E-2</v>
      </c>
      <c r="V11" s="255">
        <f>IF(P11-Q11&gt;2,0.9,IF(P11-Q11&gt;1,0.75,IF(P11-Q11=0,0.5,0.15)))</f>
        <v>0.75</v>
      </c>
      <c r="W11" s="253">
        <f>IF(Q11-P11&gt;2,0.9,IF(Q11-P11&gt;1,0.75,IF(Q11-P11=0,0.5,0.15)))</f>
        <v>0.15</v>
      </c>
      <c r="X11" s="290">
        <f t="shared" si="11"/>
        <v>0.13301043219076009</v>
      </c>
      <c r="Y11" s="291">
        <f t="shared" si="11"/>
        <v>9.4585196224540487E-3</v>
      </c>
      <c r="Z11" s="236"/>
      <c r="AA11" s="281">
        <f t="shared" si="6"/>
        <v>1.8030303030303031E-3</v>
      </c>
      <c r="AB11" s="282">
        <f t="shared" si="7"/>
        <v>0.99819696969696969</v>
      </c>
      <c r="AC11" s="282">
        <f>AA11*PRODUCT(AB3:AB10)*PRODUCT(AB12:AB17)</f>
        <v>1.1965985842670053E-3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1.597826673329652E-4</v>
      </c>
      <c r="AE11" s="220"/>
      <c r="AF11" s="234"/>
      <c r="AG11" s="283">
        <f t="shared" si="12"/>
        <v>9.4585196224540487E-3</v>
      </c>
      <c r="AH11" s="284">
        <f t="shared" si="8"/>
        <v>0.99054148037754597</v>
      </c>
      <c r="AI11" s="284">
        <f>AG11*PRODUCT(AH3:AH10)*PRODUCT(AH12:AH17)</f>
        <v>7.0105140903382211E-3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6.2440308560184499E-4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2.9063250550772354E-6</v>
      </c>
      <c r="BM11" s="31">
        <f>BI50+1</f>
        <v>7</v>
      </c>
      <c r="BN11" s="31">
        <v>7</v>
      </c>
      <c r="BO11" s="107">
        <f>$H$32*H46</f>
        <v>3.0139570541954449E-6</v>
      </c>
      <c r="BQ11" s="31">
        <f>BQ8+1</f>
        <v>4</v>
      </c>
      <c r="BR11" s="31">
        <v>1</v>
      </c>
      <c r="BS11" s="107">
        <f>$H$29*H40</f>
        <v>5.2000031986345514E-2</v>
      </c>
    </row>
    <row r="12" spans="1:71" ht="15.75" x14ac:dyDescent="0.25">
      <c r="A12" s="6" t="s">
        <v>57</v>
      </c>
      <c r="B12" s="269">
        <v>9.75</v>
      </c>
      <c r="C12" s="270">
        <v>6.5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0.05</v>
      </c>
      <c r="N12" s="259">
        <f t="shared" si="10"/>
        <v>0.05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1</v>
      </c>
      <c r="R12" s="258">
        <f t="shared" si="2"/>
        <v>0.05</v>
      </c>
      <c r="S12" s="258">
        <f t="shared" si="3"/>
        <v>6.0101010101010106E-2</v>
      </c>
      <c r="T12" s="263">
        <f>IF(S12=0,0,IF(Q12=0,S12*P12/L12,S12*P12/(L12*2)))</f>
        <v>6.0101010101010106E-3</v>
      </c>
      <c r="U12" s="265">
        <f>IF(S12=0,0,IF(P12=0,S12*Q12/L12,S12*Q12/(L12*2)))</f>
        <v>6.0101010101010106E-3</v>
      </c>
      <c r="V12" s="255">
        <f>$G$18</f>
        <v>0.3</v>
      </c>
      <c r="W12" s="253">
        <f>$H$18</f>
        <v>0.55000000000000004</v>
      </c>
      <c r="X12" s="290">
        <f t="shared" si="11"/>
        <v>1.8030303030303031E-3</v>
      </c>
      <c r="Y12" s="291">
        <f t="shared" si="11"/>
        <v>3.3055555555555559E-3</v>
      </c>
      <c r="Z12" s="236"/>
      <c r="AA12" s="281">
        <f t="shared" si="6"/>
        <v>8.1136363636363631E-2</v>
      </c>
      <c r="AB12" s="282">
        <f t="shared" si="7"/>
        <v>0.91886363636363633</v>
      </c>
      <c r="AC12" s="282">
        <f>AA12*PRODUCT(AB3:AB11)*PRODUCT(AB13:AB17)</f>
        <v>5.8496001481643273E-2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2.6457712566763771E-3</v>
      </c>
      <c r="AE12" s="220"/>
      <c r="AF12" s="234"/>
      <c r="AG12" s="283">
        <f t="shared" si="12"/>
        <v>3.3055555555555559E-3</v>
      </c>
      <c r="AH12" s="284">
        <f t="shared" si="8"/>
        <v>0.99669444444444444</v>
      </c>
      <c r="AI12" s="284">
        <f>AG12*PRODUCT(AH3:AH11)*PRODUCT(AH13:AH17)</f>
        <v>2.434903687810192E-3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2.0879333950258303E-4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2.4838053717263759E-7</v>
      </c>
      <c r="BM12" s="31">
        <f>BI54+1</f>
        <v>8</v>
      </c>
      <c r="BN12" s="31">
        <v>8</v>
      </c>
      <c r="BO12" s="107">
        <f>$H$33*H47</f>
        <v>8.6077421563346673E-8</v>
      </c>
      <c r="BQ12" s="31">
        <f>BQ9+1</f>
        <v>4</v>
      </c>
      <c r="BR12" s="31">
        <v>2</v>
      </c>
      <c r="BS12" s="107">
        <f>$H$29*H41</f>
        <v>3.3254284753434296E-2</v>
      </c>
    </row>
    <row r="13" spans="1:71" ht="15.75" x14ac:dyDescent="0.25">
      <c r="A13" s="7" t="s">
        <v>60</v>
      </c>
      <c r="B13" s="269">
        <v>9.25</v>
      </c>
      <c r="C13" s="270">
        <v>12.5</v>
      </c>
      <c r="E13" s="247"/>
      <c r="F13" s="247" t="s">
        <v>164</v>
      </c>
      <c r="G13" s="254">
        <f>B22</f>
        <v>0.73770491803278693</v>
      </c>
      <c r="H13" s="247"/>
      <c r="I13" s="247"/>
      <c r="J13" s="245"/>
      <c r="K13" s="246">
        <v>37</v>
      </c>
      <c r="L13" s="246">
        <v>2</v>
      </c>
      <c r="M13" s="259">
        <v>0.15</v>
      </c>
      <c r="N13" s="259">
        <f t="shared" si="10"/>
        <v>0.15</v>
      </c>
      <c r="O13" s="246" t="s">
        <v>187</v>
      </c>
      <c r="P13" s="249">
        <f>COUNTIF(E5:I6,"CAB")</f>
        <v>3</v>
      </c>
      <c r="Q13" s="251">
        <f>COUNTIF(E10:I11,"CAB")</f>
        <v>1</v>
      </c>
      <c r="R13" s="258">
        <f t="shared" si="2"/>
        <v>0.15</v>
      </c>
      <c r="S13" s="258">
        <f t="shared" si="3"/>
        <v>0.1803030303030303</v>
      </c>
      <c r="T13" s="263">
        <f>S13*P13/(Q13+P13)</f>
        <v>0.13522727272727272</v>
      </c>
      <c r="U13" s="265">
        <f>S13*Q13/(Q13+P13)</f>
        <v>4.5075757575757575E-2</v>
      </c>
      <c r="V13" s="255">
        <f>$G$17</f>
        <v>0.6</v>
      </c>
      <c r="W13" s="253">
        <f>$H$17</f>
        <v>0.7</v>
      </c>
      <c r="X13" s="290">
        <f t="shared" si="11"/>
        <v>8.1136363636363631E-2</v>
      </c>
      <c r="Y13" s="291">
        <f t="shared" si="11"/>
        <v>3.1553030303030298E-2</v>
      </c>
      <c r="Z13" s="236"/>
      <c r="AA13" s="281">
        <f t="shared" si="6"/>
        <v>4.3272727272727268E-2</v>
      </c>
      <c r="AB13" s="282">
        <f t="shared" si="7"/>
        <v>0.95672727272727276</v>
      </c>
      <c r="AC13" s="282">
        <f>AA13*PRODUCT(AB3:AB12)*PRODUCT(AB14:AB17)</f>
        <v>2.9963174203760764E-2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3.1553030303030298E-2</v>
      </c>
      <c r="AH13" s="284">
        <f t="shared" si="8"/>
        <v>0.96844696969696975</v>
      </c>
      <c r="AI13" s="284">
        <f>AG13*PRODUCT(AH3:AH12)*PRODUCT(AH14:AH17)</f>
        <v>2.392018831134753E-2</v>
      </c>
      <c r="AJ13" s="284">
        <f>AG13*AG14*PRODUCT(AH3:AH12)*PRODUCT(AH15:AH17)+AG13*AG15*PRODUCT(AH3:AH12)*AH14*PRODUCT(AH16:AH17)+AG13*AG16*PRODUCT(AH3:AH12)*AH14*AH15*AH17+AG13*AG17*PRODUCT(AH3:AH12)*AH14*AH15*AH16</f>
        <v>1.2718144420343709E-3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1.5224226998845806E-8</v>
      </c>
      <c r="BM13" s="31">
        <f>BI57+1</f>
        <v>9</v>
      </c>
      <c r="BN13" s="31">
        <v>9</v>
      </c>
      <c r="BO13" s="107">
        <f>$H$34*H48</f>
        <v>1.3656643217849778E-9</v>
      </c>
      <c r="BQ13" s="31">
        <f>BM7+1</f>
        <v>4</v>
      </c>
      <c r="BR13" s="31">
        <v>3</v>
      </c>
      <c r="BS13" s="107">
        <f>$H$29*H42</f>
        <v>1.465308191647449E-2</v>
      </c>
    </row>
    <row r="14" spans="1:71" ht="15.75" x14ac:dyDescent="0.25">
      <c r="A14" s="7" t="s">
        <v>63</v>
      </c>
      <c r="B14" s="269">
        <v>7.25</v>
      </c>
      <c r="C14" s="270">
        <v>10.5</v>
      </c>
      <c r="E14" s="247"/>
      <c r="F14" s="247" t="s">
        <v>165</v>
      </c>
      <c r="G14" s="252">
        <f>C22</f>
        <v>0.26229508196721307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188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0.14424242424242423</v>
      </c>
      <c r="T14" s="263">
        <f>S14*P14/(Q14+P14)</f>
        <v>7.2121212121212114E-2</v>
      </c>
      <c r="U14" s="265">
        <f>S14*Q14/(Q14+P14)</f>
        <v>7.2121212121212114E-2</v>
      </c>
      <c r="V14" s="255">
        <f>$G$17</f>
        <v>0.6</v>
      </c>
      <c r="W14" s="253">
        <f>$H$17</f>
        <v>0.7</v>
      </c>
      <c r="X14" s="290">
        <f t="shared" si="11"/>
        <v>4.3272727272727268E-2</v>
      </c>
      <c r="Y14" s="291">
        <f t="shared" si="11"/>
        <v>5.048484848484848E-2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5.048484848484848E-2</v>
      </c>
      <c r="AH14" s="284">
        <f t="shared" si="8"/>
        <v>0.94951515151515153</v>
      </c>
      <c r="AI14" s="284">
        <f>AG14*PRODUCT(AH3:AH13)*PRODUCT(AH15:AH17)</f>
        <v>3.9035389963376674E-2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4.3360148966653848E-2</v>
      </c>
      <c r="BM14" s="31">
        <f>BQ39+1</f>
        <v>10</v>
      </c>
      <c r="BN14" s="31">
        <v>10</v>
      </c>
      <c r="BO14" s="107">
        <f>$H$35*H49</f>
        <v>1.1430502931799029E-11</v>
      </c>
      <c r="BQ14" s="31">
        <f>BQ10+1</f>
        <v>5</v>
      </c>
      <c r="BR14" s="31">
        <v>0</v>
      </c>
      <c r="BS14" s="107">
        <f>$H$30*H39</f>
        <v>1.7516059858535157E-2</v>
      </c>
    </row>
    <row r="15" spans="1:71" ht="15.75" x14ac:dyDescent="0.25">
      <c r="A15" s="184" t="s">
        <v>67</v>
      </c>
      <c r="B15" s="271">
        <v>8</v>
      </c>
      <c r="C15" s="272">
        <v>8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189</v>
      </c>
      <c r="P15" s="249">
        <f>IF(COUNTIF(E9:I9,"CAB")+COUNTIF(F10:H10,"CAB") &gt; 0, COUNTIF(E5:I6,"TEC"),0)</f>
        <v>0</v>
      </c>
      <c r="Q15" s="251">
        <f>IF(COUNTIF(E4:I4,"CAB")+COUNTIF(F5:H5,"CAB") &gt; 0, COUNTIF(E10:I11,"TEC"),0)</f>
        <v>0</v>
      </c>
      <c r="R15" s="258">
        <f t="shared" si="2"/>
        <v>0</v>
      </c>
      <c r="S15" s="258">
        <f t="shared" si="3"/>
        <v>0</v>
      </c>
      <c r="T15" s="263">
        <f>IF(S15=0,0,IF(Q15=0,S15*P15/L15,S15*P15/(L15*2)))</f>
        <v>0</v>
      </c>
      <c r="U15" s="265">
        <f>IF(S15=0,0,IF(P15=0,S15*Q15/L15,S15*Q15/(L15*2)))</f>
        <v>0</v>
      </c>
      <c r="V15" s="255">
        <f>$G$17</f>
        <v>0.6</v>
      </c>
      <c r="W15" s="253">
        <f>$H$17</f>
        <v>0.7</v>
      </c>
      <c r="X15" s="290">
        <f t="shared" si="11"/>
        <v>0</v>
      </c>
      <c r="Y15" s="291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1.9106103752638961E-2</v>
      </c>
      <c r="BQ15" s="31">
        <f>BQ11+1</f>
        <v>5</v>
      </c>
      <c r="BR15" s="31">
        <v>1</v>
      </c>
      <c r="BS15" s="107">
        <f>$H$30*H40</f>
        <v>2.4273321027895627E-2</v>
      </c>
    </row>
    <row r="16" spans="1:71" x14ac:dyDescent="0.25">
      <c r="A16" s="184" t="s">
        <v>70</v>
      </c>
      <c r="B16" s="52">
        <v>12</v>
      </c>
      <c r="C16" s="54">
        <v>17</v>
      </c>
      <c r="E16" s="247"/>
      <c r="F16" s="247" t="s">
        <v>8</v>
      </c>
      <c r="G16" s="277">
        <v>0.85</v>
      </c>
      <c r="H16" s="278">
        <v>0.8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6.8991703808445343E-3</v>
      </c>
      <c r="BQ16" s="31">
        <f>BQ12+1</f>
        <v>5</v>
      </c>
      <c r="BR16" s="31">
        <v>2</v>
      </c>
      <c r="BS16" s="107">
        <f>$H$30*H41</f>
        <v>1.5522912170229494E-2</v>
      </c>
    </row>
    <row r="17" spans="1:71" x14ac:dyDescent="0.25">
      <c r="A17" s="183" t="s">
        <v>74</v>
      </c>
      <c r="B17" s="273" t="s">
        <v>192</v>
      </c>
      <c r="C17" s="274" t="s">
        <v>145</v>
      </c>
      <c r="E17" s="247"/>
      <c r="F17" s="247" t="s">
        <v>166</v>
      </c>
      <c r="G17" s="277">
        <v>0.6</v>
      </c>
      <c r="H17" s="278">
        <v>0.7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2.0343715215375281E-3</v>
      </c>
      <c r="BQ17" s="31">
        <f>BQ13+1</f>
        <v>5</v>
      </c>
      <c r="BR17" s="31">
        <v>3</v>
      </c>
      <c r="BS17" s="107">
        <f>$H$30*H42</f>
        <v>6.8399758196309142E-3</v>
      </c>
    </row>
    <row r="18" spans="1:71" x14ac:dyDescent="0.25">
      <c r="A18" s="183" t="s">
        <v>78</v>
      </c>
      <c r="B18" s="273">
        <v>20</v>
      </c>
      <c r="C18" s="274">
        <v>24</v>
      </c>
      <c r="E18" s="247"/>
      <c r="F18" s="246" t="s">
        <v>3</v>
      </c>
      <c r="G18" s="277">
        <v>0.3</v>
      </c>
      <c r="H18" s="278">
        <v>0.55000000000000004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0.66246312042096289</v>
      </c>
      <c r="AC18" s="176">
        <f>SUM(AC3:AC17)</f>
        <v>0.26275890261869178</v>
      </c>
      <c r="AD18" s="176">
        <f>SUM(AD3:AD17)</f>
        <v>4.0007496099514234E-2</v>
      </c>
      <c r="AE18" s="176">
        <f>1-AB18-AC18-AD18</f>
        <v>3.4770480860831093E-2</v>
      </c>
      <c r="AF18" s="234"/>
      <c r="AG18" s="158"/>
      <c r="AH18" s="179">
        <f>PRODUCT(AH3:AH17)</f>
        <v>0.7341746153135924</v>
      </c>
      <c r="AI18" s="176">
        <f>SUM(AI3:AI17)</f>
        <v>0.2075193477343622</v>
      </c>
      <c r="AJ18" s="176">
        <f>SUM(AJ3:AJ17)</f>
        <v>2.5002850792743499E-2</v>
      </c>
      <c r="AK18" s="176">
        <f>1-AH18-AI18-AJ18</f>
        <v>3.330318615930189E-2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4.5803149537000252E-4</v>
      </c>
      <c r="BQ18" s="31">
        <f>BM8+1</f>
        <v>5</v>
      </c>
      <c r="BR18" s="31">
        <v>4</v>
      </c>
      <c r="BS18" s="107">
        <f>$H$30*H43</f>
        <v>2.4698996295344864E-3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7.5489611491086114E-5</v>
      </c>
      <c r="BQ19" s="31">
        <f>BQ15+1</f>
        <v>6</v>
      </c>
      <c r="BR19" s="31">
        <v>1</v>
      </c>
      <c r="BS19" s="107">
        <f>$H$31*H40</f>
        <v>9.0109567168789283E-3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8.9754835572018584E-6</v>
      </c>
      <c r="BQ20" s="31">
        <f>BQ16+1</f>
        <v>6</v>
      </c>
      <c r="BR20" s="31">
        <v>2</v>
      </c>
      <c r="BS20" s="107">
        <f>$H$31*H41</f>
        <v>5.7625526200185424E-3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7.6706334806817711E-7</v>
      </c>
      <c r="BQ21" s="31">
        <f>BQ17+1</f>
        <v>6</v>
      </c>
      <c r="BR21" s="31">
        <v>3</v>
      </c>
      <c r="BS21" s="107">
        <f>$H$31*H42</f>
        <v>2.5391962634350763E-3</v>
      </c>
    </row>
    <row r="22" spans="1:71" x14ac:dyDescent="0.25">
      <c r="A22" s="26" t="s">
        <v>87</v>
      </c>
      <c r="B22" s="206">
        <f>(B6)/((B6)+(C6))</f>
        <v>0.73770491803278693</v>
      </c>
      <c r="C22" s="207">
        <f>1-B22</f>
        <v>0.26229508196721307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4.7016351065251995E-8</v>
      </c>
      <c r="BQ22" s="31">
        <f>BQ18+1</f>
        <v>6</v>
      </c>
      <c r="BR22" s="31">
        <v>4</v>
      </c>
      <c r="BS22" s="107">
        <f>$H$31*H43</f>
        <v>9.168979651030493E-4</v>
      </c>
    </row>
    <row r="23" spans="1:71" ht="15.75" thickBot="1" x14ac:dyDescent="0.3">
      <c r="A23" s="40" t="s">
        <v>88</v>
      </c>
      <c r="B23" s="56">
        <f>((B22^2.8)/((B22^2.8)+(C22^2.8)))*B21</f>
        <v>4.7380944928314133</v>
      </c>
      <c r="C23" s="57">
        <f>B21-B23</f>
        <v>0.26190550716858674</v>
      </c>
      <c r="D23" s="149">
        <f>SUM(D25:D30)</f>
        <v>1</v>
      </c>
      <c r="E23" s="149">
        <f>SUM(E25:E30)</f>
        <v>1</v>
      </c>
      <c r="H23" s="266">
        <f>SUM(H25:H35)</f>
        <v>0.99999545218956798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1.0050760126517704</v>
      </c>
      <c r="V23" s="208">
        <f>SUM(V25:V34)</f>
        <v>0.41657152421991189</v>
      </c>
      <c r="Y23" s="205">
        <f>SUM(Y25:Y35)</f>
        <v>1.5550568200970871E-13</v>
      </c>
      <c r="Z23" s="81"/>
      <c r="AA23" s="205">
        <f>SUM(AA25:AA35)</f>
        <v>2.8133088522201508E-11</v>
      </c>
      <c r="AB23" s="81"/>
      <c r="AC23" s="205">
        <f>SUM(AC25:AC35)</f>
        <v>2.2903600441555752E-9</v>
      </c>
      <c r="AD23" s="81"/>
      <c r="AE23" s="205">
        <f>SUM(AE25:AE35)</f>
        <v>1.1049687887285833E-7</v>
      </c>
      <c r="AF23" s="81"/>
      <c r="AG23" s="205">
        <f>SUM(AG25:AG35)</f>
        <v>3.4984111504684624E-6</v>
      </c>
      <c r="AH23" s="81"/>
      <c r="AI23" s="205">
        <f>SUM(AI25:AI35)</f>
        <v>7.5952624966977835E-5</v>
      </c>
      <c r="AJ23" s="81"/>
      <c r="AK23" s="205">
        <f>SUM(AK25:AK35)</f>
        <v>1.1451566102737797E-3</v>
      </c>
      <c r="AL23" s="81"/>
      <c r="AM23" s="205">
        <f>SUM(AM25:AM35)</f>
        <v>1.1840016793927264E-2</v>
      </c>
      <c r="AN23" s="81"/>
      <c r="AO23" s="205">
        <f>SUM(AO25:AO35)</f>
        <v>8.034398326114589E-2</v>
      </c>
      <c r="AP23" s="81"/>
      <c r="AQ23" s="205">
        <f>SUM(AQ25:AQ35)</f>
        <v>0.32316280370291994</v>
      </c>
      <c r="AR23" s="81"/>
      <c r="AS23" s="205">
        <f>SUM(AS25:AS35)</f>
        <v>0.58342847578008805</v>
      </c>
      <c r="BI23" s="31">
        <f t="shared" ref="BI23:BI29" si="14">BI15+1</f>
        <v>2</v>
      </c>
      <c r="BJ23" s="31">
        <v>3</v>
      </c>
      <c r="BK23" s="107">
        <f t="shared" ref="BK23:BK30" si="15">$H$27*H42</f>
        <v>2.7148073113254123E-2</v>
      </c>
      <c r="BQ23" s="31">
        <f>BM9+1</f>
        <v>6</v>
      </c>
      <c r="BR23" s="31">
        <v>5</v>
      </c>
      <c r="BS23" s="107">
        <f>$H$31*H44</f>
        <v>2.7036745077935285E-4</v>
      </c>
    </row>
    <row r="24" spans="1:71" ht="15.75" thickBot="1" x14ac:dyDescent="0.3">
      <c r="A24" s="26" t="s">
        <v>89</v>
      </c>
      <c r="B24" s="64">
        <f>B23/B21</f>
        <v>0.94761889856628267</v>
      </c>
      <c r="C24" s="65">
        <f>C23/B21</f>
        <v>5.2381101433717346E-2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9.8031071297880242E-3</v>
      </c>
      <c r="BQ24" s="31">
        <f>BI49+1</f>
        <v>7</v>
      </c>
      <c r="BR24" s="31">
        <v>0</v>
      </c>
      <c r="BS24" s="107">
        <f t="shared" ref="BS24:BS30" si="16">$H$32*H39</f>
        <v>1.9534569984397412E-3</v>
      </c>
    </row>
    <row r="25" spans="1:71" x14ac:dyDescent="0.25">
      <c r="A25" s="26" t="s">
        <v>114</v>
      </c>
      <c r="B25" s="209">
        <f>1/(1+EXP(-3.1416*4*((B11/(B11+C8))-(3.1416/6))))</f>
        <v>0.18802271968133438</v>
      </c>
      <c r="C25" s="207">
        <f>1/(1+EXP(-3.1416*4*((C11/(C11+B8))-(3.1416/6))))</f>
        <v>3.2893070991375464E-2</v>
      </c>
      <c r="D25" s="204">
        <f>IF(B17="AOW",0.36-0.08,IF(B17="AIM",0.36+0.08,IF(B17="TL",(0.361)-(0.36*B32),0.36)))</f>
        <v>0.44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6.1093775074718505E-2</v>
      </c>
      <c r="I25" s="97">
        <v>0</v>
      </c>
      <c r="J25" s="98">
        <f t="shared" ref="J25:J35" si="17">Y25+AA25+AC25+AE25+AG25+AI25+AK25+AM25+AO25+AQ25+AS25</f>
        <v>9.2222152737946234E-2</v>
      </c>
      <c r="K25" s="97">
        <v>0</v>
      </c>
      <c r="L25" s="98">
        <f>AB18</f>
        <v>0.66246312042096289</v>
      </c>
      <c r="M25" s="85">
        <v>0</v>
      </c>
      <c r="N25" s="210">
        <f>(1-$B$24)^$B$21</f>
        <v>3.9434208754545679E-7</v>
      </c>
      <c r="O25" s="72">
        <v>0</v>
      </c>
      <c r="P25" s="210">
        <f t="shared" ref="P25:P30" si="18">N25</f>
        <v>3.9434208754545679E-7</v>
      </c>
      <c r="Q25" s="28">
        <v>0</v>
      </c>
      <c r="R25" s="211">
        <f>P25*N25</f>
        <v>1.5550568200970871E-13</v>
      </c>
      <c r="S25" s="72">
        <v>0</v>
      </c>
      <c r="T25" s="212">
        <f>(1-$B$33)^(INT(C23*2*(1-C31)))</f>
        <v>1</v>
      </c>
      <c r="U25" s="138">
        <v>0</v>
      </c>
      <c r="V25" s="86">
        <f>R25*T25</f>
        <v>1.5550568200970871E-13</v>
      </c>
      <c r="W25" s="134">
        <f>B31</f>
        <v>0.22381203682116824</v>
      </c>
      <c r="X25" s="28">
        <v>0</v>
      </c>
      <c r="Y25" s="213">
        <f>V25</f>
        <v>1.5550568200970871E-13</v>
      </c>
      <c r="Z25" s="28">
        <v>0</v>
      </c>
      <c r="AA25" s="213">
        <f>((1-W25)^Z26)*V26</f>
        <v>2.183656467797736E-11</v>
      </c>
      <c r="AB25" s="28">
        <v>0</v>
      </c>
      <c r="AC25" s="213">
        <f>(((1-$W$25)^AB27))*V27</f>
        <v>1.3798680720744972E-9</v>
      </c>
      <c r="AD25" s="28">
        <v>0</v>
      </c>
      <c r="AE25" s="213">
        <f>(((1-$W$25)^AB28))*V28</f>
        <v>5.1671458672458981E-8</v>
      </c>
      <c r="AF25" s="28">
        <v>0</v>
      </c>
      <c r="AG25" s="213">
        <f>(((1-$W$25)^AB29))*V29</f>
        <v>1.2698091813338028E-6</v>
      </c>
      <c r="AH25" s="28">
        <v>0</v>
      </c>
      <c r="AI25" s="213">
        <f>(((1-$W$25)^AB30))*V30</f>
        <v>2.139820312819294E-5</v>
      </c>
      <c r="AJ25" s="28">
        <v>0</v>
      </c>
      <c r="AK25" s="213">
        <f>(((1-$W$25)^AB31))*V31</f>
        <v>2.5041844006259137E-4</v>
      </c>
      <c r="AL25" s="28">
        <v>0</v>
      </c>
      <c r="AM25" s="213">
        <f>(((1-$W$25)^AB32))*V32</f>
        <v>2.0096509998759182E-3</v>
      </c>
      <c r="AN25" s="28">
        <v>0</v>
      </c>
      <c r="AO25" s="213">
        <f>(((1-$W$25)^AB33))*V33</f>
        <v>1.0584944564995832E-2</v>
      </c>
      <c r="AP25" s="28">
        <v>0</v>
      </c>
      <c r="AQ25" s="213">
        <f>(((1-$W$25)^AB34))*V34</f>
        <v>3.3046350104311416E-2</v>
      </c>
      <c r="AR25" s="28">
        <v>0</v>
      </c>
      <c r="AS25" s="213">
        <f>(((1-$W$25)^AB35))*V35</f>
        <v>4.6308067543072144E-2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2.8906608862413674E-3</v>
      </c>
      <c r="BQ25" s="31">
        <f>BQ19+1</f>
        <v>7</v>
      </c>
      <c r="BR25" s="31">
        <v>1</v>
      </c>
      <c r="BS25" s="107">
        <f t="shared" si="16"/>
        <v>2.7070522263722527E-3</v>
      </c>
    </row>
    <row r="26" spans="1:71" x14ac:dyDescent="0.25">
      <c r="A26" s="40" t="s">
        <v>115</v>
      </c>
      <c r="B26" s="206">
        <f>1/(1+EXP(-3.1416*4*((B10/(B10+C9))-(3.1416/6))))</f>
        <v>0.20466856051814544</v>
      </c>
      <c r="C26" s="207">
        <f>1/(1+EXP(-3.1416*4*((C10/(C10+B9))-(3.1416/6))))</f>
        <v>0.45262451248885405</v>
      </c>
      <c r="D26" s="204">
        <f>IF(B17="AOW",0.257+0.04,IF(B17="AIM",0.257-0.04,IF(B17="TL",(0.257)-(0.257*B32),0.257)))</f>
        <v>0.217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0.18867338072614606</v>
      </c>
      <c r="I26" s="138">
        <v>1</v>
      </c>
      <c r="J26" s="86">
        <f t="shared" si="17"/>
        <v>0.24822693370628029</v>
      </c>
      <c r="K26" s="138">
        <v>1</v>
      </c>
      <c r="L26" s="86">
        <f>AC18</f>
        <v>0.26275890261869178</v>
      </c>
      <c r="M26" s="85">
        <v>1</v>
      </c>
      <c r="N26" s="210">
        <f>(($B$24)^M26)*((1-($B$24))^($B$21-M26))*HLOOKUP($B$21,$AV$24:$BF$34,M26+1)</f>
        <v>3.566992717125412E-5</v>
      </c>
      <c r="O26" s="72">
        <v>1</v>
      </c>
      <c r="P26" s="210">
        <f t="shared" si="18"/>
        <v>3.566992717125412E-5</v>
      </c>
      <c r="Q26" s="28">
        <v>1</v>
      </c>
      <c r="R26" s="211">
        <f>N26*P25+P26*N25</f>
        <v>2.8132307086613521E-11</v>
      </c>
      <c r="S26" s="72">
        <v>1</v>
      </c>
      <c r="T26" s="212">
        <f t="shared" ref="T26:T35" si="19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2.8133088522201508E-11</v>
      </c>
      <c r="W26" s="214"/>
      <c r="X26" s="28">
        <v>1</v>
      </c>
      <c r="Y26" s="211"/>
      <c r="Z26" s="28">
        <v>1</v>
      </c>
      <c r="AA26" s="213">
        <f>(1-((1-W25)^Z26))*V26</f>
        <v>6.2965238442241493E-12</v>
      </c>
      <c r="AB26" s="28">
        <v>1</v>
      </c>
      <c r="AC26" s="213">
        <f>((($W$25)^M26)*((1-($W$25))^($U$27-M26))*HLOOKUP($U$27,$AV$24:$BF$34,M26+1))*V27</f>
        <v>7.9576365108959547E-10</v>
      </c>
      <c r="AD26" s="28">
        <v>1</v>
      </c>
      <c r="AE26" s="213">
        <f>((($W$25)^M26)*((1-($W$25))^($U$28-M26))*HLOOKUP($U$28,$AV$24:$BF$34,M26+1))*V28</f>
        <v>4.469804335914206E-8</v>
      </c>
      <c r="AF26" s="28">
        <v>1</v>
      </c>
      <c r="AG26" s="213">
        <f>((($W$25)^M26)*((1-($W$25))^($U$29-M26))*HLOOKUP($U$29,$AV$24:$BF$34,M26+1))*V29</f>
        <v>1.4645863771688505E-6</v>
      </c>
      <c r="AH26" s="28">
        <v>1</v>
      </c>
      <c r="AI26" s="213">
        <f>((($W$25)^M26)*((1-($W$25))^($U$30-M26))*HLOOKUP($U$30,$AV$24:$BF$34,M26+1))*V30</f>
        <v>3.0850616433293886E-5</v>
      </c>
      <c r="AJ26" s="28">
        <v>1</v>
      </c>
      <c r="AK26" s="213">
        <f>((($W$25)^M26)*((1-($W$25))^($U$31-M26))*HLOOKUP($U$31,$AV$24:$BF$34,M26+1))*V31</f>
        <v>4.3324553165023926E-4</v>
      </c>
      <c r="AL26" s="28">
        <v>1</v>
      </c>
      <c r="AM26" s="213">
        <f>((($W$25)^Q26)*((1-($W$25))^($U$32-Q26))*HLOOKUP($U$32,$AV$24:$BF$34,Q26+1))*V32</f>
        <v>4.0563481198278807E-3</v>
      </c>
      <c r="AN26" s="28">
        <v>1</v>
      </c>
      <c r="AO26" s="213">
        <f>((($W$25)^Q26)*((1-($W$25))^($U$33-Q26))*HLOOKUP($U$33,$AV$24:$BF$34,Q26+1))*V33</f>
        <v>2.4417157854688877E-2</v>
      </c>
      <c r="AP26" s="28">
        <v>1</v>
      </c>
      <c r="AQ26" s="213">
        <f>((($W$25)^Q26)*((1-($W$25))^($U$34-Q26))*HLOOKUP($U$34,$AV$24:$BF$34,Q26+1))*V34</f>
        <v>8.5759560177340363E-2</v>
      </c>
      <c r="AR26" s="28">
        <v>1</v>
      </c>
      <c r="AS26" s="213">
        <f>((($W$25)^Q26)*((1-($W$25))^($U$35-Q26))*HLOOKUP($U$35,$AV$24:$BF$34,Q26+1))*V35</f>
        <v>0.13352826131985895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6.5082199309005918E-4</v>
      </c>
      <c r="BQ26" s="31">
        <f>BQ20+1</f>
        <v>7</v>
      </c>
      <c r="BR26" s="31">
        <v>2</v>
      </c>
      <c r="BS26" s="107">
        <f t="shared" si="16"/>
        <v>1.7311736577746619E-3</v>
      </c>
    </row>
    <row r="27" spans="1:71" x14ac:dyDescent="0.25">
      <c r="A27" s="26" t="s">
        <v>116</v>
      </c>
      <c r="B27" s="206">
        <f>1/(1+EXP(-3.1416*4*((B12/(B12+C7))-(3.1416/6))))</f>
        <v>6.9441598526057385E-2</v>
      </c>
      <c r="C27" s="207">
        <f>1/(1+EXP(-3.1416*4*((C12/(C12+B7))-(3.1416/6))))</f>
        <v>9.7667428146906876E-2</v>
      </c>
      <c r="D27" s="204">
        <f>D26</f>
        <v>0.217</v>
      </c>
      <c r="E27" s="204">
        <f>E26</f>
        <v>0.25700000000000001</v>
      </c>
      <c r="G27" s="87">
        <v>2</v>
      </c>
      <c r="H27" s="126">
        <f>L25*J27+J26*L26+J25*L27</f>
        <v>0.26808808330535583</v>
      </c>
      <c r="I27" s="138">
        <v>2</v>
      </c>
      <c r="J27" s="86">
        <f t="shared" si="17"/>
        <v>0.30065774689732594</v>
      </c>
      <c r="K27" s="138">
        <v>2</v>
      </c>
      <c r="L27" s="86">
        <f>AD18</f>
        <v>4.0007496099514234E-2</v>
      </c>
      <c r="M27" s="85">
        <v>2</v>
      </c>
      <c r="N27" s="210">
        <f>(($B$24)^M27)*((1-($B$24))^($B$21-M27))*HLOOKUP($B$21,$AV$24:$BF$34,M27+1)</f>
        <v>1.2905989440002716E-3</v>
      </c>
      <c r="O27" s="72">
        <v>2</v>
      </c>
      <c r="P27" s="210">
        <f t="shared" si="18"/>
        <v>1.2905989440002716E-3</v>
      </c>
      <c r="Q27" s="28">
        <v>2</v>
      </c>
      <c r="R27" s="211">
        <f>P25*N27+P26*N26+P27*N25</f>
        <v>2.2902186679246312E-9</v>
      </c>
      <c r="S27" s="72">
        <v>2</v>
      </c>
      <c r="T27" s="212">
        <f t="shared" si="19"/>
        <v>5.0503775157192999E-5</v>
      </c>
      <c r="U27" s="138">
        <v>2</v>
      </c>
      <c r="V27" s="86">
        <f>R27*T25+T26*R26+R25*T27</f>
        <v>2.2903600441555752E-9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1.1472832099148236E-10</v>
      </c>
      <c r="AD27" s="28">
        <v>2</v>
      </c>
      <c r="AE27" s="213">
        <f>((($W$25)^M27)*((1-($W$25))^($U$28-M27))*HLOOKUP($U$28,$AV$24:$BF$34,M27+1))*V28</f>
        <v>1.2888579314164899E-8</v>
      </c>
      <c r="AF27" s="28">
        <v>2</v>
      </c>
      <c r="AG27" s="213">
        <f>((($W$25)^M27)*((1-($W$25))^($U$29-M27))*HLOOKUP($U$29,$AV$24:$BF$34,M27+1))*V29</f>
        <v>6.3346523469439649E-7</v>
      </c>
      <c r="AH27" s="28">
        <v>2</v>
      </c>
      <c r="AI27" s="213">
        <f>((($W$25)^M27)*((1-($W$25))^($U$30-M27))*HLOOKUP($U$30,$AV$24:$BF$34,M27+1))*V30</f>
        <v>1.7791410402310693E-5</v>
      </c>
      <c r="AJ27" s="28">
        <v>2</v>
      </c>
      <c r="AK27" s="213">
        <f>((($W$25)^M27)*((1-($W$25))^($U$31-M27))*HLOOKUP($U$31,$AV$24:$BF$34,M27+1))*V31</f>
        <v>3.1231341338119065E-4</v>
      </c>
      <c r="AL27" s="28">
        <v>2</v>
      </c>
      <c r="AM27" s="213">
        <f>((($W$25)^Q27)*((1-($W$25))^($U$32-Q27))*HLOOKUP($U$32,$AV$24:$BF$34,Q27+1))*V32</f>
        <v>3.5089163108236411E-3</v>
      </c>
      <c r="AN27" s="28">
        <v>2</v>
      </c>
      <c r="AO27" s="213">
        <f>((($W$25)^Q27)*((1-($W$25))^($U$33-Q27))*HLOOKUP($U$33,$AV$24:$BF$34,Q27+1))*V33</f>
        <v>2.4642212095911945E-2</v>
      </c>
      <c r="AP27" s="28">
        <v>2</v>
      </c>
      <c r="AQ27" s="213">
        <f>((($W$25)^Q27)*((1-($W$25))^($U$34-Q27))*HLOOKUP($U$34,$AV$24:$BF$34,Q27+1))*V34</f>
        <v>9.8914297828428643E-2</v>
      </c>
      <c r="AR27" s="28">
        <v>2</v>
      </c>
      <c r="AS27" s="213">
        <f>((($W$25)^Q27)*((1-($W$25))^($U$35-Q27))*HLOOKUP($U$35,$AV$24:$BF$34,Q27+1))*V35</f>
        <v>0.17326156936983589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1.072640198432969E-4</v>
      </c>
      <c r="BQ27" s="31">
        <f>BQ21+1</f>
        <v>7</v>
      </c>
      <c r="BR27" s="31">
        <v>3</v>
      </c>
      <c r="BS27" s="107">
        <f t="shared" si="16"/>
        <v>7.6281987741129041E-4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0.23509686074092107</v>
      </c>
      <c r="I28" s="138">
        <v>3</v>
      </c>
      <c r="J28" s="86">
        <f t="shared" si="17"/>
        <v>0.21579890263590853</v>
      </c>
      <c r="K28" s="138">
        <v>3</v>
      </c>
      <c r="L28" s="86">
        <f>AE18</f>
        <v>3.4770480860831093E-2</v>
      </c>
      <c r="M28" s="85">
        <v>3</v>
      </c>
      <c r="N28" s="210">
        <f>(($B$24)^M28)*((1-($B$24))^($B$21-M28))*HLOOKUP($B$21,$AV$24:$BF$34,M28+1)</f>
        <v>2.3348038058190038E-2</v>
      </c>
      <c r="O28" s="72">
        <v>3</v>
      </c>
      <c r="P28" s="210">
        <f t="shared" si="18"/>
        <v>2.3348038058190038E-2</v>
      </c>
      <c r="Q28" s="28">
        <v>3</v>
      </c>
      <c r="R28" s="211">
        <f>P25*N28+P26*N27+P27*N26+P28*N25</f>
        <v>1.1048536881548919E-7</v>
      </c>
      <c r="S28" s="72">
        <v>3</v>
      </c>
      <c r="T28" s="212">
        <f t="shared" si="19"/>
        <v>3.8068172229039952E-7</v>
      </c>
      <c r="U28" s="138">
        <v>3</v>
      </c>
      <c r="V28" s="86">
        <f>R28*T25+R27*T26+R26*T27+R25*T28</f>
        <v>1.1049687887285833E-7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1.2387975270923789E-9</v>
      </c>
      <c r="AF28" s="28">
        <v>3</v>
      </c>
      <c r="AG28" s="213">
        <f>((($W$25)^M28)*((1-($W$25))^($U$29-M28))*HLOOKUP($U$29,$AV$24:$BF$34,M28+1))*V29</f>
        <v>1.2177217474636113E-7</v>
      </c>
      <c r="AH28" s="28">
        <v>3</v>
      </c>
      <c r="AI28" s="213">
        <f>((($W$25)^M28)*((1-($W$25))^($U$30-M28))*HLOOKUP($U$30,$AV$24:$BF$34,M28+1))*V30</f>
        <v>5.1301127934974815E-6</v>
      </c>
      <c r="AJ28" s="28">
        <v>3</v>
      </c>
      <c r="AK28" s="213">
        <f>((($W$25)^M28)*((1-($W$25))^($U$31-M28))*HLOOKUP($U$31,$AV$24:$BF$34,M28+1))*V31</f>
        <v>1.2007315150683609E-4</v>
      </c>
      <c r="AL28" s="28">
        <v>3</v>
      </c>
      <c r="AM28" s="213">
        <f>((($W$25)^Q28)*((1-($W$25))^($U$32-Q28))*HLOOKUP($U$32,$AV$24:$BF$34,Q28+1))*V32</f>
        <v>1.686313418518187E-3</v>
      </c>
      <c r="AN28" s="28">
        <v>3</v>
      </c>
      <c r="AO28" s="213">
        <f>((($W$25)^Q28)*((1-($W$25))^($U$33-Q28))*HLOOKUP($U$33,$AV$24:$BF$34,Q28+1))*V33</f>
        <v>1.4211051813733394E-2</v>
      </c>
      <c r="AP28" s="28">
        <v>3</v>
      </c>
      <c r="AQ28" s="213">
        <f>((($W$25)^Q28)*((1-($W$25))^($U$34-Q28))*HLOOKUP($U$34,$AV$24:$BF$34,Q28+1))*V34</f>
        <v>6.6550664111200517E-2</v>
      </c>
      <c r="AR28" s="28">
        <v>3</v>
      </c>
      <c r="AS28" s="213">
        <f>((($W$25)^Q28)*((1-($W$25))^($U$35-Q28))*HLOOKUP($U$35,$AV$24:$BF$34,Q28+1))*V35</f>
        <v>0.13322554701718384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1.2753363374993222E-5</v>
      </c>
      <c r="BQ28" s="31">
        <f>BQ22+1</f>
        <v>7</v>
      </c>
      <c r="BR28" s="31">
        <v>4</v>
      </c>
      <c r="BS28" s="107">
        <f t="shared" si="16"/>
        <v>2.7545251362034111E-4</v>
      </c>
    </row>
    <row r="29" spans="1:71" x14ac:dyDescent="0.25">
      <c r="A29" s="26" t="s">
        <v>118</v>
      </c>
      <c r="B29" s="206">
        <f>1/(1+EXP(-3.1416*4*((B14/(B14+C13))-(3.1416/6))))</f>
        <v>0.12273465459919035</v>
      </c>
      <c r="C29" s="207">
        <f>1/(1+EXP(-3.1416*4*((C14/(C14+B13))-(3.1416/6))))</f>
        <v>0.52525445262445747</v>
      </c>
      <c r="D29" s="204">
        <v>0.04</v>
      </c>
      <c r="E29" s="204">
        <v>0.04</v>
      </c>
      <c r="G29" s="87">
        <v>4</v>
      </c>
      <c r="H29" s="126">
        <f>J29*L25+J28*L26+J27*L27+J26*L28</f>
        <v>0.14469964881544942</v>
      </c>
      <c r="I29" s="138">
        <v>4</v>
      </c>
      <c r="J29" s="86">
        <f t="shared" si="17"/>
        <v>0.10164646213946261</v>
      </c>
      <c r="K29" s="138">
        <v>4</v>
      </c>
      <c r="L29" s="86"/>
      <c r="M29" s="85">
        <v>4</v>
      </c>
      <c r="N29" s="210">
        <f>(($B$24)^M29)*((1-($B$24))^($B$21-M29))*HLOOKUP($B$21,$AV$24:$BF$34,M29+1)</f>
        <v>0.21119298280108301</v>
      </c>
      <c r="O29" s="72">
        <v>4</v>
      </c>
      <c r="P29" s="210">
        <f t="shared" si="18"/>
        <v>0.21119298280108301</v>
      </c>
      <c r="Q29" s="28">
        <v>4</v>
      </c>
      <c r="R29" s="211">
        <f>P25*N29+P26*N28+P27*N27+P28*N26+P29*N25</f>
        <v>3.4978558319346945E-6</v>
      </c>
      <c r="S29" s="72">
        <v>4</v>
      </c>
      <c r="T29" s="212">
        <f t="shared" si="19"/>
        <v>2.5506313051283046E-9</v>
      </c>
      <c r="U29" s="138">
        <v>4</v>
      </c>
      <c r="V29" s="86">
        <f>T29*R25+T28*R26+T27*R27+T26*R28+T25*R29</f>
        <v>3.4984111504684624E-6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8.7781825250512934E-9</v>
      </c>
      <c r="AH29" s="28">
        <v>4</v>
      </c>
      <c r="AI29" s="213">
        <f>((($W$25)^M29)*((1-($W$25))^($U$30-M29))*HLOOKUP($U$30,$AV$24:$BF$34,M29+1))*V30</f>
        <v>7.3962818795378986E-7</v>
      </c>
      <c r="AJ29" s="28">
        <v>4</v>
      </c>
      <c r="AK29" s="213">
        <f>((($W$25)^M29)*((1-($W$25))^($U$31-M29))*HLOOKUP($U$31,$AV$24:$BF$34,M29+1))*V31</f>
        <v>2.5967115455084086E-5</v>
      </c>
      <c r="AL29" s="28">
        <v>4</v>
      </c>
      <c r="AM29" s="213">
        <f>((($W$25)^Q29)*((1-($W$25))^($U$32-Q29))*HLOOKUP($U$32,$AV$24:$BF$34,Q29+1))*V32</f>
        <v>4.8624464539714397E-4</v>
      </c>
      <c r="AN29" s="28">
        <v>4</v>
      </c>
      <c r="AO29" s="213">
        <f>((($W$25)^Q29)*((1-($W$25))^($U$33-Q29))*HLOOKUP($U$33,$AV$24:$BF$34,Q29+1))*V33</f>
        <v>5.1221556547605598E-3</v>
      </c>
      <c r="AP29" s="28">
        <v>4</v>
      </c>
      <c r="AQ29" s="213">
        <f>((($W$25)^Q29)*((1-($W$25))^($U$34-Q29))*HLOOKUP($U$34,$AV$24:$BF$34,Q29+1))*V34</f>
        <v>2.8784599336341699E-2</v>
      </c>
      <c r="AR29" s="28">
        <v>4</v>
      </c>
      <c r="AS29" s="213">
        <f>((($W$25)^Q29)*((1-($W$25))^($U$35-Q29))*HLOOKUP($U$35,$AV$24:$BF$34,Q29+1))*V35</f>
        <v>6.7226746981137647E-2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1.0899287539447227E-6</v>
      </c>
      <c r="BQ29" s="31">
        <f>BQ23+1</f>
        <v>7</v>
      </c>
      <c r="BR29" s="31">
        <v>5</v>
      </c>
      <c r="BS29" s="107">
        <f t="shared" si="16"/>
        <v>8.1223207764373879E-5</v>
      </c>
    </row>
    <row r="30" spans="1:71" x14ac:dyDescent="0.25">
      <c r="A30" s="26" t="s">
        <v>119</v>
      </c>
      <c r="B30" s="275">
        <v>0.35</v>
      </c>
      <c r="C30" s="276">
        <v>0.35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6.754497822700288E-2</v>
      </c>
      <c r="I30" s="138">
        <v>5</v>
      </c>
      <c r="J30" s="86">
        <f t="shared" si="17"/>
        <v>3.2830321447487223E-2</v>
      </c>
      <c r="K30" s="138">
        <v>5</v>
      </c>
      <c r="L30" s="86"/>
      <c r="M30" s="85">
        <v>5</v>
      </c>
      <c r="N30" s="210">
        <f>(($B$24)^M30)*((1-($B$24))^($B$21-M30))*HLOOKUP($B$21,$AV$24:$BF$34,M30+1)</f>
        <v>0.76413231592746789</v>
      </c>
      <c r="O30" s="72">
        <v>5</v>
      </c>
      <c r="P30" s="210">
        <f t="shared" si="18"/>
        <v>0.76413231592746789</v>
      </c>
      <c r="Q30" s="28">
        <v>5</v>
      </c>
      <c r="R30" s="211">
        <f>P25*N30+P26*N29+P27*N28+P28*N27+P29*N26+P30*N25</f>
        <v>7.5935042221193105E-5</v>
      </c>
      <c r="S30" s="72">
        <v>5</v>
      </c>
      <c r="T30" s="212">
        <f t="shared" si="19"/>
        <v>1.6021553424172769E-11</v>
      </c>
      <c r="U30" s="138">
        <v>5</v>
      </c>
      <c r="V30" s="86">
        <f>T30*R25+T29*R26+T28*R27+T27*R28+T26*R29+T25*R30</f>
        <v>7.5952624966977848E-5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4.2654021729050723E-8</v>
      </c>
      <c r="AJ30" s="28">
        <v>5</v>
      </c>
      <c r="AK30" s="213">
        <f>((($W$25)^M30)*((1-($W$25))^($U$31-M30))*HLOOKUP($U$31,$AV$24:$BF$34,M30+1))*V31</f>
        <v>2.9950235128981474E-6</v>
      </c>
      <c r="AL30" s="28">
        <v>5</v>
      </c>
      <c r="AM30" s="213">
        <f>((($W$25)^Q30)*((1-($W$25))^($U$32-Q30))*HLOOKUP($U$32,$AV$24:$BF$34,Q30+1))*V32</f>
        <v>8.4124523679052145E-5</v>
      </c>
      <c r="AN30" s="28">
        <v>5</v>
      </c>
      <c r="AO30" s="213">
        <f>((($W$25)^Q30)*((1-($W$25))^($U$33-Q30))*HLOOKUP($U$33,$AV$24:$BF$34,Q30+1))*V33</f>
        <v>1.1815695624157964E-3</v>
      </c>
      <c r="AP30" s="28">
        <v>5</v>
      </c>
      <c r="AQ30" s="213">
        <f>((($W$25)^Q30)*((1-($W$25))^($U$34-Q30))*HLOOKUP($U$34,$AV$24:$BF$34,Q30+1))*V34</f>
        <v>8.2999738622120105E-3</v>
      </c>
      <c r="AR30" s="28">
        <v>5</v>
      </c>
      <c r="AS30" s="213">
        <f>((($W$25)^Q30)*((1-($W$25))^($U$35-Q30))*HLOOKUP($U$35,$AV$24:$BF$34,Q30+1))*V35</f>
        <v>2.3261615821645733E-2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6.6806050713588643E-8</v>
      </c>
      <c r="BQ30" s="31">
        <f>BM10+1</f>
        <v>7</v>
      </c>
      <c r="BR30" s="31">
        <v>6</v>
      </c>
      <c r="BS30" s="107">
        <f t="shared" si="16"/>
        <v>1.8287115660637842E-5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0.22381203682116824</v>
      </c>
      <c r="C31" s="61">
        <f>(C25*E25)+(C26*E26)+(C27*E27)+(C28*E28)+(C29*E29)+(C30*E30)/(C25+C26+C27+C28+C29+C30)</f>
        <v>0.25092511562073988</v>
      </c>
      <c r="G31" s="87">
        <v>6</v>
      </c>
      <c r="H31" s="126">
        <f>J31*L25+J30*L26+J29*L27+J28*L28</f>
        <v>2.5074643661103468E-2</v>
      </c>
      <c r="I31" s="138">
        <v>6</v>
      </c>
      <c r="J31" s="86">
        <f t="shared" si="17"/>
        <v>7.3636285901905393E-3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1.1447748504500499E-3</v>
      </c>
      <c r="S31" s="72">
        <v>6</v>
      </c>
      <c r="T31" s="212">
        <f t="shared" si="19"/>
        <v>9.6612382457323207E-14</v>
      </c>
      <c r="U31" s="138">
        <v>6</v>
      </c>
      <c r="V31" s="86">
        <f>T31*R25+T30*R26+T29*R27+T28*R28+T27*R29+T26*R30+T25*R31</f>
        <v>1.1451566102737797E-3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1.4393470494005936E-7</v>
      </c>
      <c r="AL31" s="28">
        <v>6</v>
      </c>
      <c r="AM31" s="213">
        <f>((($W$25)^Q31)*((1-($W$25))^($U$32-Q31))*HLOOKUP($U$32,$AV$24:$BF$34,Q31+1))*V32</f>
        <v>8.0857051317441062E-6</v>
      </c>
      <c r="AN31" s="28">
        <v>6</v>
      </c>
      <c r="AO31" s="213">
        <f>((($W$25)^Q31)*((1-($W$25))^($U$33-Q31))*HLOOKUP($U$33,$AV$24:$BF$34,Q31+1))*V33</f>
        <v>1.7035145026414648E-4</v>
      </c>
      <c r="AP31" s="28">
        <v>6</v>
      </c>
      <c r="AQ31" s="213">
        <f>((($W$25)^Q31)*((1-($W$25))^($U$34-Q31))*HLOOKUP($U$34,$AV$24:$BF$34,Q31+1))*V34</f>
        <v>1.5955190785286065E-3</v>
      </c>
      <c r="AR31" s="28">
        <v>6</v>
      </c>
      <c r="AS31" s="213">
        <f>((($W$25)^Q31)*((1-($W$25))^($U$35-Q31))*HLOOKUP($U$35,$AV$24:$BF$34,Q31+1))*V35</f>
        <v>5.5895284215611019E-3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8.5967256854719842E-3</v>
      </c>
      <c r="BQ31" s="31">
        <f t="shared" ref="BQ31:BQ37" si="24">BQ24+1</f>
        <v>8</v>
      </c>
      <c r="BR31" s="31">
        <v>0</v>
      </c>
      <c r="BS31" s="107">
        <f t="shared" ref="BS31:BS38" si="25">$H$33*H39</f>
        <v>4.692295774600071E-4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7.5328704910028309E-3</v>
      </c>
      <c r="I32" s="138">
        <v>7</v>
      </c>
      <c r="J32" s="86">
        <f t="shared" si="17"/>
        <v>1.1325252328438593E-3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1.1834260320149665E-2</v>
      </c>
      <c r="S32" s="72">
        <v>7</v>
      </c>
      <c r="T32" s="212">
        <f t="shared" si="19"/>
        <v>5.6640425226236405E-16</v>
      </c>
      <c r="U32" s="138">
        <v>7</v>
      </c>
      <c r="V32" s="86">
        <f>T32*R25+T31*R26+T30*R27+T29*R28+T28*R29+T27*R30+T26*R31+T25*R32</f>
        <v>1.1840016793927263E-2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3.3307067369528663E-7</v>
      </c>
      <c r="AN32" s="28">
        <v>7</v>
      </c>
      <c r="AO32" s="213">
        <f>((($W$25)^Q32)*((1-($W$25))^($U$33-Q32))*HLOOKUP($U$33,$AV$24:$BF$34,Q32+1))*V33</f>
        <v>1.4034415398526813E-5</v>
      </c>
      <c r="AP32" s="28">
        <v>7</v>
      </c>
      <c r="AQ32" s="213">
        <f>((($W$25)^Q32)*((1-($W$25))^($U$34-Q32))*HLOOKUP($U$34,$AV$24:$BF$34,Q32+1))*V34</f>
        <v>1.9717041583406489E-4</v>
      </c>
      <c r="AR32" s="28">
        <v>7</v>
      </c>
      <c r="AS32" s="213">
        <f>((($W$25)^Q32)*((1-($W$25))^($U$35-Q32))*HLOOKUP($U$35,$AV$24:$BF$34,Q32+1))*V35</f>
        <v>9.2098733093757222E-4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2.5349328901272264E-3</v>
      </c>
      <c r="BQ32" s="31">
        <f t="shared" si="24"/>
        <v>8</v>
      </c>
      <c r="BR32" s="31">
        <v>1</v>
      </c>
      <c r="BS32" s="107">
        <f t="shared" si="25"/>
        <v>6.5024670282344424E-4</v>
      </c>
    </row>
    <row r="33" spans="1:71" x14ac:dyDescent="0.25">
      <c r="A33" s="26" t="s">
        <v>122</v>
      </c>
      <c r="B33" s="215">
        <f>IF(B17&lt;&gt;"CA",0.005,IF((B18-B16)&lt;0,0.1,0.1+0.055*(B18-B16)))</f>
        <v>5.0000000000000001E-3</v>
      </c>
      <c r="C33" s="216">
        <f>IF(C17&lt;&gt;"CA",0.005,IF((C18-C16)&lt;0,0.1,0.1+0.055*(C18-C16)))</f>
        <v>0.48499999999999999</v>
      </c>
      <c r="G33" s="87">
        <v>8</v>
      </c>
      <c r="H33" s="126">
        <f>J33*L25+J32*L26+J31*L27+J30*L28</f>
        <v>1.809430993555218E-3</v>
      </c>
      <c r="I33" s="138">
        <v>8</v>
      </c>
      <c r="J33" s="86">
        <f t="shared" si="17"/>
        <v>1.1430598656112694E-4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8.0284456771953366E-2</v>
      </c>
      <c r="S33" s="72">
        <v>8</v>
      </c>
      <c r="T33" s="212">
        <f t="shared" si="19"/>
        <v>3.2528600273502595E-18</v>
      </c>
      <c r="U33" s="138">
        <v>8</v>
      </c>
      <c r="V33" s="86">
        <f>T33*R25+T32*R26+T31*R27+T30*R28+T29*R29+T28*R30+T27*R31+T26*R32+T25*R33</f>
        <v>8.0343983261145904E-2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5.0584897681783539E-7</v>
      </c>
      <c r="AP33" s="28">
        <v>8</v>
      </c>
      <c r="AQ33" s="213">
        <f>((($W$25)^Q33)*((1-($W$25))^($U$34-Q33))*HLOOKUP($U$34,$AV$24:$BF$34,Q33+1))*V34</f>
        <v>1.4213410430886684E-5</v>
      </c>
      <c r="AR33" s="28">
        <v>8</v>
      </c>
      <c r="AS33" s="213">
        <f>((($W$25)^Q33)*((1-($W$25))^($U$35-Q33))*HLOOKUP($U$35,$AV$24:$BF$34,Q33+1))*V35</f>
        <v>9.9586727153422414E-5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5.7073110296493963E-4</v>
      </c>
      <c r="BQ33" s="31">
        <f t="shared" si="24"/>
        <v>8</v>
      </c>
      <c r="BR33" s="31">
        <v>2</v>
      </c>
      <c r="BS33" s="107">
        <f t="shared" si="25"/>
        <v>4.1583607143454474E-4</v>
      </c>
    </row>
    <row r="34" spans="1:71" x14ac:dyDescent="0.25">
      <c r="A34" s="40" t="s">
        <v>123</v>
      </c>
      <c r="B34" s="56">
        <f>B23*2</f>
        <v>9.4761889856628265</v>
      </c>
      <c r="C34" s="57">
        <f>C23*2</f>
        <v>0.52381101433717348</v>
      </c>
      <c r="G34" s="87">
        <v>9</v>
      </c>
      <c r="H34" s="126">
        <f>J34*L25+J33*L26+J32*L27+J31*L28</f>
        <v>3.3591033279998378E-4</v>
      </c>
      <c r="I34" s="138">
        <v>9</v>
      </c>
      <c r="J34" s="86">
        <f t="shared" si="17"/>
        <v>6.8366242161016029E-6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0.32275876611084292</v>
      </c>
      <c r="S34" s="72">
        <v>9</v>
      </c>
      <c r="T34" s="212">
        <f t="shared" si="19"/>
        <v>1.8389284074216291E-20</v>
      </c>
      <c r="U34" s="138">
        <v>9</v>
      </c>
      <c r="V34" s="86">
        <f>T34*R25+T33*R26+T32*R27+T31*R28+T30*R29+T29*R30+T28*R31+T27*R32+T26*R33+T25*R34</f>
        <v>0.32316280370292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4.5537829174547543E-7</v>
      </c>
      <c r="AR34" s="28">
        <v>9</v>
      </c>
      <c r="AS34" s="213">
        <f>((($W$25)^Q34)*((1-($W$25))^($U$35-Q34))*HLOOKUP($U$35,$AV$24:$BF$34,Q34+1))*V35</f>
        <v>6.3812459243561275E-6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9.4063988315690907E-5</v>
      </c>
      <c r="BQ34" s="31">
        <f t="shared" si="24"/>
        <v>8</v>
      </c>
      <c r="BR34" s="31">
        <v>3</v>
      </c>
      <c r="BS34" s="107">
        <f t="shared" si="25"/>
        <v>1.832329296430303E-4</v>
      </c>
    </row>
    <row r="35" spans="1:71" ht="15.75" thickBot="1" x14ac:dyDescent="0.3">
      <c r="G35" s="88">
        <v>10</v>
      </c>
      <c r="H35" s="127">
        <f>J35*L25+J34*L26+J33*L27+J32*L28</f>
        <v>4.5869821512723297E-5</v>
      </c>
      <c r="I35" s="94">
        <v>10</v>
      </c>
      <c r="J35" s="89">
        <f t="shared" si="17"/>
        <v>1.840017773449895E-7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0.58389819624467554</v>
      </c>
      <c r="S35" s="72">
        <v>10</v>
      </c>
      <c r="T35" s="212">
        <f t="shared" si="19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0.58342847578008805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1.840017773449895E-7</v>
      </c>
      <c r="BI35" s="31">
        <f t="shared" si="22"/>
        <v>3</v>
      </c>
      <c r="BJ35" s="31">
        <v>8</v>
      </c>
      <c r="BK35" s="107">
        <f t="shared" si="23"/>
        <v>1.1183920062325446E-5</v>
      </c>
      <c r="BQ35" s="31">
        <f t="shared" si="24"/>
        <v>8</v>
      </c>
      <c r="BR35" s="31">
        <v>4</v>
      </c>
      <c r="BS35" s="107">
        <f t="shared" si="25"/>
        <v>6.6164991949965648E-5</v>
      </c>
    </row>
    <row r="36" spans="1:71" ht="15.75" x14ac:dyDescent="0.25">
      <c r="A36" s="109" t="s">
        <v>124</v>
      </c>
      <c r="B36" s="219">
        <f>SUM(BO4:BO14)</f>
        <v>0.17514735623118491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9.5580088948529902E-7</v>
      </c>
      <c r="BQ36" s="31">
        <f t="shared" si="24"/>
        <v>8</v>
      </c>
      <c r="BR36" s="31">
        <v>5</v>
      </c>
      <c r="BS36" s="107">
        <f t="shared" si="25"/>
        <v>1.9510197301330148E-5</v>
      </c>
    </row>
    <row r="37" spans="1:71" ht="16.5" thickBot="1" x14ac:dyDescent="0.3">
      <c r="A37" s="110" t="s">
        <v>125</v>
      </c>
      <c r="B37" s="219">
        <f>SUM(BK4:BK59)</f>
        <v>0.17830187401491335</v>
      </c>
      <c r="G37" s="158"/>
      <c r="H37" s="266">
        <f>SUM(H39:H49)</f>
        <v>0.99999998882998553</v>
      </c>
      <c r="I37" s="267"/>
      <c r="J37" s="266">
        <f>SUM(J39:J49)</f>
        <v>0.99999999999999978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</v>
      </c>
      <c r="S37" s="267"/>
      <c r="T37" s="266">
        <f>SUM(T39:T49)</f>
        <v>1</v>
      </c>
      <c r="U37" s="267"/>
      <c r="V37" s="208">
        <f>SUM(V39:V48)</f>
        <v>0.99984724807505387</v>
      </c>
      <c r="W37" s="158"/>
      <c r="X37" s="158"/>
      <c r="Y37" s="205">
        <f>SUM(Y39:Y49)</f>
        <v>5.6103213408597533E-3</v>
      </c>
      <c r="Z37" s="81"/>
      <c r="AA37" s="205">
        <f>SUM(AA39:AA49)</f>
        <v>4.0085737501386734E-2</v>
      </c>
      <c r="AB37" s="81"/>
      <c r="AC37" s="205">
        <f>SUM(AC39:AC49)</f>
        <v>0.12570550234305622</v>
      </c>
      <c r="AD37" s="81"/>
      <c r="AE37" s="205">
        <f>SUM(AE39:AE49)</f>
        <v>0.2269634648794964</v>
      </c>
      <c r="AF37" s="81"/>
      <c r="AG37" s="205">
        <f>SUM(AG39:AG49)</f>
        <v>0.26023659928248627</v>
      </c>
      <c r="AH37" s="81"/>
      <c r="AI37" s="205">
        <f>SUM(AI39:AI49)</f>
        <v>0.19739010939383314</v>
      </c>
      <c r="AJ37" s="81"/>
      <c r="AK37" s="205">
        <f>SUM(AK39:AK49)</f>
        <v>0.10040830039309717</v>
      </c>
      <c r="AL37" s="81"/>
      <c r="AM37" s="205">
        <f>SUM(AM39:AM49)</f>
        <v>3.4295079811914111E-2</v>
      </c>
      <c r="AN37" s="81"/>
      <c r="AO37" s="205">
        <f>SUM(AO39:AO49)</f>
        <v>7.8978941239125026E-3</v>
      </c>
      <c r="AP37" s="81"/>
      <c r="AQ37" s="205">
        <f>SUM(AQ39:AQ49)</f>
        <v>1.2542390050112708E-3</v>
      </c>
      <c r="AR37" s="81"/>
      <c r="AS37" s="205">
        <f>SUM(AS39:AS49)</f>
        <v>1.5275192494612616E-4</v>
      </c>
      <c r="BI37" s="31">
        <f t="shared" si="22"/>
        <v>3</v>
      </c>
      <c r="BJ37" s="31">
        <v>10</v>
      </c>
      <c r="BK37" s="107">
        <f t="shared" si="23"/>
        <v>5.8584822598676429E-8</v>
      </c>
      <c r="BQ37" s="31">
        <f t="shared" si="24"/>
        <v>8</v>
      </c>
      <c r="BR37" s="31">
        <v>6</v>
      </c>
      <c r="BS37" s="107">
        <f t="shared" si="25"/>
        <v>4.3926513669136549E-6</v>
      </c>
    </row>
    <row r="38" spans="1:71" ht="16.5" thickBot="1" x14ac:dyDescent="0.3">
      <c r="A38" s="111" t="s">
        <v>126</v>
      </c>
      <c r="B38" s="219">
        <f>SUM(BS4:BS47)</f>
        <v>0.64650034096393638</v>
      </c>
      <c r="D38" s="31">
        <v>63.4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1.5602245721875597E-3</v>
      </c>
      <c r="BQ38" s="31">
        <f>BM11+1</f>
        <v>8</v>
      </c>
      <c r="BR38" s="31">
        <v>7</v>
      </c>
      <c r="BS38" s="107">
        <f t="shared" si="25"/>
        <v>7.2396668887634171E-7</v>
      </c>
    </row>
    <row r="39" spans="1:71" x14ac:dyDescent="0.25">
      <c r="G39" s="128">
        <v>0</v>
      </c>
      <c r="H39" s="129">
        <f>L39*J39</f>
        <v>0.25932438381529677</v>
      </c>
      <c r="I39" s="97">
        <v>0</v>
      </c>
      <c r="J39" s="98">
        <f t="shared" ref="J39:J49" si="29">Y39+AA39+AC39+AE39+AG39+AI39+AK39+AM39+AO39+AQ39+AS39</f>
        <v>0.35321894601944248</v>
      </c>
      <c r="K39" s="102">
        <v>0</v>
      </c>
      <c r="L39" s="98">
        <f>AH18</f>
        <v>0.7341746153135924</v>
      </c>
      <c r="M39" s="85">
        <v>0</v>
      </c>
      <c r="N39" s="210">
        <f>(1-$C$24)^$B$21</f>
        <v>0.76413231592746789</v>
      </c>
      <c r="O39" s="72">
        <v>0</v>
      </c>
      <c r="P39" s="210">
        <f t="shared" ref="P39:P44" si="30">N39</f>
        <v>0.76413231592746789</v>
      </c>
      <c r="Q39" s="28">
        <v>0</v>
      </c>
      <c r="R39" s="211">
        <f>P39*N39</f>
        <v>0.58389819624467554</v>
      </c>
      <c r="S39" s="72">
        <v>0</v>
      </c>
      <c r="T39" s="212">
        <f>(1-$C$33)^(INT(B23*2*(1-B31)))</f>
        <v>9.6083895736317967E-3</v>
      </c>
      <c r="U39" s="138">
        <v>0</v>
      </c>
      <c r="V39" s="86">
        <f>R39*T39</f>
        <v>5.6103213408597533E-3</v>
      </c>
      <c r="W39" s="134">
        <f>C31</f>
        <v>0.25092511562073988</v>
      </c>
      <c r="X39" s="28">
        <v>0</v>
      </c>
      <c r="Y39" s="213">
        <f>V39</f>
        <v>5.6103213408597533E-3</v>
      </c>
      <c r="Z39" s="28">
        <v>0</v>
      </c>
      <c r="AA39" s="213">
        <f>((1-W39)^Z40)*V40</f>
        <v>3.0027219184108635E-2</v>
      </c>
      <c r="AB39" s="28">
        <v>0</v>
      </c>
      <c r="AC39" s="213">
        <f>(((1-$W$39)^AB41))*V41</f>
        <v>7.0535014465883672E-2</v>
      </c>
      <c r="AD39" s="28">
        <v>0</v>
      </c>
      <c r="AE39" s="213">
        <f>(((1-$W$39)^AB42))*V42</f>
        <v>9.5396328549408355E-2</v>
      </c>
      <c r="AF39" s="28">
        <v>0</v>
      </c>
      <c r="AG39" s="213">
        <f>(((1-$W$39)^AB43))*V43</f>
        <v>8.1934973714384574E-2</v>
      </c>
      <c r="AH39" s="28">
        <v>0</v>
      </c>
      <c r="AI39" s="213">
        <f>(((1-$W$39)^AB44))*V44</f>
        <v>4.6553417409504833E-2</v>
      </c>
      <c r="AJ39" s="28">
        <v>0</v>
      </c>
      <c r="AK39" s="213">
        <f>(((1-$W$39)^AB45))*V45</f>
        <v>1.7738669058340026E-2</v>
      </c>
      <c r="AL39" s="28">
        <v>0</v>
      </c>
      <c r="AM39" s="213">
        <f>(((1-$W$39)^AB46))*V46</f>
        <v>4.538459552866368E-3</v>
      </c>
      <c r="AN39" s="28">
        <v>0</v>
      </c>
      <c r="AO39" s="213">
        <f>(((1-$W$39)^AB47))*V47</f>
        <v>7.8291244184312055E-4</v>
      </c>
      <c r="AP39" s="28">
        <v>0</v>
      </c>
      <c r="AQ39" s="213">
        <f>(((1-$W$39)^AB48))*V48</f>
        <v>9.3133822016726664E-5</v>
      </c>
      <c r="AR39" s="28">
        <v>0</v>
      </c>
      <c r="AS39" s="213">
        <f>(((1-$W$39)^AB49))*V49</f>
        <v>8.4964802264525925E-6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3.5127900009728266E-4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8.7109740070547063E-5</v>
      </c>
    </row>
    <row r="40" spans="1:71" x14ac:dyDescent="0.25">
      <c r="G40" s="91">
        <v>1</v>
      </c>
      <c r="H40" s="130">
        <f>L39*J40+L40*J39</f>
        <v>0.3593652950233942</v>
      </c>
      <c r="I40" s="138">
        <v>1</v>
      </c>
      <c r="J40" s="86">
        <f t="shared" si="29"/>
        <v>0.38964235996613927</v>
      </c>
      <c r="K40" s="95">
        <v>1</v>
      </c>
      <c r="L40" s="86">
        <f>AI18</f>
        <v>0.2075193477343622</v>
      </c>
      <c r="M40" s="85">
        <v>1</v>
      </c>
      <c r="N40" s="210">
        <f>(($C$24)^M26)*((1-($C$24))^($B$21-M26))*HLOOKUP($B$21,$AV$24:$BF$34,M26+1)</f>
        <v>0.21119298280108306</v>
      </c>
      <c r="O40" s="72">
        <v>1</v>
      </c>
      <c r="P40" s="210">
        <f t="shared" si="30"/>
        <v>0.21119298280108306</v>
      </c>
      <c r="Q40" s="28">
        <v>1</v>
      </c>
      <c r="R40" s="211">
        <f>P40*N39+P39*N40</f>
        <v>0.32275876611084298</v>
      </c>
      <c r="S40" s="72">
        <v>1</v>
      </c>
      <c r="T40" s="212">
        <f t="shared" ref="T40:T49" si="33">(($C$33)^S40)*((1-($C$33))^(INT($B$23*2*(1-$B$31))-S40))*HLOOKUP(INT($B$23*2*(1-$B$31)),$AV$24:$BF$34,S40+1)</f>
        <v>6.3340742917436785E-2</v>
      </c>
      <c r="U40" s="138">
        <v>1</v>
      </c>
      <c r="V40" s="86">
        <f>R40*T39+T40*R39</f>
        <v>4.0085737501386734E-2</v>
      </c>
      <c r="W40" s="214"/>
      <c r="X40" s="28">
        <v>1</v>
      </c>
      <c r="Y40" s="211"/>
      <c r="Z40" s="28">
        <v>1</v>
      </c>
      <c r="AA40" s="213">
        <f>(1-((1-W39)^Z40))*V40</f>
        <v>1.0058518317278097E-2</v>
      </c>
      <c r="AB40" s="28">
        <v>1</v>
      </c>
      <c r="AC40" s="213">
        <f>((($W$39)^M40)*((1-($W$39))^($U$27-M40))*HLOOKUP($U$27,$AV$24:$BF$34,M40+1))*V41</f>
        <v>4.7255640335155946E-2</v>
      </c>
      <c r="AD40" s="28">
        <v>1</v>
      </c>
      <c r="AE40" s="213">
        <f>((($W$39)^M40)*((1-($W$39))^($U$28-M40))*HLOOKUP($U$28,$AV$24:$BF$34,M40+1))*V42</f>
        <v>9.5867590558281743E-2</v>
      </c>
      <c r="AF40" s="28">
        <v>1</v>
      </c>
      <c r="AG40" s="213">
        <f>((($W$39)^M40)*((1-($W$39))^($U$29-M40))*HLOOKUP($U$29,$AV$24:$BF$34,M40+1))*V43</f>
        <v>0.10978631472713932</v>
      </c>
      <c r="AH40" s="28">
        <v>1</v>
      </c>
      <c r="AI40" s="213">
        <f>((($W$39)^M40)*((1-($W$39))^($U$30-M40))*HLOOKUP($U$30,$AV$24:$BF$34,M40+1))*V44</f>
        <v>7.7972322191129623E-2</v>
      </c>
      <c r="AJ40" s="28">
        <v>1</v>
      </c>
      <c r="AK40" s="213">
        <f>((($W$39)^M40)*((1-($W$39))^($U$31-M40))*HLOOKUP($U$31,$AV$24:$BF$34,M40+1))*V45</f>
        <v>3.5652597708789903E-2</v>
      </c>
      <c r="AL40" s="28">
        <v>1</v>
      </c>
      <c r="AM40" s="213">
        <f>((($W$39)^Q40)*((1-($W$39))^($U$32-Q40))*HLOOKUP($U$32,$AV$24:$BF$34,Q40+1))*V46</f>
        <v>1.0642052727354837E-2</v>
      </c>
      <c r="AN40" s="28">
        <v>1</v>
      </c>
      <c r="AO40" s="213">
        <f>((($W$39)^Q40)*((1-($W$39))^($U$33-Q40))*HLOOKUP($U$33,$AV$24:$BF$34,Q40+1))*V47</f>
        <v>2.0980801688813377E-3</v>
      </c>
      <c r="AP40" s="28">
        <v>1</v>
      </c>
      <c r="AQ40" s="213">
        <f>((($W$39)^Q40)*((1-($W$39))^($U$34-Q40))*HLOOKUP($U$34,$AV$24:$BF$34,Q40+1))*V48</f>
        <v>2.8078172143500632E-4</v>
      </c>
      <c r="AR40" s="28">
        <v>1</v>
      </c>
      <c r="AS40" s="213">
        <f>((($W$39)^Q40)*((1-($W$39))^($U$35-Q40))*HLOOKUP($U$35,$AV$24:$BF$34,Q40+1))*V49</f>
        <v>2.846151069340239E-5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5.7895396954961855E-5</v>
      </c>
      <c r="BQ40" s="31">
        <f t="shared" si="31"/>
        <v>9</v>
      </c>
      <c r="BR40" s="31">
        <v>1</v>
      </c>
      <c r="BS40" s="107">
        <f t="shared" si="32"/>
        <v>1.207145158480727E-4</v>
      </c>
    </row>
    <row r="41" spans="1:71" x14ac:dyDescent="0.25">
      <c r="G41" s="91">
        <v>2</v>
      </c>
      <c r="H41" s="130">
        <f>L39*J41+J40*L40+J39*L41</f>
        <v>0.22981593269688555</v>
      </c>
      <c r="I41" s="138">
        <v>2</v>
      </c>
      <c r="J41" s="86">
        <f t="shared" si="29"/>
        <v>0.19086212023646121</v>
      </c>
      <c r="K41" s="95">
        <v>2</v>
      </c>
      <c r="L41" s="86">
        <f>AJ18</f>
        <v>2.5002850792743499E-2</v>
      </c>
      <c r="M41" s="85">
        <v>2</v>
      </c>
      <c r="N41" s="210">
        <f>(($C$24)^M27)*((1-($C$24))^($B$21-M27))*HLOOKUP($B$21,$AV$24:$BF$34,M27+1)</f>
        <v>2.3348038058190055E-2</v>
      </c>
      <c r="O41" s="72">
        <v>2</v>
      </c>
      <c r="P41" s="210">
        <f t="shared" si="30"/>
        <v>2.3348038058190055E-2</v>
      </c>
      <c r="Q41" s="28">
        <v>2</v>
      </c>
      <c r="R41" s="211">
        <f>P41*N39+P40*N40+P39*N41</f>
        <v>8.0284456771953408E-2</v>
      </c>
      <c r="S41" s="72">
        <v>2</v>
      </c>
      <c r="T41" s="212">
        <f t="shared" si="33"/>
        <v>0.17895297270848642</v>
      </c>
      <c r="U41" s="138">
        <v>2</v>
      </c>
      <c r="V41" s="86">
        <f>R41*T39+T40*R40+R39*T41</f>
        <v>0.12570550234305622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7.9148475420165957E-3</v>
      </c>
      <c r="AD41" s="28">
        <v>2</v>
      </c>
      <c r="AE41" s="213">
        <f>((($W$39)^M41)*((1-($W$39))^($U$28-M41))*HLOOKUP($U$28,$AV$24:$BF$34,M41+1))*V42</f>
        <v>3.2113726873986531E-2</v>
      </c>
      <c r="AF41" s="28">
        <v>2</v>
      </c>
      <c r="AG41" s="213">
        <f>((($W$39)^M41)*((1-($W$39))^($U$29-M41))*HLOOKUP($U$29,$AV$24:$BF$34,M41+1))*V43</f>
        <v>5.5164331946553326E-2</v>
      </c>
      <c r="AH41" s="28">
        <v>2</v>
      </c>
      <c r="AI41" s="213">
        <f>((($W$39)^M41)*((1-($W$39))^($U$30-M41))*HLOOKUP($U$30,$AV$24:$BF$34,M41+1))*V44</f>
        <v>5.2238339234240892E-2</v>
      </c>
      <c r="AJ41" s="28">
        <v>2</v>
      </c>
      <c r="AK41" s="213">
        <f>((($W$39)^M41)*((1-($W$39))^($U$31-M41))*HLOOKUP($U$31,$AV$24:$BF$34,M41+1))*V45</f>
        <v>2.9857269242417838E-2</v>
      </c>
      <c r="AL41" s="28">
        <v>2</v>
      </c>
      <c r="AM41" s="213">
        <f>((($W$39)^Q41)*((1-($W$39))^($U$32-Q41))*HLOOKUP($U$32,$AV$24:$BF$34,Q41+1))*V46</f>
        <v>1.0694624930322087E-2</v>
      </c>
      <c r="AN41" s="28">
        <v>2</v>
      </c>
      <c r="AO41" s="213">
        <f>((($W$39)^Q41)*((1-($W$39))^($U$33-Q41))*HLOOKUP($U$33,$AV$24:$BF$34,Q41+1))*V47</f>
        <v>2.4598522387790211E-3</v>
      </c>
      <c r="AP41" s="28">
        <v>2</v>
      </c>
      <c r="AQ41" s="213">
        <f>((($W$39)^Q41)*((1-($W$39))^($U$34-Q41))*HLOOKUP($U$34,$AV$24:$BF$34,Q41+1))*V48</f>
        <v>3.7622506045522437E-4</v>
      </c>
      <c r="AR41" s="28">
        <v>2</v>
      </c>
      <c r="AS41" s="213">
        <f>((($W$39)^Q41)*((1-($W$39))^($U$35-Q41))*HLOOKUP($U$35,$AV$24:$BF$34,Q41+1))*V49</f>
        <v>4.2903167689709482E-5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6.8835853456245988E-6</v>
      </c>
      <c r="BQ41" s="31">
        <f t="shared" si="31"/>
        <v>9</v>
      </c>
      <c r="BR41" s="31">
        <v>2</v>
      </c>
      <c r="BS41" s="107">
        <f t="shared" si="32"/>
        <v>7.7197546434949494E-5</v>
      </c>
    </row>
    <row r="42" spans="1:71" ht="15" customHeight="1" x14ac:dyDescent="0.25">
      <c r="G42" s="91">
        <v>3</v>
      </c>
      <c r="H42" s="130">
        <f>J42*L39+J41*L40+L42*J39+L41*J40</f>
        <v>0.10126549743851208</v>
      </c>
      <c r="I42" s="138">
        <v>3</v>
      </c>
      <c r="J42" s="86">
        <f t="shared" si="29"/>
        <v>5.4690570607170828E-2</v>
      </c>
      <c r="K42" s="95">
        <v>3</v>
      </c>
      <c r="L42" s="86">
        <f>AK18</f>
        <v>3.330318615930189E-2</v>
      </c>
      <c r="M42" s="85">
        <v>3</v>
      </c>
      <c r="N42" s="210">
        <f>(($C$24)^M28)*((1-($C$24))^($B$21-M28))*HLOOKUP($B$21,$AV$24:$BF$34,M28+1)</f>
        <v>1.2905989440002731E-3</v>
      </c>
      <c r="O42" s="72">
        <v>3</v>
      </c>
      <c r="P42" s="210">
        <f t="shared" si="30"/>
        <v>1.2905989440002731E-3</v>
      </c>
      <c r="Q42" s="28">
        <v>3</v>
      </c>
      <c r="R42" s="211">
        <f>P42*N39+P41*N40+P40*N41+P39*N42</f>
        <v>1.1834260320149677E-2</v>
      </c>
      <c r="S42" s="72">
        <v>3</v>
      </c>
      <c r="T42" s="212">
        <f t="shared" si="33"/>
        <v>0.28088087949390267</v>
      </c>
      <c r="U42" s="138">
        <v>3</v>
      </c>
      <c r="V42" s="86">
        <f>R42*T39+R41*T40+R40*T41+R39*T42</f>
        <v>0.22696346487949642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3.5858188978197705E-3</v>
      </c>
      <c r="AF42" s="28">
        <v>3</v>
      </c>
      <c r="AG42" s="213">
        <f>((($W$39)^M42)*((1-($W$39))^($U$29-M42))*HLOOKUP($U$29,$AV$24:$BF$34,M42+1))*V43</f>
        <v>1.2319299143058208E-2</v>
      </c>
      <c r="AH42" s="28">
        <v>3</v>
      </c>
      <c r="AI42" s="213">
        <f>((($W$39)^M42)*((1-($W$39))^($U$30-M42))*HLOOKUP($U$30,$AV$24:$BF$34,M42+1))*V44</f>
        <v>1.7498799633429884E-2</v>
      </c>
      <c r="AJ42" s="28">
        <v>3</v>
      </c>
      <c r="AK42" s="213">
        <f>((($W$39)^M42)*((1-($W$39))^($U$31-M42))*HLOOKUP($U$31,$AV$24:$BF$34,M42+1))*V45</f>
        <v>1.3335451311131405E-2</v>
      </c>
      <c r="AL42" s="28">
        <v>3</v>
      </c>
      <c r="AM42" s="213">
        <f>((($W$39)^Q42)*((1-($W$39))^($U$32-Q42))*HLOOKUP($U$32,$AV$24:$BF$34,Q42+1))*V46</f>
        <v>5.9708093568092953E-3</v>
      </c>
      <c r="AN42" s="28">
        <v>3</v>
      </c>
      <c r="AO42" s="213">
        <f>((($W$39)^Q42)*((1-($W$39))^($U$33-Q42))*HLOOKUP($U$33,$AV$24:$BF$34,Q42+1))*V47</f>
        <v>1.6480026771610481E-3</v>
      </c>
      <c r="AP42" s="28">
        <v>3</v>
      </c>
      <c r="AQ42" s="213">
        <f>((($W$39)^Q42)*((1-($W$39))^($U$34-Q42))*HLOOKUP($U$34,$AV$24:$BF$34,Q42+1))*V48</f>
        <v>2.940650444699944E-4</v>
      </c>
      <c r="AR42" s="28">
        <v>3</v>
      </c>
      <c r="AS42" s="213">
        <f>((($W$39)^Q42)*((1-($W$39))^($U$35-Q42))*HLOOKUP($U$35,$AV$24:$BF$34,Q42+1))*V49</f>
        <v>3.8324543291226691E-5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5.8828540972492749E-7</v>
      </c>
      <c r="BQ42" s="31">
        <f t="shared" si="31"/>
        <v>9</v>
      </c>
      <c r="BR42" s="31">
        <v>3</v>
      </c>
      <c r="BS42" s="107">
        <f t="shared" si="32"/>
        <v>3.4016126945726501E-5</v>
      </c>
    </row>
    <row r="43" spans="1:71" ht="15" customHeight="1" x14ac:dyDescent="0.25">
      <c r="G43" s="91">
        <v>4</v>
      </c>
      <c r="H43" s="130">
        <f>J43*L39+J42*L40+J41*L41+J40*L42</f>
        <v>3.6566739591413162E-2</v>
      </c>
      <c r="I43" s="138">
        <v>4</v>
      </c>
      <c r="J43" s="86">
        <f t="shared" si="29"/>
        <v>1.0173273131817233E-2</v>
      </c>
      <c r="K43" s="95">
        <v>4</v>
      </c>
      <c r="L43" s="86"/>
      <c r="M43" s="85">
        <v>4</v>
      </c>
      <c r="N43" s="210">
        <f>(($C$24)^M29)*((1-($C$24))^($B$21-M29))*HLOOKUP($B$21,$AV$24:$BF$34,M29+1)</f>
        <v>3.5669927171254174E-5</v>
      </c>
      <c r="O43" s="72">
        <v>4</v>
      </c>
      <c r="P43" s="210">
        <f t="shared" si="30"/>
        <v>3.5669927171254174E-5</v>
      </c>
      <c r="Q43" s="28">
        <v>4</v>
      </c>
      <c r="R43" s="211">
        <f>P43*N39+P42*N40+P41*N41+P40*N42+P39*N43</f>
        <v>1.1447748504500518E-3</v>
      </c>
      <c r="S43" s="72">
        <v>4</v>
      </c>
      <c r="T43" s="212">
        <f t="shared" si="33"/>
        <v>0.26451888651367533</v>
      </c>
      <c r="U43" s="138">
        <v>4</v>
      </c>
      <c r="V43" s="86">
        <f>T43*R39+T42*R40+T41*R41+T40*R42+T39*R43</f>
        <v>0.26023659928248638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1.0316797513508886E-3</v>
      </c>
      <c r="AH43" s="28">
        <v>4</v>
      </c>
      <c r="AI43" s="213">
        <f>((($W$39)^M43)*((1-($W$39))^($U$30-M43))*HLOOKUP($U$30,$AV$24:$BF$34,M43+1))*V44</f>
        <v>2.9308740773502074E-3</v>
      </c>
      <c r="AJ43" s="28">
        <v>4</v>
      </c>
      <c r="AK43" s="213">
        <f>((($W$39)^M43)*((1-($W$39))^($U$31-M43))*HLOOKUP($U$31,$AV$24:$BF$34,M43+1))*V45</f>
        <v>3.3503322550388014E-3</v>
      </c>
      <c r="AL43" s="28">
        <v>4</v>
      </c>
      <c r="AM43" s="213">
        <f>((($W$39)^Q43)*((1-($W$39))^($U$32-Q43))*HLOOKUP($U$32,$AV$24:$BF$34,Q43+1))*V46</f>
        <v>2.0001018048393269E-3</v>
      </c>
      <c r="AN43" s="28">
        <v>4</v>
      </c>
      <c r="AO43" s="213">
        <f>((($W$39)^Q43)*((1-($W$39))^($U$33-Q43))*HLOOKUP($U$33,$AV$24:$BF$34,Q43+1))*V47</f>
        <v>6.900599508362289E-4</v>
      </c>
      <c r="AP43" s="28">
        <v>4</v>
      </c>
      <c r="AQ43" s="213">
        <f>((($W$39)^Q43)*((1-($W$39))^($U$34-Q43))*HLOOKUP($U$34,$AV$24:$BF$34,Q43+1))*V48</f>
        <v>1.477588692847403E-4</v>
      </c>
      <c r="AR43" s="28">
        <v>4</v>
      </c>
      <c r="AS43" s="213">
        <f>((($W$39)^Q43)*((1-($W$39))^($U$35-Q43))*HLOOKUP($U$35,$AV$24:$BF$34,Q43+1))*V49</f>
        <v>2.2466423117037553E-5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3.6058343055826E-8</v>
      </c>
      <c r="BQ43" s="31">
        <f t="shared" si="31"/>
        <v>9</v>
      </c>
      <c r="BR43" s="31">
        <v>4</v>
      </c>
      <c r="BS43" s="107">
        <f t="shared" si="32"/>
        <v>1.2283145665561938E-5</v>
      </c>
    </row>
    <row r="44" spans="1:71" ht="15" customHeight="1" thickBot="1" x14ac:dyDescent="0.3">
      <c r="G44" s="91">
        <v>5</v>
      </c>
      <c r="H44" s="130">
        <f>J44*L39+J43*L40+J42*L41+J41*L42</f>
        <v>1.0782504207577429E-2</v>
      </c>
      <c r="I44" s="138">
        <v>5</v>
      </c>
      <c r="J44" s="86">
        <f t="shared" si="29"/>
        <v>1.290723331369094E-3</v>
      </c>
      <c r="K44" s="95">
        <v>5</v>
      </c>
      <c r="L44" s="86"/>
      <c r="M44" s="85">
        <v>5</v>
      </c>
      <c r="N44" s="210">
        <f>(($C$24)^M30)*((1-($C$24))^($B$21-M30))*HLOOKUP($B$21,$AV$24:$BF$34,M30+1)</f>
        <v>3.9434208754545753E-7</v>
      </c>
      <c r="O44" s="72">
        <v>5</v>
      </c>
      <c r="P44" s="210">
        <f t="shared" si="30"/>
        <v>3.9434208754545753E-7</v>
      </c>
      <c r="Q44" s="28">
        <v>5</v>
      </c>
      <c r="R44" s="211">
        <f>P44*N39+P43*N40+P42*N41+P41*N42+P40*N43+P39*N44</f>
        <v>7.5935042221193241E-5</v>
      </c>
      <c r="S44" s="72">
        <v>5</v>
      </c>
      <c r="T44" s="212">
        <f t="shared" si="33"/>
        <v>0.14946601160287287</v>
      </c>
      <c r="U44" s="138">
        <v>5</v>
      </c>
      <c r="V44" s="86">
        <f>T44*R39+T43*R40+T42*R41+T41*R42+T40*R43+T39*R44</f>
        <v>0.1973901093938332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1.9635684817769926E-4</v>
      </c>
      <c r="AJ44" s="28">
        <v>5</v>
      </c>
      <c r="AK44" s="213">
        <f>((($W$39)^M44)*((1-($W$39))^($U$31-M44))*HLOOKUP($U$31,$AV$24:$BF$34,M44+1))*V45</f>
        <v>4.4891773893081911E-4</v>
      </c>
      <c r="AL44" s="28">
        <v>5</v>
      </c>
      <c r="AM44" s="213">
        <f>((($W$39)^Q44)*((1-($W$39))^($U$32-Q44))*HLOOKUP($U$32,$AV$24:$BF$34,Q44+1))*V46</f>
        <v>4.0199647893557453E-4</v>
      </c>
      <c r="AN44" s="28">
        <v>5</v>
      </c>
      <c r="AO44" s="213">
        <f>((($W$39)^Q44)*((1-($W$39))^($U$33-Q44))*HLOOKUP($U$33,$AV$24:$BF$34,Q44+1))*V47</f>
        <v>1.8492503386206656E-4</v>
      </c>
      <c r="AP44" s="28">
        <v>5</v>
      </c>
      <c r="AQ44" s="213">
        <f>((($W$39)^Q44)*((1-($W$39))^($U$34-Q44))*HLOOKUP($U$34,$AV$24:$BF$34,Q44+1))*V48</f>
        <v>4.9496268173491844E-5</v>
      </c>
      <c r="AR44" s="28">
        <v>5</v>
      </c>
      <c r="AS44" s="213">
        <f>((($W$39)^Q44)*((1-($W$39))^($U$35-Q44))*HLOOKUP($U$35,$AV$24:$BF$34,Q44+1))*V49</f>
        <v>9.0309632894425668E-6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1.6397505182224727E-4</v>
      </c>
      <c r="BQ44" s="31">
        <f t="shared" si="31"/>
        <v>9</v>
      </c>
      <c r="BR44" s="31">
        <v>5</v>
      </c>
      <c r="BS44" s="107">
        <f t="shared" si="32"/>
        <v>3.6219545767845598E-6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2.4276423818091327E-3</v>
      </c>
      <c r="I45" s="138">
        <v>6</v>
      </c>
      <c r="J45" s="86">
        <f t="shared" si="29"/>
        <v>1.1449760308626654E-4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3.4978558319347021E-6</v>
      </c>
      <c r="S45" s="72">
        <v>6</v>
      </c>
      <c r="T45" s="212">
        <f t="shared" si="33"/>
        <v>4.6919751215141324E-2</v>
      </c>
      <c r="U45" s="138">
        <v>6</v>
      </c>
      <c r="V45" s="86">
        <f>T45*R39+T44*R40+T43*R41+T42*R42+T41*R43+T40*R44+T39*R45</f>
        <v>0.1004083003930972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2.5063078448372321E-5</v>
      </c>
      <c r="AL45" s="28">
        <v>6</v>
      </c>
      <c r="AM45" s="213">
        <f>((($W$39)^Q45)*((1-($W$39))^($U$32-Q45))*HLOOKUP($U$32,$AV$24:$BF$34,Q45+1))*V46</f>
        <v>4.488692877910273E-5</v>
      </c>
      <c r="AN45" s="28">
        <v>6</v>
      </c>
      <c r="AO45" s="213">
        <f>((($W$39)^Q45)*((1-($W$39))^($U$33-Q45))*HLOOKUP($U$33,$AV$24:$BF$34,Q45+1))*V47</f>
        <v>3.0973095261003692E-5</v>
      </c>
      <c r="AP45" s="28">
        <v>6</v>
      </c>
      <c r="AQ45" s="213">
        <f>((($W$39)^Q45)*((1-($W$39))^($U$34-Q45))*HLOOKUP($U$34,$AV$24:$BF$34,Q45+1))*V48</f>
        <v>1.1053507086518345E-5</v>
      </c>
      <c r="AR45" s="28">
        <v>6</v>
      </c>
      <c r="AS45" s="213">
        <f>((($W$39)^Q45)*((1-($W$39))^($U$35-Q45))*HLOOKUP($U$35,$AV$24:$BF$34,Q45+1))*V49</f>
        <v>2.5209935112694496E-6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2.7025244074739338E-5</v>
      </c>
      <c r="BQ45" s="31">
        <f t="shared" si="31"/>
        <v>9</v>
      </c>
      <c r="BR45" s="31">
        <v>6</v>
      </c>
      <c r="BS45" s="107">
        <f t="shared" si="32"/>
        <v>8.1547016039285106E-7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4.0010737710083805E-4</v>
      </c>
      <c r="I46" s="138">
        <v>7</v>
      </c>
      <c r="J46" s="86">
        <f t="shared" si="29"/>
        <v>7.1818573592445001E-6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1.1048536881548948E-7</v>
      </c>
      <c r="S46" s="72">
        <v>7</v>
      </c>
      <c r="T46" s="212">
        <f t="shared" si="33"/>
        <v>6.3123659748525775E-3</v>
      </c>
      <c r="U46" s="138">
        <v>7</v>
      </c>
      <c r="V46" s="86">
        <f>T46*R39+T45*R40+T44*R41+T43*R42+T42*R43+T41*R44+T40*R45+T39*R46</f>
        <v>3.4295079811914132E-2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2.1480320075246363E-6</v>
      </c>
      <c r="AN46" s="28">
        <v>7</v>
      </c>
      <c r="AO46" s="213">
        <f>((($W$39)^Q46)*((1-($W$39))^($U$33-Q46))*HLOOKUP($U$33,$AV$24:$BF$34,Q46+1))*V47</f>
        <v>2.9643908283482022E-6</v>
      </c>
      <c r="AP46" s="28">
        <v>7</v>
      </c>
      <c r="AQ46" s="213">
        <f>((($W$39)^Q46)*((1-($W$39))^($U$34-Q46))*HLOOKUP($U$34,$AV$24:$BF$34,Q46+1))*V48</f>
        <v>1.586873127414471E-6</v>
      </c>
      <c r="AR46" s="28">
        <v>7</v>
      </c>
      <c r="AS46" s="213">
        <f>((($W$39)^Q46)*((1-($W$39))^($U$35-Q46))*HLOOKUP($U$35,$AV$24:$BF$34,Q46+1))*V49</f>
        <v>4.825613959571903E-7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3.2132187334257527E-6</v>
      </c>
      <c r="BQ46" s="31">
        <f t="shared" si="31"/>
        <v>9</v>
      </c>
      <c r="BR46" s="31">
        <v>7</v>
      </c>
      <c r="BS46" s="107">
        <f t="shared" si="32"/>
        <v>1.3440020219767113E-7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4.7571541479025662E-5</v>
      </c>
      <c r="I47" s="138">
        <v>8</v>
      </c>
      <c r="J47" s="86">
        <f t="shared" si="29"/>
        <v>3.176373149083633E-7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2.2902186679246386E-9</v>
      </c>
      <c r="S47" s="72">
        <v>8</v>
      </c>
      <c r="T47" s="212">
        <f t="shared" si="33"/>
        <v>0</v>
      </c>
      <c r="U47" s="138">
        <v>8</v>
      </c>
      <c r="V47" s="86">
        <f>T47*R39+T46*R40+T45*R41+T44*R42+T43*R43+T42*R44+T41*R45+T40*R46+T39*R47</f>
        <v>7.897894123912506E-3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1.2412646032791759E-7</v>
      </c>
      <c r="AP47" s="28">
        <v>8</v>
      </c>
      <c r="AQ47" s="213">
        <f>((($W$39)^Q47)*((1-($W$39))^($U$34-Q47))*HLOOKUP($U$34,$AV$24:$BF$34,Q47+1))*V48</f>
        <v>1.3289269580233237E-7</v>
      </c>
      <c r="AR47" s="28">
        <v>8</v>
      </c>
      <c r="AS47" s="213">
        <f>((($W$39)^Q47)*((1-($W$39))^($U$35-Q47))*HLOOKUP($U$35,$AV$24:$BF$34,Q47+1))*V49</f>
        <v>6.0618158778113302E-8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2.7460830428008032E-7</v>
      </c>
      <c r="BQ47" s="31">
        <f>BM12+1</f>
        <v>9</v>
      </c>
      <c r="BR47" s="31">
        <v>8</v>
      </c>
      <c r="BS47" s="107">
        <f t="shared" si="32"/>
        <v>1.5979772330027742E-8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4.0655621111785096E-6</v>
      </c>
      <c r="I48" s="138">
        <v>9</v>
      </c>
      <c r="J48" s="86">
        <f t="shared" si="29"/>
        <v>9.4586822862507562E-9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2.8132307086613615E-11</v>
      </c>
      <c r="S48" s="72">
        <v>9</v>
      </c>
      <c r="T48" s="212">
        <f t="shared" si="33"/>
        <v>0</v>
      </c>
      <c r="U48" s="138">
        <v>9</v>
      </c>
      <c r="V48" s="86">
        <f>T48*R39+T47*R40+T46*R41+T45*R42+T44*R43+T43*R44+T42*R45+T41*R46+T40*R47+T39*R48</f>
        <v>1.2542390050112714E-3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4.9462663516664395E-9</v>
      </c>
      <c r="AR48" s="28">
        <v>9</v>
      </c>
      <c r="AS48" s="213">
        <f>((($W$39)^Q48)*((1-($W$39))^($U$35-Q48))*HLOOKUP($U$35,$AV$24:$BF$34,Q48+1))*V49</f>
        <v>4.5124159345843167E-9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1.683183073729427E-8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2.4919440614410182E-7</v>
      </c>
      <c r="I49" s="94">
        <v>10</v>
      </c>
      <c r="J49" s="89">
        <f t="shared" si="29"/>
        <v>1.5115691551355778E-10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1.5550568200970929E-13</v>
      </c>
      <c r="S49" s="72">
        <v>10</v>
      </c>
      <c r="T49" s="212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1.5275192494612622E-4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1.5115691551355778E-10</v>
      </c>
      <c r="BI49" s="31">
        <f>BQ14+1</f>
        <v>6</v>
      </c>
      <c r="BJ49" s="31">
        <v>0</v>
      </c>
      <c r="BK49" s="107">
        <f>$H$31*H39</f>
        <v>6.5024665168037935E-3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18"/>
      <c r="J50" s="218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18"/>
      <c r="X50" s="158"/>
      <c r="Y50" s="158"/>
      <c r="BI50" s="31">
        <f>BI45+1</f>
        <v>6</v>
      </c>
      <c r="BJ50" s="31">
        <v>7</v>
      </c>
      <c r="BK50" s="107">
        <f>$H$31*H46</f>
        <v>1.0032549906982263E-5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1.1928394509959714E-6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1.0194252121988464E-7</v>
      </c>
    </row>
    <row r="53" spans="1:63" x14ac:dyDescent="0.25">
      <c r="BI53" s="31">
        <f>BI48+1</f>
        <v>6</v>
      </c>
      <c r="BJ53" s="31">
        <v>10</v>
      </c>
      <c r="BK53" s="107">
        <f>$H$31*H49</f>
        <v>6.248460936403646E-9</v>
      </c>
    </row>
    <row r="54" spans="1:63" x14ac:dyDescent="0.25">
      <c r="BI54" s="31">
        <f>BI51+1</f>
        <v>7</v>
      </c>
      <c r="BJ54" s="31">
        <v>8</v>
      </c>
      <c r="BK54" s="107">
        <f>$H$32*H47</f>
        <v>3.5835026101886959E-7</v>
      </c>
    </row>
    <row r="55" spans="1:63" x14ac:dyDescent="0.25">
      <c r="BI55" s="31">
        <f>BI52+1</f>
        <v>7</v>
      </c>
      <c r="BJ55" s="31">
        <v>9</v>
      </c>
      <c r="BK55" s="107">
        <f>$H$32*H48</f>
        <v>3.0625352856635764E-8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1.8771491885658791E-9</v>
      </c>
    </row>
    <row r="57" spans="1:63" x14ac:dyDescent="0.25">
      <c r="BI57" s="31">
        <f>BI55+1</f>
        <v>8</v>
      </c>
      <c r="BJ57" s="31">
        <v>9</v>
      </c>
      <c r="BK57" s="107">
        <f>$H$33*H48</f>
        <v>7.3563540901901808E-9</v>
      </c>
    </row>
    <row r="58" spans="1:63" x14ac:dyDescent="0.25">
      <c r="BI58" s="31">
        <f>BI56+1</f>
        <v>8</v>
      </c>
      <c r="BJ58" s="31">
        <v>10</v>
      </c>
      <c r="BK58" s="107">
        <f>$H$33*H49</f>
        <v>4.509000818977247E-10</v>
      </c>
    </row>
    <row r="59" spans="1:63" x14ac:dyDescent="0.25">
      <c r="BI59" s="31">
        <f>BI58+1</f>
        <v>9</v>
      </c>
      <c r="BJ59" s="31">
        <v>10</v>
      </c>
      <c r="BK59" s="107">
        <f>$H$34*H49</f>
        <v>8.3706975899759565E-11</v>
      </c>
    </row>
  </sheetData>
  <mergeCells count="2">
    <mergeCell ref="Q1:R1"/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L20" sqref="L20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4" width="6.7109375" style="31" bestFit="1" customWidth="1"/>
    <col min="25" max="25" width="7.8554687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18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292"/>
      <c r="R1" s="292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18" t="s">
        <v>146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</v>
      </c>
      <c r="O2" s="245"/>
      <c r="P2" s="247"/>
      <c r="Q2" s="247"/>
      <c r="R2" s="198">
        <f>SUM(R4:R15)</f>
        <v>1.6199999999999997</v>
      </c>
      <c r="S2" s="198">
        <f>SUM(S4:S15)</f>
        <v>3.5700000000000007</v>
      </c>
      <c r="T2" s="256">
        <f t="shared" ref="T2:U2" si="0">SUM(T4:T15)</f>
        <v>1.6669444444444448</v>
      </c>
      <c r="U2" s="256">
        <f t="shared" si="0"/>
        <v>1.0766666666666669</v>
      </c>
      <c r="V2" s="158"/>
      <c r="W2" s="158"/>
      <c r="X2" s="286">
        <f t="shared" ref="X2:Y2" si="1">SUM(X4:X15)</f>
        <v>0.93126944444444448</v>
      </c>
      <c r="Y2" s="287">
        <f t="shared" si="1"/>
        <v>0.73836666666666673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2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293" t="s">
        <v>5</v>
      </c>
      <c r="C3" s="293"/>
      <c r="D3" s="31" t="str">
        <f>IF(B3="Sol","SI",IF(B3="Lluvia","SI","NO"))</f>
        <v>SI</v>
      </c>
      <c r="E3" s="248"/>
      <c r="F3" s="249"/>
      <c r="G3" s="279" t="s">
        <v>163</v>
      </c>
      <c r="H3" s="248"/>
      <c r="I3" s="248"/>
      <c r="J3" s="245"/>
      <c r="K3" s="257" t="s">
        <v>167</v>
      </c>
      <c r="L3" s="257" t="s">
        <v>168</v>
      </c>
      <c r="M3" s="257" t="s">
        <v>28</v>
      </c>
      <c r="N3" s="257" t="s">
        <v>28</v>
      </c>
      <c r="O3" s="257" t="s">
        <v>169</v>
      </c>
      <c r="P3" s="262" t="s">
        <v>170</v>
      </c>
      <c r="Q3" s="264" t="s">
        <v>171</v>
      </c>
      <c r="R3" s="257" t="s">
        <v>28</v>
      </c>
      <c r="S3" s="257" t="s">
        <v>172</v>
      </c>
      <c r="T3" s="262" t="s">
        <v>173</v>
      </c>
      <c r="U3" s="264" t="s">
        <v>174</v>
      </c>
      <c r="V3" s="262" t="s">
        <v>175</v>
      </c>
      <c r="W3" s="264" t="s">
        <v>176</v>
      </c>
      <c r="X3" s="288" t="s">
        <v>177</v>
      </c>
      <c r="Y3" s="289" t="s">
        <v>178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163</v>
      </c>
      <c r="F4" s="279" t="s">
        <v>163</v>
      </c>
      <c r="G4" s="279" t="s">
        <v>163</v>
      </c>
      <c r="H4" s="279" t="s">
        <v>163</v>
      </c>
      <c r="I4" s="279" t="s">
        <v>163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179</v>
      </c>
      <c r="P4" s="249">
        <f>COUNTIF(E3:I4,"IMP")</f>
        <v>0</v>
      </c>
      <c r="Q4" s="251">
        <f>COUNTIF(E8:I9,"IMP")</f>
        <v>0</v>
      </c>
      <c r="R4" s="258">
        <f t="shared" ref="R4:R15" si="2">IF(P4+Q4=0,0,N4)</f>
        <v>0</v>
      </c>
      <c r="S4" s="258">
        <f t="shared" ref="S4:S15" si="3">R4*$N$2/$R$2</f>
        <v>0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90">
        <f>V4*T4</f>
        <v>0</v>
      </c>
      <c r="Y4" s="291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2.1139280802885316E-3</v>
      </c>
      <c r="BM4" s="31">
        <v>0</v>
      </c>
      <c r="BN4" s="31">
        <v>0</v>
      </c>
      <c r="BO4" s="107">
        <f>H25*H39</f>
        <v>2.9275450651049413E-4</v>
      </c>
      <c r="BQ4" s="31">
        <v>1</v>
      </c>
      <c r="BR4" s="31">
        <v>0</v>
      </c>
      <c r="BS4" s="107">
        <f>$H$26*H39</f>
        <v>8.3333195527271746E-4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163</v>
      </c>
      <c r="G5" s="279" t="s">
        <v>1</v>
      </c>
      <c r="H5" s="279" t="s">
        <v>163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180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90">
        <f t="shared" ref="X5:Y15" si="11">V5*T5</f>
        <v>0</v>
      </c>
      <c r="Y5" s="291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7.0044180939518924E-3</v>
      </c>
      <c r="BM5" s="31">
        <v>1</v>
      </c>
      <c r="BN5" s="31">
        <v>1</v>
      </c>
      <c r="BO5" s="107">
        <f>$H$26*H40</f>
        <v>6.0173414286608003E-3</v>
      </c>
      <c r="BQ5" s="31">
        <f>BQ4+1</f>
        <v>2</v>
      </c>
      <c r="BR5" s="31">
        <v>0</v>
      </c>
      <c r="BS5" s="107">
        <f>$H$27*H39</f>
        <v>1.033498950211216E-3</v>
      </c>
    </row>
    <row r="6" spans="1:71" ht="15.75" x14ac:dyDescent="0.25">
      <c r="A6" s="2" t="s">
        <v>35</v>
      </c>
      <c r="B6" s="269">
        <v>10</v>
      </c>
      <c r="C6" s="270">
        <v>11</v>
      </c>
      <c r="E6" s="248"/>
      <c r="F6" s="279" t="s">
        <v>1</v>
      </c>
      <c r="G6" s="279" t="s">
        <v>163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0</v>
      </c>
      <c r="R6" s="258">
        <f t="shared" si="2"/>
        <v>0</v>
      </c>
      <c r="S6" s="258">
        <f t="shared" si="3"/>
        <v>0</v>
      </c>
      <c r="T6" s="263">
        <f t="shared" si="4"/>
        <v>0</v>
      </c>
      <c r="U6" s="265">
        <f t="shared" si="5"/>
        <v>0</v>
      </c>
      <c r="V6" s="255">
        <f>$G$18</f>
        <v>0.45</v>
      </c>
      <c r="W6" s="253">
        <f>$H$18</f>
        <v>0.45</v>
      </c>
      <c r="X6" s="290">
        <f t="shared" si="11"/>
        <v>0</v>
      </c>
      <c r="Y6" s="291">
        <f t="shared" si="11"/>
        <v>0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0</v>
      </c>
      <c r="AH6" s="284">
        <f t="shared" si="8"/>
        <v>1</v>
      </c>
      <c r="AI6" s="284">
        <f>AG6*PRODUCT(AH3:AH5)*PRODUCT(AH7:AH17)</f>
        <v>0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1.4094324757092953E-2</v>
      </c>
      <c r="BM6" s="31">
        <f>BI14+1</f>
        <v>2</v>
      </c>
      <c r="BN6" s="31">
        <v>2</v>
      </c>
      <c r="BO6" s="107">
        <f>$H$27*H41</f>
        <v>2.4727403288257274E-2</v>
      </c>
      <c r="BQ6" s="31">
        <f>BM5+1</f>
        <v>2</v>
      </c>
      <c r="BR6" s="31">
        <v>1</v>
      </c>
      <c r="BS6" s="107">
        <f>$H$27*H40</f>
        <v>7.462711600382808E-3</v>
      </c>
    </row>
    <row r="7" spans="1:71" ht="15.75" x14ac:dyDescent="0.25">
      <c r="A7" s="5" t="s">
        <v>40</v>
      </c>
      <c r="B7" s="269">
        <v>10</v>
      </c>
      <c r="C7" s="270">
        <v>12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0.05</v>
      </c>
      <c r="N7" s="259">
        <f t="shared" si="10"/>
        <v>0.05</v>
      </c>
      <c r="O7" s="246" t="s">
        <v>181</v>
      </c>
      <c r="P7" s="249">
        <f>COUNTIF(E9:I9,"IMP")+COUNTIF(F10:H10,"IMP")</f>
        <v>0</v>
      </c>
      <c r="Q7" s="251">
        <f>COUNTIF(E4:I4,"IMP")+COUNTIF(F5:H5,"IMP")</f>
        <v>0</v>
      </c>
      <c r="R7" s="258">
        <f t="shared" si="2"/>
        <v>0</v>
      </c>
      <c r="S7" s="258">
        <f t="shared" si="3"/>
        <v>0</v>
      </c>
      <c r="T7" s="263">
        <f t="shared" si="4"/>
        <v>0</v>
      </c>
      <c r="U7" s="265">
        <f t="shared" si="5"/>
        <v>0</v>
      </c>
      <c r="V7" s="255">
        <f>$G$18</f>
        <v>0.45</v>
      </c>
      <c r="W7" s="253">
        <f>$H$18</f>
        <v>0.45</v>
      </c>
      <c r="X7" s="290">
        <f t="shared" si="11"/>
        <v>0</v>
      </c>
      <c r="Y7" s="291">
        <f t="shared" si="11"/>
        <v>0</v>
      </c>
      <c r="Z7" s="236"/>
      <c r="AA7" s="281">
        <f t="shared" si="6"/>
        <v>0.39253472222222224</v>
      </c>
      <c r="AB7" s="282">
        <f t="shared" si="7"/>
        <v>0.60746527777777781</v>
      </c>
      <c r="AC7" s="282">
        <f>AA7*PRODUCT(AB3:AB6)*PRODUCT(AB8:AB17)</f>
        <v>0.20486261175747678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0.16469470691868662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1.9205489692698374E-2</v>
      </c>
      <c r="BM7" s="31">
        <f>BI23+1</f>
        <v>3</v>
      </c>
      <c r="BN7" s="31">
        <v>3</v>
      </c>
      <c r="BO7" s="107">
        <f>$H$28*H42</f>
        <v>3.5977886219056718E-2</v>
      </c>
      <c r="BQ7" s="31">
        <f>BQ5+1</f>
        <v>3</v>
      </c>
      <c r="BR7" s="31">
        <v>0</v>
      </c>
      <c r="BS7" s="107">
        <f>$H$28*H39</f>
        <v>7.4729995986860549E-4</v>
      </c>
    </row>
    <row r="8" spans="1:71" ht="15.75" x14ac:dyDescent="0.25">
      <c r="A8" s="5" t="s">
        <v>44</v>
      </c>
      <c r="B8" s="269">
        <v>10</v>
      </c>
      <c r="C8" s="270">
        <v>12</v>
      </c>
      <c r="E8" s="250"/>
      <c r="F8" s="251"/>
      <c r="G8" s="280" t="s">
        <v>163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182</v>
      </c>
      <c r="P8" s="249">
        <f>COUNTIF(E5:I6,"RAP")</f>
        <v>5</v>
      </c>
      <c r="Q8" s="251">
        <f>COUNTIF(E10:I11,"RAP")</f>
        <v>0</v>
      </c>
      <c r="R8" s="258">
        <f t="shared" si="2"/>
        <v>0.5</v>
      </c>
      <c r="S8" s="258">
        <f t="shared" si="3"/>
        <v>1.1018518518518521</v>
      </c>
      <c r="T8" s="263">
        <f t="shared" si="4"/>
        <v>0.68865740740740755</v>
      </c>
      <c r="U8" s="265">
        <f t="shared" si="5"/>
        <v>0</v>
      </c>
      <c r="V8" s="255">
        <f>$G$17</f>
        <v>0.56999999999999995</v>
      </c>
      <c r="W8" s="253">
        <f>$H$17</f>
        <v>0.56999999999999995</v>
      </c>
      <c r="X8" s="290">
        <f t="shared" si="11"/>
        <v>0.39253472222222224</v>
      </c>
      <c r="Y8" s="291">
        <f t="shared" si="11"/>
        <v>0</v>
      </c>
      <c r="Z8" s="236"/>
      <c r="AA8" s="281">
        <f t="shared" si="6"/>
        <v>0.39253472222222224</v>
      </c>
      <c r="AB8" s="282">
        <f t="shared" si="7"/>
        <v>0.60746527777777781</v>
      </c>
      <c r="AC8" s="282">
        <f>AA8*PRODUCT(AB3:AB7)*PRODUCT(AB9:AB17)</f>
        <v>0.20486261175747678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3.231563713198899E-2</v>
      </c>
      <c r="AE8" s="220"/>
      <c r="AF8" s="234"/>
      <c r="AG8" s="283">
        <f t="shared" si="12"/>
        <v>0</v>
      </c>
      <c r="AH8" s="284">
        <f t="shared" si="8"/>
        <v>1</v>
      </c>
      <c r="AI8" s="284">
        <f>AG8*PRODUCT(AH3:AH7)*PRODUCT(AH9:AH17)</f>
        <v>0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1.870448792424571E-2</v>
      </c>
      <c r="BM8" s="31">
        <f>BI31+1</f>
        <v>4</v>
      </c>
      <c r="BN8" s="31">
        <v>4</v>
      </c>
      <c r="BO8" s="107">
        <f>$H$29*H43</f>
        <v>2.3274032419245055E-2</v>
      </c>
      <c r="BQ8" s="31">
        <f>BQ6+1</f>
        <v>3</v>
      </c>
      <c r="BR8" s="31">
        <v>1</v>
      </c>
      <c r="BS8" s="107">
        <f>$H$28*H40</f>
        <v>5.3961197332007948E-3</v>
      </c>
    </row>
    <row r="9" spans="1:71" ht="15.75" x14ac:dyDescent="0.25">
      <c r="A9" s="5" t="s">
        <v>47</v>
      </c>
      <c r="B9" s="269">
        <v>10</v>
      </c>
      <c r="C9" s="270">
        <v>12</v>
      </c>
      <c r="E9" s="280" t="s">
        <v>163</v>
      </c>
      <c r="F9" s="280" t="s">
        <v>163</v>
      </c>
      <c r="G9" s="280" t="s">
        <v>163</v>
      </c>
      <c r="H9" s="280" t="s">
        <v>163</v>
      </c>
      <c r="I9" s="280" t="s">
        <v>163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183</v>
      </c>
      <c r="P9" s="249">
        <f>COUNTIF(E5:I6,"RAP")</f>
        <v>5</v>
      </c>
      <c r="Q9" s="251">
        <f>COUNTIF(E10:I11,"RAP")</f>
        <v>0</v>
      </c>
      <c r="R9" s="258">
        <f t="shared" si="2"/>
        <v>0.5</v>
      </c>
      <c r="S9" s="258">
        <f t="shared" si="3"/>
        <v>1.1018518518518521</v>
      </c>
      <c r="T9" s="263">
        <f t="shared" si="4"/>
        <v>0.68865740740740755</v>
      </c>
      <c r="U9" s="265">
        <f t="shared" si="5"/>
        <v>0</v>
      </c>
      <c r="V9" s="255">
        <f>$G$17</f>
        <v>0.56999999999999995</v>
      </c>
      <c r="W9" s="253">
        <f>$H$17</f>
        <v>0.56999999999999995</v>
      </c>
      <c r="X9" s="290">
        <f t="shared" si="11"/>
        <v>0.39253472222222224</v>
      </c>
      <c r="Y9" s="291">
        <f t="shared" si="11"/>
        <v>0</v>
      </c>
      <c r="Z9" s="236"/>
      <c r="AA9" s="281">
        <f t="shared" si="6"/>
        <v>7.0833333333333331E-2</v>
      </c>
      <c r="AB9" s="282">
        <f t="shared" si="7"/>
        <v>0.9291666666666667</v>
      </c>
      <c r="AC9" s="282">
        <f>AA9*PRODUCT(AB3:AB8)*PRODUCT(AB10:AB17)</f>
        <v>2.4168524850447126E-2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1.9699713287018618E-3</v>
      </c>
      <c r="AE9" s="220"/>
      <c r="AF9" s="234"/>
      <c r="AG9" s="283">
        <f t="shared" si="12"/>
        <v>0</v>
      </c>
      <c r="AH9" s="284">
        <f t="shared" si="8"/>
        <v>1</v>
      </c>
      <c r="AI9" s="284">
        <f>AG9*PRODUCT(AH3:AH8)*PRODUCT(AH10:AH17)</f>
        <v>0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1.3388160865440367E-2</v>
      </c>
      <c r="BM9" s="31">
        <f>BI38+1</f>
        <v>5</v>
      </c>
      <c r="BN9" s="31">
        <v>5</v>
      </c>
      <c r="BO9" s="107">
        <f>$H$30*H44</f>
        <v>7.5151634929163493E-3</v>
      </c>
      <c r="BQ9" s="31">
        <f>BM6+1</f>
        <v>3</v>
      </c>
      <c r="BR9" s="31">
        <v>2</v>
      </c>
      <c r="BS9" s="107">
        <f>$H$28*H41</f>
        <v>1.7879831886808376E-2</v>
      </c>
    </row>
    <row r="10" spans="1:71" ht="15.75" x14ac:dyDescent="0.25">
      <c r="A10" s="6" t="s">
        <v>50</v>
      </c>
      <c r="B10" s="269">
        <v>9</v>
      </c>
      <c r="C10" s="270">
        <v>14</v>
      </c>
      <c r="E10" s="280" t="s">
        <v>163</v>
      </c>
      <c r="F10" s="280" t="s">
        <v>144</v>
      </c>
      <c r="G10" s="280" t="s">
        <v>163</v>
      </c>
      <c r="H10" s="280" t="s">
        <v>144</v>
      </c>
      <c r="I10" s="280" t="s">
        <v>163</v>
      </c>
      <c r="J10" s="245"/>
      <c r="K10" s="246">
        <v>18</v>
      </c>
      <c r="L10" s="246" t="s">
        <v>184</v>
      </c>
      <c r="M10" s="259">
        <v>0.15</v>
      </c>
      <c r="N10" s="259">
        <f t="shared" si="10"/>
        <v>0.15</v>
      </c>
      <c r="O10" s="246" t="s">
        <v>185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0.3305555555555556</v>
      </c>
      <c r="T10" s="263">
        <f>S10*G13</f>
        <v>0.15740740740740741</v>
      </c>
      <c r="U10" s="265">
        <f>S10*G14</f>
        <v>0.17314814814814819</v>
      </c>
      <c r="V10" s="255">
        <f>$G$18</f>
        <v>0.45</v>
      </c>
      <c r="W10" s="253">
        <f>$H$18</f>
        <v>0.45</v>
      </c>
      <c r="X10" s="290">
        <f t="shared" si="11"/>
        <v>7.0833333333333331E-2</v>
      </c>
      <c r="Y10" s="291">
        <f t="shared" si="11"/>
        <v>7.791666666666669E-2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7.791666666666669E-2</v>
      </c>
      <c r="AH10" s="284">
        <f t="shared" si="8"/>
        <v>0.92208333333333337</v>
      </c>
      <c r="AI10" s="284">
        <f>AG10*PRODUCT(AH3:AH9)*PRODUCT(AH11:AH17)</f>
        <v>3.5276894851415899E-2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3.42583701297801E-2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7.1281724983264351E-3</v>
      </c>
      <c r="BM10" s="31">
        <f>BI44+1</f>
        <v>6</v>
      </c>
      <c r="BN10" s="31">
        <v>6</v>
      </c>
      <c r="BO10" s="107">
        <f>$H$31*H45</f>
        <v>1.2885926595205314E-3</v>
      </c>
      <c r="BQ10" s="31">
        <f>BQ7+1</f>
        <v>4</v>
      </c>
      <c r="BR10" s="31">
        <v>0</v>
      </c>
      <c r="BS10" s="107">
        <f>$H$29*H39</f>
        <v>3.5477241061943569E-4</v>
      </c>
    </row>
    <row r="11" spans="1:71" ht="15.75" x14ac:dyDescent="0.25">
      <c r="A11" s="6" t="s">
        <v>53</v>
      </c>
      <c r="B11" s="269">
        <v>9</v>
      </c>
      <c r="C11" s="270">
        <v>14</v>
      </c>
      <c r="E11" s="250"/>
      <c r="F11" s="280" t="s">
        <v>144</v>
      </c>
      <c r="G11" s="280" t="s">
        <v>163</v>
      </c>
      <c r="H11" s="280" t="s">
        <v>163</v>
      </c>
      <c r="I11" s="250"/>
      <c r="J11" s="245"/>
      <c r="K11" s="246">
        <v>19</v>
      </c>
      <c r="L11" s="246" t="s">
        <v>184</v>
      </c>
      <c r="M11" s="259">
        <v>0.2</v>
      </c>
      <c r="N11" s="259">
        <f t="shared" si="10"/>
        <v>0.2</v>
      </c>
      <c r="O11" s="246" t="s">
        <v>186</v>
      </c>
      <c r="P11" s="249">
        <f>COUNTIF(E4:I6,"CAB")</f>
        <v>0</v>
      </c>
      <c r="Q11" s="251">
        <f>COUNTIF(E9:I11,"CAB")</f>
        <v>3</v>
      </c>
      <c r="R11" s="258">
        <f t="shared" si="2"/>
        <v>0.2</v>
      </c>
      <c r="S11" s="258">
        <f t="shared" si="3"/>
        <v>0.44074074074074082</v>
      </c>
      <c r="T11" s="263">
        <f>IF(P11&gt;0,IF(Q11&gt;0,G13*S11,S11),0)</f>
        <v>0</v>
      </c>
      <c r="U11" s="265">
        <f>IF(Q11&gt;0,IF(P11&gt;0,G14*S11,S11),0)</f>
        <v>0.44074074074074082</v>
      </c>
      <c r="V11" s="255">
        <f>IF(P11-Q11&gt;2,0.9,IF(P11-Q11&gt;1,0.75,IF(P11-Q11=0,0.5,0.15)))</f>
        <v>0.15</v>
      </c>
      <c r="W11" s="253">
        <f>IF(Q11-P11&gt;2,0.9,IF(Q11-P11&gt;1,0.75,IF(Q11-P11=0,0.5,0.15)))</f>
        <v>0.9</v>
      </c>
      <c r="X11" s="290">
        <f t="shared" si="11"/>
        <v>0</v>
      </c>
      <c r="Y11" s="291">
        <f t="shared" si="11"/>
        <v>0.39666666666666672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0.39666666666666672</v>
      </c>
      <c r="AH11" s="284">
        <f t="shared" si="8"/>
        <v>0.60333333333333328</v>
      </c>
      <c r="AI11" s="284">
        <f>AG11*PRODUCT(AH3:AH10)*PRODUCT(AH12:AH17)</f>
        <v>0.27447231448683262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8.6093496743927481E-2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2.8227020207033668E-3</v>
      </c>
      <c r="BM11" s="31">
        <f>BI50+1</f>
        <v>7</v>
      </c>
      <c r="BN11" s="31">
        <v>7</v>
      </c>
      <c r="BO11" s="107">
        <f>$H$32*H46</f>
        <v>1.2075892976720211E-4</v>
      </c>
      <c r="BQ11" s="31">
        <f>BQ8+1</f>
        <v>4</v>
      </c>
      <c r="BR11" s="31">
        <v>1</v>
      </c>
      <c r="BS11" s="107">
        <f>$H$29*H40</f>
        <v>2.5617483052927663E-3</v>
      </c>
    </row>
    <row r="12" spans="1:71" ht="15.75" x14ac:dyDescent="0.25">
      <c r="A12" s="6" t="s">
        <v>57</v>
      </c>
      <c r="B12" s="269">
        <v>9</v>
      </c>
      <c r="C12" s="270">
        <v>14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0.05</v>
      </c>
      <c r="N12" s="259">
        <f t="shared" si="10"/>
        <v>0.05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90">
        <f t="shared" si="11"/>
        <v>0</v>
      </c>
      <c r="Y12" s="291">
        <f t="shared" si="11"/>
        <v>0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8.2139648555341004E-4</v>
      </c>
      <c r="BM12" s="31">
        <f>BI54+1</f>
        <v>8</v>
      </c>
      <c r="BN12" s="31">
        <v>8</v>
      </c>
      <c r="BO12" s="107">
        <f>$H$33*H47</f>
        <v>6.2060493378969894E-6</v>
      </c>
      <c r="BQ12" s="31">
        <f>BQ9+1</f>
        <v>4</v>
      </c>
      <c r="BR12" s="31">
        <v>2</v>
      </c>
      <c r="BS12" s="107">
        <f>$H$29*H41</f>
        <v>8.4882529112788544E-3</v>
      </c>
    </row>
    <row r="13" spans="1:71" ht="15.75" x14ac:dyDescent="0.25">
      <c r="A13" s="7" t="s">
        <v>60</v>
      </c>
      <c r="B13" s="269">
        <v>9</v>
      </c>
      <c r="C13" s="270">
        <v>9</v>
      </c>
      <c r="E13" s="247"/>
      <c r="F13" s="247" t="s">
        <v>164</v>
      </c>
      <c r="G13" s="254">
        <f>B22</f>
        <v>0.47619047619047616</v>
      </c>
      <c r="H13" s="247"/>
      <c r="I13" s="247"/>
      <c r="J13" s="245"/>
      <c r="K13" s="246">
        <v>37</v>
      </c>
      <c r="L13" s="246">
        <v>2</v>
      </c>
      <c r="M13" s="259">
        <v>0.15</v>
      </c>
      <c r="N13" s="259">
        <f t="shared" si="10"/>
        <v>0.15</v>
      </c>
      <c r="O13" s="246" t="s">
        <v>187</v>
      </c>
      <c r="P13" s="249">
        <f>COUNTIF(E5:I6,"CAB")</f>
        <v>0</v>
      </c>
      <c r="Q13" s="251">
        <f>COUNTIF(E10:I11,"CAB")</f>
        <v>3</v>
      </c>
      <c r="R13" s="258">
        <f t="shared" si="2"/>
        <v>0.15</v>
      </c>
      <c r="S13" s="258">
        <f t="shared" si="3"/>
        <v>0.3305555555555556</v>
      </c>
      <c r="T13" s="263">
        <f>S13*P13/(Q13+P13)</f>
        <v>0</v>
      </c>
      <c r="U13" s="265">
        <f>S13*Q13/(Q13+P13)</f>
        <v>0.3305555555555556</v>
      </c>
      <c r="V13" s="255">
        <f>$G$17</f>
        <v>0.56999999999999995</v>
      </c>
      <c r="W13" s="253">
        <f>$H$17</f>
        <v>0.56999999999999995</v>
      </c>
      <c r="X13" s="290">
        <f t="shared" si="11"/>
        <v>0</v>
      </c>
      <c r="Y13" s="291">
        <f t="shared" si="11"/>
        <v>0.18841666666666668</v>
      </c>
      <c r="Z13" s="236"/>
      <c r="AA13" s="281">
        <f t="shared" si="6"/>
        <v>7.5366666666666665E-2</v>
      </c>
      <c r="AB13" s="282">
        <f t="shared" si="7"/>
        <v>0.92463333333333331</v>
      </c>
      <c r="AC13" s="282">
        <f>AA13*PRODUCT(AB3:AB12)*PRODUCT(AB14:AB17)</f>
        <v>2.584138860591266E-2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0.18841666666666668</v>
      </c>
      <c r="AH13" s="284">
        <f t="shared" si="8"/>
        <v>0.81158333333333332</v>
      </c>
      <c r="AI13" s="284">
        <f>AG13*PRODUCT(AH3:AH12)*PRODUCT(AH14:AH17)</f>
        <v>9.6920658129193663E-2</v>
      </c>
      <c r="AJ13" s="284">
        <f>AG13*AG14*PRODUCT(AH3:AH12)*PRODUCT(AH15:AH17)+AG13*AG15*PRODUCT(AH3:AH12)*AH14*PRODUCT(AH16:AH17)+AG13*AG16*PRODUCT(AH3:AH12)*AH14*AH15*AH17+AG13*AG17*PRODUCT(AH3:AH12)*AH14*AH15*AH16</f>
        <v>7.8999822643248448E-3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1.7093782912356949E-4</v>
      </c>
      <c r="BM13" s="31">
        <f>BI57+1</f>
        <v>9</v>
      </c>
      <c r="BN13" s="31">
        <v>9</v>
      </c>
      <c r="BO13" s="107">
        <f>$H$34*H48</f>
        <v>1.7118267514233046E-7</v>
      </c>
      <c r="BQ13" s="31">
        <f>BM7+1</f>
        <v>4</v>
      </c>
      <c r="BR13" s="31">
        <v>3</v>
      </c>
      <c r="BS13" s="107">
        <f>$H$29*H42</f>
        <v>1.708010452077471E-2</v>
      </c>
    </row>
    <row r="14" spans="1:71" ht="15.75" x14ac:dyDescent="0.25">
      <c r="A14" s="7" t="s">
        <v>63</v>
      </c>
      <c r="B14" s="269">
        <v>4</v>
      </c>
      <c r="C14" s="270">
        <v>4</v>
      </c>
      <c r="E14" s="247"/>
      <c r="F14" s="247" t="s">
        <v>165</v>
      </c>
      <c r="G14" s="252">
        <f>C22</f>
        <v>0.52380952380952384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188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0.26444444444444448</v>
      </c>
      <c r="T14" s="263">
        <f>S14*P14/(Q14+P14)</f>
        <v>0.13222222222222224</v>
      </c>
      <c r="U14" s="265">
        <f>S14*Q14/(Q14+P14)</f>
        <v>0.13222222222222224</v>
      </c>
      <c r="V14" s="255">
        <f>$G$17</f>
        <v>0.56999999999999995</v>
      </c>
      <c r="W14" s="253">
        <f>$H$17</f>
        <v>0.56999999999999995</v>
      </c>
      <c r="X14" s="290">
        <f t="shared" si="11"/>
        <v>7.5366666666666665E-2</v>
      </c>
      <c r="Y14" s="291">
        <f t="shared" si="11"/>
        <v>7.5366666666666665E-2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7.5366666666666665E-2</v>
      </c>
      <c r="AH14" s="284">
        <f t="shared" si="8"/>
        <v>0.92463333333333331</v>
      </c>
      <c r="AI14" s="284">
        <f>AG14*PRODUCT(AH3:AH13)*PRODUCT(AH15:AH17)</f>
        <v>3.4028273893082557E-2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1.9938225700963881E-2</v>
      </c>
      <c r="BM14" s="31">
        <f>BQ39+1</f>
        <v>10</v>
      </c>
      <c r="BN14" s="31">
        <v>10</v>
      </c>
      <c r="BO14" s="107">
        <f>$H$35*H49</f>
        <v>2.4037422437622233E-9</v>
      </c>
      <c r="BQ14" s="31">
        <f>BQ10+1</f>
        <v>5</v>
      </c>
      <c r="BR14" s="31">
        <v>0</v>
      </c>
      <c r="BS14" s="107">
        <f>$H$30*H39</f>
        <v>1.1762406908036909E-4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189</v>
      </c>
      <c r="P15" s="249">
        <f>IF(COUNTIF(E9:I9,"CAB")+COUNTIF(F10:H10,"CAB") &gt; 0, COUNTIF(E5:I6,"TEC"),0)</f>
        <v>0</v>
      </c>
      <c r="Q15" s="251">
        <f>IF(COUNTIF(E4:I4,"CAB")+COUNTIF(F5:H5,"CAB") &gt; 0, COUNTIF(E10:I11,"TEC"),0)</f>
        <v>0</v>
      </c>
      <c r="R15" s="258">
        <f t="shared" si="2"/>
        <v>0</v>
      </c>
      <c r="S15" s="258">
        <f t="shared" si="3"/>
        <v>0</v>
      </c>
      <c r="T15" s="263">
        <f>IF(S15=0,0,IF(Q15=0,S15*P15/L15,S15*P15/(L15*2)))</f>
        <v>0</v>
      </c>
      <c r="U15" s="265">
        <f>IF(S15=0,0,IF(P15=0,S15*Q15/L15,S15*Q15/(L15*2)))</f>
        <v>0</v>
      </c>
      <c r="V15" s="255">
        <f>$G$17</f>
        <v>0.56999999999999995</v>
      </c>
      <c r="W15" s="253">
        <f>$H$17</f>
        <v>0.56999999999999995</v>
      </c>
      <c r="X15" s="290">
        <f t="shared" si="11"/>
        <v>0</v>
      </c>
      <c r="Y15" s="291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4.0119796439942818E-2</v>
      </c>
      <c r="BQ15" s="31">
        <f>BQ11+1</f>
        <v>5</v>
      </c>
      <c r="BR15" s="31">
        <v>1</v>
      </c>
      <c r="BS15" s="107">
        <f>$H$30*H40</f>
        <v>8.4934242519637236E-4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5.4668836590608234E-2</v>
      </c>
      <c r="BQ16" s="31">
        <f>BQ12+1</f>
        <v>5</v>
      </c>
      <c r="BR16" s="31">
        <v>2</v>
      </c>
      <c r="BS16" s="107">
        <f>$H$30*H41</f>
        <v>2.8142629384981009E-3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166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5.3242724356586037E-2</v>
      </c>
      <c r="BQ17" s="31">
        <f>BQ13+1</f>
        <v>5</v>
      </c>
      <c r="BR17" s="31">
        <v>3</v>
      </c>
      <c r="BS17" s="107">
        <f>$H$30*H42</f>
        <v>5.6628738140706673E-3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0.31703417892057112</v>
      </c>
      <c r="AC18" s="176">
        <f>SUM(AC3:AC17)</f>
        <v>0.45973513697131335</v>
      </c>
      <c r="AD18" s="176">
        <f>SUM(AD3:AD17)</f>
        <v>0.19898031537937746</v>
      </c>
      <c r="AE18" s="176">
        <f>1-AB18-AC18-AD18</f>
        <v>2.425036872873812E-2</v>
      </c>
      <c r="AF18" s="234"/>
      <c r="AG18" s="158"/>
      <c r="AH18" s="179">
        <f>PRODUCT(AH3:AH17)</f>
        <v>0.41747469682450999</v>
      </c>
      <c r="AI18" s="176">
        <f>SUM(AI3:AI17)</f>
        <v>0.44069814136052471</v>
      </c>
      <c r="AJ18" s="176">
        <f>SUM(AJ3:AJ17)</f>
        <v>0.12825184913803242</v>
      </c>
      <c r="AK18" s="176">
        <f>1-AH18-AI18-AJ18</f>
        <v>1.3575312676932877E-2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3.8109685840491653E-2</v>
      </c>
      <c r="BQ18" s="31">
        <f>BM8+1</f>
        <v>5</v>
      </c>
      <c r="BR18" s="31">
        <v>4</v>
      </c>
      <c r="BS18" s="107">
        <f>$H$30*H43</f>
        <v>7.7164579745087301E-3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2.0290495256094884E-2</v>
      </c>
      <c r="BQ19" s="31">
        <f>BQ15+1</f>
        <v>6</v>
      </c>
      <c r="BR19" s="31">
        <v>1</v>
      </c>
      <c r="BS19" s="107">
        <f>$H$31*H40</f>
        <v>2.0346276343644247E-4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8.0348815876577061E-3</v>
      </c>
      <c r="BQ20" s="31">
        <f>BQ16+1</f>
        <v>6</v>
      </c>
      <c r="BR20" s="31">
        <v>2</v>
      </c>
      <c r="BS20" s="107">
        <f>$H$31*H41</f>
        <v>6.7416591649851825E-4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2.3381226390645675E-3</v>
      </c>
      <c r="BQ21" s="31">
        <f>BQ17+1</f>
        <v>6</v>
      </c>
      <c r="BR21" s="31">
        <v>3</v>
      </c>
      <c r="BS21" s="107">
        <f>$H$31*H42</f>
        <v>1.3565599939697984E-3</v>
      </c>
    </row>
    <row r="22" spans="1:71" x14ac:dyDescent="0.25">
      <c r="A22" s="26" t="s">
        <v>87</v>
      </c>
      <c r="B22" s="206">
        <f>(B6)/((B6)+(C6))</f>
        <v>0.47619047619047616</v>
      </c>
      <c r="C22" s="207">
        <f>1-B22</f>
        <v>0.52380952380952384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4.8657818139688182E-4</v>
      </c>
      <c r="BQ22" s="31">
        <f>BQ18+1</f>
        <v>6</v>
      </c>
      <c r="BR22" s="31">
        <v>4</v>
      </c>
      <c r="BS22" s="107">
        <f>$H$31*H43</f>
        <v>1.8485028144823033E-3</v>
      </c>
    </row>
    <row r="23" spans="1:71" ht="15.75" thickBot="1" x14ac:dyDescent="0.3">
      <c r="A23" s="40" t="s">
        <v>88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66">
        <f>SUM(H25:H35)</f>
        <v>0.99999994343853715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0.99999999999999989</v>
      </c>
      <c r="S23" s="81"/>
      <c r="T23" s="266">
        <f>SUM(T25:T35)</f>
        <v>1</v>
      </c>
      <c r="V23" s="208">
        <f>SUM(V25:V34)</f>
        <v>0.99974931781276</v>
      </c>
      <c r="Y23" s="205">
        <f>SUM(Y25:Y35)</f>
        <v>3.3765445915655752E-3</v>
      </c>
      <c r="Z23" s="81"/>
      <c r="AA23" s="205">
        <f>SUM(AA25:AA35)</f>
        <v>2.5873660086668103E-2</v>
      </c>
      <c r="AB23" s="81"/>
      <c r="AC23" s="205">
        <f>SUM(AC25:AC35)</f>
        <v>8.9231628252390352E-2</v>
      </c>
      <c r="AD23" s="81"/>
      <c r="AE23" s="205">
        <f>SUM(AE25:AE35)</f>
        <v>0.18239905448332949</v>
      </c>
      <c r="AF23" s="81"/>
      <c r="AG23" s="205">
        <f>SUM(AG25:AG35)</f>
        <v>0.24474801787537889</v>
      </c>
      <c r="AH23" s="81"/>
      <c r="AI23" s="205">
        <f>SUM(AI25:AI35)</f>
        <v>0.22529102499748441</v>
      </c>
      <c r="AJ23" s="81"/>
      <c r="AK23" s="205">
        <f>SUM(AK25:AK35)</f>
        <v>0.14411233921871039</v>
      </c>
      <c r="AL23" s="81"/>
      <c r="AM23" s="205">
        <f>SUM(AM25:AM35)</f>
        <v>6.3287220894066035E-2</v>
      </c>
      <c r="AN23" s="81"/>
      <c r="AO23" s="205">
        <f>SUM(AO25:AO35)</f>
        <v>1.8281965297063971E-2</v>
      </c>
      <c r="AP23" s="81"/>
      <c r="AQ23" s="205">
        <f>SUM(AQ25:AQ35)</f>
        <v>3.1478621161027897E-3</v>
      </c>
      <c r="AR23" s="81"/>
      <c r="AS23" s="205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4.9756603285180744E-2</v>
      </c>
      <c r="BQ23" s="31">
        <f>BM9+1</f>
        <v>6</v>
      </c>
      <c r="BR23" s="31">
        <v>5</v>
      </c>
      <c r="BS23" s="107">
        <f>$H$31*H44</f>
        <v>1.8002820612568625E-3</v>
      </c>
    </row>
    <row r="24" spans="1:71" ht="15.75" thickBot="1" x14ac:dyDescent="0.3">
      <c r="A24" s="26" t="s">
        <v>89</v>
      </c>
      <c r="B24" s="64">
        <f>B23/B21</f>
        <v>0.43367603379824315</v>
      </c>
      <c r="C24" s="65">
        <f>C23/B21</f>
        <v>0.56632396620175685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6.7800334390359235E-2</v>
      </c>
      <c r="BQ24" s="31">
        <f>BI49+1</f>
        <v>7</v>
      </c>
      <c r="BR24" s="31">
        <v>0</v>
      </c>
      <c r="BS24" s="107">
        <f t="shared" ref="BS24:BS30" si="16">$H$32*H39</f>
        <v>4.9595770723888692E-6</v>
      </c>
    </row>
    <row r="25" spans="1:71" x14ac:dyDescent="0.25">
      <c r="A25" s="26" t="s">
        <v>114</v>
      </c>
      <c r="B25" s="209">
        <f>1/(1+EXP(-3.1416*4*((B11/(B11+C8))-(3.1416/6))))</f>
        <v>0.23251449252298675</v>
      </c>
      <c r="C25" s="207">
        <f>1/(1+EXP(-3.1416*4*((C11/(C11+B8))-(3.1416/6))))</f>
        <v>0.6793166023460353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8.577309073333704E-2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0.31703417892057112</v>
      </c>
      <c r="M25" s="85">
        <v>0</v>
      </c>
      <c r="N25" s="210">
        <f>(1-$B$24)^$B$21</f>
        <v>5.8253859548764761E-2</v>
      </c>
      <c r="O25" s="72">
        <v>0</v>
      </c>
      <c r="P25" s="210">
        <f t="shared" ref="P25:P30" si="18">N25</f>
        <v>5.8253859548764761E-2</v>
      </c>
      <c r="Q25" s="28">
        <v>0</v>
      </c>
      <c r="R25" s="211">
        <f>P25*N25</f>
        <v>3.3935121523272112E-3</v>
      </c>
      <c r="S25" s="72">
        <v>0</v>
      </c>
      <c r="T25" s="212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213">
        <f>V25</f>
        <v>3.3765445915655752E-3</v>
      </c>
      <c r="Z25" s="28">
        <v>0</v>
      </c>
      <c r="AA25" s="213">
        <f>((1-W25)^Z26)*V26</f>
        <v>1.8569822111388933E-2</v>
      </c>
      <c r="AB25" s="28">
        <v>0</v>
      </c>
      <c r="AC25" s="213">
        <f>(((1-$W$25)^AB27))*V27</f>
        <v>4.596407959974879E-2</v>
      </c>
      <c r="AD25" s="28">
        <v>0</v>
      </c>
      <c r="AE25" s="213">
        <f>(((1-$W$25)^AB28))*V28</f>
        <v>6.7432957582147166E-2</v>
      </c>
      <c r="AF25" s="28">
        <v>0</v>
      </c>
      <c r="AG25" s="213">
        <f>(((1-$W$25)^AB29))*V29</f>
        <v>6.4940956922224E-2</v>
      </c>
      <c r="AH25" s="28">
        <v>0</v>
      </c>
      <c r="AI25" s="213">
        <f>(((1-$W$25)^AB30))*V30</f>
        <v>4.290355372466393E-2</v>
      </c>
      <c r="AJ25" s="28">
        <v>0</v>
      </c>
      <c r="AK25" s="213">
        <f>(((1-$W$25)^AB31))*V31</f>
        <v>1.9697015124709574E-2</v>
      </c>
      <c r="AL25" s="28">
        <v>0</v>
      </c>
      <c r="AM25" s="213">
        <f>(((1-$W$25)^AB32))*V32</f>
        <v>6.2081921588654221E-3</v>
      </c>
      <c r="AN25" s="28">
        <v>0</v>
      </c>
      <c r="AO25" s="213">
        <f>(((1-$W$25)^AB33))*V33</f>
        <v>1.2871284244145504E-3</v>
      </c>
      <c r="AP25" s="28">
        <v>0</v>
      </c>
      <c r="AQ25" s="213">
        <f>(((1-$W$25)^AB34))*V34</f>
        <v>1.5906131811362984E-4</v>
      </c>
      <c r="AR25" s="28">
        <v>0</v>
      </c>
      <c r="AS25" s="213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6.60316688694709E-2</v>
      </c>
      <c r="BQ25" s="31">
        <f>BQ19+1</f>
        <v>7</v>
      </c>
      <c r="BR25" s="31">
        <v>1</v>
      </c>
      <c r="BS25" s="107">
        <f t="shared" si="16"/>
        <v>3.5812221525280604E-5</v>
      </c>
    </row>
    <row r="26" spans="1:71" x14ac:dyDescent="0.25">
      <c r="A26" s="40" t="s">
        <v>115</v>
      </c>
      <c r="B26" s="206">
        <f>1/(1+EXP(-3.1416*4*((B10/(B10+C9))-(3.1416/6))))</f>
        <v>0.23251449252298675</v>
      </c>
      <c r="C26" s="207">
        <f>1/(1+EXP(-3.1416*4*((C10/(C10+B9))-(3.1416/6))))</f>
        <v>0.6793166023460353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0.24415493466719279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0.45973513697131335</v>
      </c>
      <c r="M26" s="85">
        <v>1</v>
      </c>
      <c r="N26" s="210">
        <f>(($B$24)^M26)*((1-($B$24))^($B$21-M26))*HLOOKUP($B$21,$AV$24:$BF$34,M26+1)</f>
        <v>0.22304638572851768</v>
      </c>
      <c r="O26" s="72">
        <v>1</v>
      </c>
      <c r="P26" s="210">
        <f t="shared" si="18"/>
        <v>0.22304638572851768</v>
      </c>
      <c r="Q26" s="28">
        <v>1</v>
      </c>
      <c r="R26" s="211">
        <f>N26*P25+P26*N25</f>
        <v>2.5986625654177354E-2</v>
      </c>
      <c r="S26" s="72">
        <v>1</v>
      </c>
      <c r="T26" s="212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214"/>
      <c r="X26" s="28">
        <v>1</v>
      </c>
      <c r="Y26" s="211"/>
      <c r="Z26" s="28">
        <v>1</v>
      </c>
      <c r="AA26" s="213">
        <f>(1-((1-W25)^Z26))*V26</f>
        <v>7.3038379752791704E-3</v>
      </c>
      <c r="AB26" s="28">
        <v>1</v>
      </c>
      <c r="AC26" s="213">
        <f>((($W$25)^M26)*((1-($W$25))^($U$27-M26))*HLOOKUP($U$27,$AV$24:$BF$34,M26+1))*V27</f>
        <v>3.6156963493312655E-2</v>
      </c>
      <c r="AD26" s="28">
        <v>1</v>
      </c>
      <c r="AE26" s="213">
        <f>((($W$25)^M26)*((1-($W$25))^($U$28-M26))*HLOOKUP($U$28,$AV$24:$BF$34,M26+1))*V28</f>
        <v>7.9567708309679325E-2</v>
      </c>
      <c r="AF26" s="28">
        <v>1</v>
      </c>
      <c r="AG26" s="213">
        <f>((($W$25)^M26)*((1-($W$25))^($U$29-M26))*HLOOKUP($U$29,$AV$24:$BF$34,M26+1))*V29</f>
        <v>0.10216968681215476</v>
      </c>
      <c r="AH26" s="28">
        <v>1</v>
      </c>
      <c r="AI26" s="213">
        <f>((($W$25)^M26)*((1-($W$25))^($U$30-M26))*HLOOKUP($U$30,$AV$24:$BF$34,M26+1))*V30</f>
        <v>8.4373615183003139E-2</v>
      </c>
      <c r="AJ26" s="28">
        <v>1</v>
      </c>
      <c r="AK26" s="213">
        <f>((($W$25)^M26)*((1-($W$25))^($U$31-M26))*HLOOKUP($U$31,$AV$24:$BF$34,M26+1))*V31</f>
        <v>4.6483096996153724E-2</v>
      </c>
      <c r="AL26" s="28">
        <v>1</v>
      </c>
      <c r="AM26" s="213">
        <f>((($W$25)^Q26)*((1-($W$25))^($U$32-Q26))*HLOOKUP($U$32,$AV$24:$BF$34,Q26+1))*V32</f>
        <v>1.7092538939271571E-2</v>
      </c>
      <c r="AN26" s="28">
        <v>1</v>
      </c>
      <c r="AO26" s="213">
        <f>((($W$25)^Q26)*((1-($W$25))^($U$33-Q26))*HLOOKUP($U$33,$AV$24:$BF$34,Q26+1))*V33</f>
        <v>4.0500021632558728E-3</v>
      </c>
      <c r="AP26" s="28">
        <v>1</v>
      </c>
      <c r="AQ26" s="213">
        <f>((($W$25)^Q26)*((1-($W$25))^($U$34-Q26))*HLOOKUP($U$34,$AV$24:$BF$34,Q26+1))*V34</f>
        <v>5.6305455151958738E-4</v>
      </c>
      <c r="AR26" s="28">
        <v>1</v>
      </c>
      <c r="AS26" s="213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4.726366252946311E-2</v>
      </c>
      <c r="BQ26" s="31">
        <f>BQ20+1</f>
        <v>7</v>
      </c>
      <c r="BR26" s="31">
        <v>2</v>
      </c>
      <c r="BS26" s="107">
        <f t="shared" si="16"/>
        <v>1.186623966895085E-4</v>
      </c>
    </row>
    <row r="27" spans="1:71" x14ac:dyDescent="0.25">
      <c r="A27" s="26" t="s">
        <v>116</v>
      </c>
      <c r="B27" s="206">
        <f>1/(1+EXP(-3.1416*4*((B12/(B12+C7))-(3.1416/6))))</f>
        <v>0.23251449252298675</v>
      </c>
      <c r="C27" s="207">
        <f>1/(1+EXP(-3.1416*4*((C12/(C12+B7))-(3.1416/6))))</f>
        <v>0.6793166023460353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0.30280114313491391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0.19898031537937746</v>
      </c>
      <c r="M27" s="85">
        <v>2</v>
      </c>
      <c r="N27" s="210">
        <f>(($B$24)^M27)*((1-($B$24))^($B$21-M27))*HLOOKUP($B$21,$AV$24:$BF$34,M27+1)</f>
        <v>0.34160613955481417</v>
      </c>
      <c r="O27" s="72">
        <v>2</v>
      </c>
      <c r="P27" s="210">
        <f t="shared" si="18"/>
        <v>0.34160613955481417</v>
      </c>
      <c r="Q27" s="28">
        <v>2</v>
      </c>
      <c r="R27" s="211">
        <f>P25*N27+P26*N26+P27*N25</f>
        <v>8.9549442335798451E-2</v>
      </c>
      <c r="S27" s="72">
        <v>2</v>
      </c>
      <c r="T27" s="212">
        <f t="shared" si="19"/>
        <v>0</v>
      </c>
      <c r="U27" s="138">
        <v>2</v>
      </c>
      <c r="V27" s="86">
        <f>R27*T25+T26*R26+R25*T27</f>
        <v>8.9231628252390352E-2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7.1105851593288999E-3</v>
      </c>
      <c r="AD27" s="28">
        <v>2</v>
      </c>
      <c r="AE27" s="213">
        <f>((($W$25)^M27)*((1-($W$25))^($U$28-M27))*HLOOKUP($U$28,$AV$24:$BF$34,M27+1))*V28</f>
        <v>3.1295380541192741E-2</v>
      </c>
      <c r="AF27" s="28">
        <v>2</v>
      </c>
      <c r="AG27" s="213">
        <f>((($W$25)^M27)*((1-($W$25))^($U$29-M27))*HLOOKUP($U$29,$AV$24:$BF$34,M27+1))*V29</f>
        <v>6.0277704922385572E-2</v>
      </c>
      <c r="AH27" s="28">
        <v>2</v>
      </c>
      <c r="AI27" s="213">
        <f>((($W$25)^M27)*((1-($W$25))^($U$30-M27))*HLOOKUP($U$30,$AV$24:$BF$34,M27+1))*V30</f>
        <v>6.6371256653800767E-2</v>
      </c>
      <c r="AJ27" s="28">
        <v>2</v>
      </c>
      <c r="AK27" s="213">
        <f>((($W$25)^M27)*((1-($W$25))^($U$31-M27))*HLOOKUP($U$31,$AV$24:$BF$34,M27+1))*V31</f>
        <v>4.5706551066107569E-2</v>
      </c>
      <c r="AL27" s="28">
        <v>2</v>
      </c>
      <c r="AM27" s="213">
        <f>((($W$25)^Q27)*((1-($W$25))^($U$32-Q27))*HLOOKUP($U$32,$AV$24:$BF$34,Q27+1))*V32</f>
        <v>2.0168389484252112E-2</v>
      </c>
      <c r="AN27" s="28">
        <v>2</v>
      </c>
      <c r="AO27" s="213">
        <f>((($W$25)^Q27)*((1-($W$25))^($U$33-Q27))*HLOOKUP($U$33,$AV$24:$BF$34,Q27+1))*V33</f>
        <v>5.5752800419306189E-3</v>
      </c>
      <c r="AP27" s="28">
        <v>2</v>
      </c>
      <c r="AQ27" s="213">
        <f>((($W$25)^Q27)*((1-($W$25))^($U$34-Q27))*HLOOKUP($U$34,$AV$24:$BF$34,Q27+1))*V34</f>
        <v>8.8583707283234779E-4</v>
      </c>
      <c r="AR27" s="28">
        <v>2</v>
      </c>
      <c r="AS27" s="213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2.5164288269225173E-2</v>
      </c>
      <c r="BQ27" s="31">
        <f>BQ21+1</f>
        <v>7</v>
      </c>
      <c r="BR27" s="31">
        <v>3</v>
      </c>
      <c r="BS27" s="107">
        <f t="shared" si="16"/>
        <v>2.3877306193944214E-4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0.21894872952376346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2.425036872873812E-2</v>
      </c>
      <c r="M28" s="85">
        <v>3</v>
      </c>
      <c r="N28" s="210">
        <f>(($B$24)^M28)*((1-($B$24))^($B$21-M28))*HLOOKUP($B$21,$AV$24:$BF$34,M28+1)</f>
        <v>0.26159301842169036</v>
      </c>
      <c r="O28" s="72">
        <v>3</v>
      </c>
      <c r="P28" s="210">
        <f t="shared" si="18"/>
        <v>0.26159301842169036</v>
      </c>
      <c r="Q28" s="28">
        <v>3</v>
      </c>
      <c r="R28" s="211">
        <f>P25*N28+P26*N27+P27*N26+P28*N25</f>
        <v>0.182865635448895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0.18239905448332952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4.1030080503102872E-3</v>
      </c>
      <c r="AF28" s="28">
        <v>3</v>
      </c>
      <c r="AG28" s="213">
        <f>((($W$25)^M28)*((1-($W$25))^($U$29-M28))*HLOOKUP($U$29,$AV$24:$BF$34,M28+1))*V29</f>
        <v>1.5805521727095772E-2</v>
      </c>
      <c r="AH28" s="28">
        <v>3</v>
      </c>
      <c r="AI28" s="213">
        <f>((($W$25)^M28)*((1-($W$25))^($U$30-M28))*HLOOKUP($U$30,$AV$24:$BF$34,M28+1))*V30</f>
        <v>2.6104983769215672E-2</v>
      </c>
      <c r="AJ28" s="28">
        <v>3</v>
      </c>
      <c r="AK28" s="213">
        <f>((($W$25)^M28)*((1-($W$25))^($U$31-M28))*HLOOKUP($U$31,$AV$24:$BF$34,M28+1))*V31</f>
        <v>2.3969588320463385E-2</v>
      </c>
      <c r="AL28" s="28">
        <v>3</v>
      </c>
      <c r="AM28" s="213">
        <f>((($W$25)^Q28)*((1-($W$25))^($U$32-Q28))*HLOOKUP($U$32,$AV$24:$BF$34,Q28+1))*V32</f>
        <v>1.3220971112135571E-2</v>
      </c>
      <c r="AN28" s="28">
        <v>3</v>
      </c>
      <c r="AO28" s="213">
        <f>((($W$25)^Q28)*((1-($W$25))^($U$33-Q28))*HLOOKUP($U$33,$AV$24:$BF$34,Q28+1))*V33</f>
        <v>4.3857115968918853E-3</v>
      </c>
      <c r="AP28" s="28">
        <v>3</v>
      </c>
      <c r="AQ28" s="213">
        <f>((($W$25)^Q28)*((1-($W$25))^($U$34-Q28))*HLOOKUP($U$34,$AV$24:$BF$34,Q28+1))*V34</f>
        <v>8.12969072357901E-4</v>
      </c>
      <c r="AR28" s="28">
        <v>3</v>
      </c>
      <c r="AS28" s="213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9.964866501726885E-3</v>
      </c>
      <c r="BQ28" s="31">
        <f>BQ22+1</f>
        <v>7</v>
      </c>
      <c r="BR28" s="31">
        <v>4</v>
      </c>
      <c r="BS28" s="107">
        <f t="shared" si="16"/>
        <v>3.2536170827653245E-4</v>
      </c>
    </row>
    <row r="29" spans="1:71" x14ac:dyDescent="0.25">
      <c r="A29" s="26" t="s">
        <v>118</v>
      </c>
      <c r="B29" s="206">
        <f>1/(1+EXP(-3.1416*4*((B14/(B14+C13))-(3.1416/6))))</f>
        <v>6.2199958135446112E-2</v>
      </c>
      <c r="C29" s="207">
        <f>1/(1+EXP(-3.1416*4*((C14/(C14+B13))-(3.1416/6))))</f>
        <v>6.2199958135446112E-2</v>
      </c>
      <c r="D29" s="204">
        <v>0.04</v>
      </c>
      <c r="E29" s="204">
        <v>0.04</v>
      </c>
      <c r="G29" s="87">
        <v>4</v>
      </c>
      <c r="H29" s="126">
        <f>J29*L25+J28*L26+J27*L27+J26*L28</f>
        <v>0.10394349357233471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0.10016053484306656</v>
      </c>
      <c r="O29" s="72">
        <v>4</v>
      </c>
      <c r="P29" s="210">
        <f t="shared" si="18"/>
        <v>0.10016053484306656</v>
      </c>
      <c r="Q29" s="28">
        <v>4</v>
      </c>
      <c r="R29" s="211">
        <f>P25*N29+P26*N28+P27*N27+P28*N26+P29*N25</f>
        <v>0.24505898462124065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0.24474801787537892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1.5541474915188043E-3</v>
      </c>
      <c r="AH29" s="28">
        <v>4</v>
      </c>
      <c r="AI29" s="213">
        <f>((($W$25)^M29)*((1-($W$25))^($U$30-M29))*HLOOKUP($U$30,$AV$24:$BF$34,M29+1))*V30</f>
        <v>5.1337748593915551E-3</v>
      </c>
      <c r="AJ29" s="28">
        <v>4</v>
      </c>
      <c r="AK29" s="213">
        <f>((($W$25)^M29)*((1-($W$25))^($U$31-M29))*HLOOKUP($U$31,$AV$24:$BF$34,M29+1))*V31</f>
        <v>7.0707458198847354E-3</v>
      </c>
      <c r="AL29" s="28">
        <v>4</v>
      </c>
      <c r="AM29" s="213">
        <f>((($W$25)^Q29)*((1-($W$25))^($U$32-Q29))*HLOOKUP($U$32,$AV$24:$BF$34,Q29+1))*V32</f>
        <v>5.2000407058106265E-3</v>
      </c>
      <c r="AN29" s="28">
        <v>4</v>
      </c>
      <c r="AO29" s="213">
        <f>((($W$25)^Q29)*((1-($W$25))^($U$33-Q29))*HLOOKUP($U$33,$AV$24:$BF$34,Q29+1))*V33</f>
        <v>2.1562219819512675E-3</v>
      </c>
      <c r="AP29" s="28">
        <v>4</v>
      </c>
      <c r="AQ29" s="213">
        <f>((($W$25)^Q29)*((1-($W$25))^($U$34-Q29))*HLOOKUP($U$34,$AV$24:$BF$34,Q29+1))*V34</f>
        <v>4.7963257384464505E-4</v>
      </c>
      <c r="AR29" s="28">
        <v>4</v>
      </c>
      <c r="AS29" s="213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2.8997415467495163E-3</v>
      </c>
      <c r="BQ29" s="31">
        <f>BQ23+1</f>
        <v>7</v>
      </c>
      <c r="BR29" s="31">
        <v>5</v>
      </c>
      <c r="BS29" s="107">
        <f t="shared" si="16"/>
        <v>3.1687419799475636E-4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3.4462253271217026E-2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210">
        <f>(($B$24)^M30)*((1-($B$24))^($B$21-M30))*HLOOKUP($B$21,$AV$24:$BF$34,M30+1)</f>
        <v>1.5340061903146452E-2</v>
      </c>
      <c r="O30" s="72">
        <v>5</v>
      </c>
      <c r="P30" s="210">
        <f t="shared" si="18"/>
        <v>1.5340061903146452E-2</v>
      </c>
      <c r="Q30" s="28">
        <v>5</v>
      </c>
      <c r="R30" s="211">
        <f>P25*N30+P26*N29+P27*N28+P28*N27+P29*N26+P30*N25</f>
        <v>0.22519168851696308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0.22529102499748446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4.0384080740936065E-4</v>
      </c>
      <c r="AJ30" s="28">
        <v>5</v>
      </c>
      <c r="AK30" s="213">
        <f>((($W$25)^M30)*((1-($W$25))^($U$31-M30))*HLOOKUP($U$31,$AV$24:$BF$34,M30+1))*V31</f>
        <v>1.1124195271886297E-3</v>
      </c>
      <c r="AL30" s="28">
        <v>5</v>
      </c>
      <c r="AM30" s="213">
        <f>((($W$25)^Q30)*((1-($W$25))^($U$32-Q30))*HLOOKUP($U$32,$AV$24:$BF$34,Q30+1))*V32</f>
        <v>1.2271605366689132E-3</v>
      </c>
      <c r="AN30" s="28">
        <v>5</v>
      </c>
      <c r="AO30" s="213">
        <f>((($W$25)^Q30)*((1-($W$25))^($U$33-Q30))*HLOOKUP($U$33,$AV$24:$BF$34,Q30+1))*V33</f>
        <v>6.7846405422478052E-4</v>
      </c>
      <c r="AP30" s="28">
        <v>5</v>
      </c>
      <c r="AQ30" s="213">
        <f>((($W$25)^Q30)*((1-($W$25))^($U$34-Q30))*HLOOKUP($U$34,$AV$24:$BF$34,Q30+1))*V34</f>
        <v>1.8864793566756416E-4</v>
      </c>
      <c r="AR30" s="28">
        <v>5</v>
      </c>
      <c r="AS30" s="213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6.0345464551972861E-4</v>
      </c>
      <c r="BQ30" s="31">
        <f>BM10+1</f>
        <v>7</v>
      </c>
      <c r="BR30" s="31">
        <v>6</v>
      </c>
      <c r="BS30" s="107">
        <f t="shared" si="16"/>
        <v>2.2680988402585631E-4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8.2555457926021224E-3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0.14370490530263877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0.14411233921871039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7.2922364202754575E-5</v>
      </c>
      <c r="AL31" s="28">
        <v>6</v>
      </c>
      <c r="AM31" s="213">
        <f>((($W$25)^Q31)*((1-($W$25))^($U$32-Q31))*HLOOKUP($U$32,$AV$24:$BF$34,Q31+1))*V32</f>
        <v>1.6088794812219105E-4</v>
      </c>
      <c r="AN31" s="28">
        <v>6</v>
      </c>
      <c r="AO31" s="213">
        <f>((($W$25)^Q31)*((1-($W$25))^($U$33-Q31))*HLOOKUP($U$33,$AV$24:$BF$34,Q31+1))*V33</f>
        <v>1.3342592875646505E-4</v>
      </c>
      <c r="AP31" s="28">
        <v>6</v>
      </c>
      <c r="AQ31" s="213">
        <f>((($W$25)^Q31)*((1-($W$25))^($U$34-Q31))*HLOOKUP($U$34,$AV$24:$BF$34,Q31+1))*V34</f>
        <v>4.9465702946134123E-5</v>
      </c>
      <c r="AR31" s="28">
        <v>6</v>
      </c>
      <c r="AS31" s="213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4.9024904339417703E-2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6.4365593603928677E-7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1.4530886622363222E-3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6.2883111927188803E-2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9.0400089396264658E-6</v>
      </c>
      <c r="AN32" s="28">
        <v>7</v>
      </c>
      <c r="AO32" s="213">
        <f>((($W$25)^Q32)*((1-($W$25))^($U$33-Q32))*HLOOKUP($U$33,$AV$24:$BF$34,Q32+1))*V33</f>
        <v>1.4993933390465591E-5</v>
      </c>
      <c r="AP32" s="28">
        <v>7</v>
      </c>
      <c r="AQ32" s="213">
        <f>((($W$25)^Q32)*((1-($W$25))^($U$34-Q32))*HLOOKUP($U$34,$AV$24:$BF$34,Q32+1))*V34</f>
        <v>8.3381707963298113E-6</v>
      </c>
      <c r="AR32" s="28">
        <v>7</v>
      </c>
      <c r="AS32" s="213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4.7746021886261154E-2</v>
      </c>
      <c r="BQ32" s="31">
        <f t="shared" si="24"/>
        <v>8</v>
      </c>
      <c r="BR32" s="31">
        <v>1</v>
      </c>
      <c r="BS32" s="107">
        <f t="shared" si="25"/>
        <v>4.6477247214948466E-6</v>
      </c>
    </row>
    <row r="33" spans="1:71" x14ac:dyDescent="0.25">
      <c r="A33" s="26" t="s">
        <v>122</v>
      </c>
      <c r="B33" s="215">
        <f>IF(B17&lt;&gt;"CA",0.005,IF((B18-B16)&lt;0,0.1,0.1+0.055*(B18-B16)))</f>
        <v>5.0000000000000001E-3</v>
      </c>
      <c r="C33" s="216">
        <f>IF(C17&lt;&gt;"CA",0.005,IF((C18-C16)&lt;0,0.1,0.1+0.055*(C18-C16)))</f>
        <v>5.0000000000000001E-3</v>
      </c>
      <c r="G33" s="87">
        <v>8</v>
      </c>
      <c r="H33" s="126">
        <f>J33*L25+J32*L26+J31*L27+J30*L28</f>
        <v>1.8858243946782668E-4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1.8057838932088472E-2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7.3717224806453664E-7</v>
      </c>
      <c r="AP33" s="28">
        <v>8</v>
      </c>
      <c r="AQ33" s="213">
        <f>((($W$25)^Q33)*((1-($W$25))^($U$34-Q33))*HLOOKUP($U$34,$AV$24:$BF$34,Q33+1))*V34</f>
        <v>8.1988734384869092E-7</v>
      </c>
      <c r="AR33" s="28">
        <v>8</v>
      </c>
      <c r="AS33" s="213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3.4175296553801748E-2</v>
      </c>
      <c r="BQ33" s="31">
        <f t="shared" si="24"/>
        <v>8</v>
      </c>
      <c r="BR33" s="31">
        <v>2</v>
      </c>
      <c r="BS33" s="107">
        <f t="shared" si="25"/>
        <v>1.5400054258469674E-5</v>
      </c>
    </row>
    <row r="34" spans="1:71" x14ac:dyDescent="0.25">
      <c r="A34" s="40" t="s">
        <v>123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1.7875492999055131E-5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3.0729376094897963E-3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3.5830680801072293E-8</v>
      </c>
      <c r="AR34" s="28">
        <v>9</v>
      </c>
      <c r="AS34" s="213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1.8195733638501289E-2</v>
      </c>
      <c r="BQ34" s="31">
        <f t="shared" si="24"/>
        <v>8</v>
      </c>
      <c r="BR34" s="31">
        <v>3</v>
      </c>
      <c r="BS34" s="107">
        <f t="shared" si="25"/>
        <v>3.0988065401627441E-5</v>
      </c>
    </row>
    <row r="35" spans="1:71" ht="15.75" thickBot="1" x14ac:dyDescent="0.3">
      <c r="G35" s="88">
        <v>10</v>
      </c>
      <c r="H35" s="127">
        <f>J35*L25+J34*L26+J33*L27+J32*L28</f>
        <v>1.2061484729908977E-6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2.3531749919236515E-4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7.2053719409338746E-3</v>
      </c>
      <c r="BQ35" s="31">
        <f t="shared" si="24"/>
        <v>8</v>
      </c>
      <c r="BR35" s="31">
        <v>4</v>
      </c>
      <c r="BS35" s="107">
        <f t="shared" si="25"/>
        <v>4.2225575252770796E-5</v>
      </c>
    </row>
    <row r="36" spans="1:71" ht="15.75" x14ac:dyDescent="0.25">
      <c r="A36" s="109" t="s">
        <v>124</v>
      </c>
      <c r="B36" s="219">
        <f>SUM(BO4:BO14)</f>
        <v>9.9220312579689718E-2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2.0967382125278177E-3</v>
      </c>
      <c r="BQ36" s="31">
        <f t="shared" si="24"/>
        <v>8</v>
      </c>
      <c r="BR36" s="31">
        <v>5</v>
      </c>
      <c r="BS36" s="107">
        <f t="shared" si="25"/>
        <v>4.1124062705365559E-5</v>
      </c>
    </row>
    <row r="37" spans="1:71" ht="16.5" thickBot="1" x14ac:dyDescent="0.3">
      <c r="A37" s="110" t="s">
        <v>125</v>
      </c>
      <c r="B37" s="219">
        <f>SUM(BK4:BK59)</f>
        <v>0.81412533489934369</v>
      </c>
      <c r="G37" s="158"/>
      <c r="H37" s="266">
        <f>SUM(H39:H49)</f>
        <v>0.99969316741209946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0.99999999999999989</v>
      </c>
      <c r="O37" s="267"/>
      <c r="P37" s="268">
        <f>SUM(P39:P49)</f>
        <v>0.99999999999999989</v>
      </c>
      <c r="Q37" s="267"/>
      <c r="R37" s="266">
        <f>SUM(R39:R49)</f>
        <v>0.99999999999999989</v>
      </c>
      <c r="S37" s="267"/>
      <c r="T37" s="266">
        <f>SUM(T39:T49)</f>
        <v>1</v>
      </c>
      <c r="U37" s="267"/>
      <c r="V37" s="208">
        <f>SUM(V39:V48)</f>
        <v>0.99621191753243699</v>
      </c>
      <c r="W37" s="158"/>
      <c r="X37" s="158"/>
      <c r="Y37" s="205">
        <f>SUM(Y39:Y49)</f>
        <v>2.3180535610223171E-4</v>
      </c>
      <c r="Z37" s="81"/>
      <c r="AA37" s="205">
        <f>SUM(AA39:AA49)</f>
        <v>3.0305681846580289E-3</v>
      </c>
      <c r="AB37" s="81"/>
      <c r="AC37" s="205">
        <f>SUM(AC39:AC49)</f>
        <v>1.7833975265218092E-2</v>
      </c>
      <c r="AD37" s="81"/>
      <c r="AE37" s="205">
        <f>SUM(AE39:AE49)</f>
        <v>6.2212968648501427E-2</v>
      </c>
      <c r="AF37" s="81"/>
      <c r="AG37" s="205">
        <f>SUM(AG39:AG49)</f>
        <v>0.14249527737151696</v>
      </c>
      <c r="AH37" s="81"/>
      <c r="AI37" s="205">
        <f>SUM(AI39:AI49)</f>
        <v>0.22396944105942748</v>
      </c>
      <c r="AJ37" s="81"/>
      <c r="AK37" s="205">
        <f>SUM(AK39:AK49)</f>
        <v>0.24475636150370289</v>
      </c>
      <c r="AL37" s="81"/>
      <c r="AM37" s="205">
        <f>SUM(AM39:AM49)</f>
        <v>0.18379238369322923</v>
      </c>
      <c r="AN37" s="81"/>
      <c r="AO37" s="205">
        <f>SUM(AO39:AO49)</f>
        <v>9.0946844651974182E-2</v>
      </c>
      <c r="AP37" s="81"/>
      <c r="AQ37" s="205">
        <f>SUM(AQ39:AQ49)</f>
        <v>2.6942291798106491E-2</v>
      </c>
      <c r="AR37" s="81"/>
      <c r="AS37" s="205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4.3634454808807858E-4</v>
      </c>
      <c r="BQ37" s="31">
        <f t="shared" si="24"/>
        <v>8</v>
      </c>
      <c r="BR37" s="31">
        <v>6</v>
      </c>
      <c r="BS37" s="107">
        <f t="shared" si="25"/>
        <v>2.9435479290839431E-5</v>
      </c>
    </row>
    <row r="38" spans="1:71" ht="16.5" thickBot="1" x14ac:dyDescent="0.3">
      <c r="A38" s="111" t="s">
        <v>126</v>
      </c>
      <c r="B38" s="219">
        <f>SUM(BS4:BS47)</f>
        <v>8.6346260014313031E-2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2.2666897085148397E-2</v>
      </c>
      <c r="BQ38" s="31">
        <f>BM11+1</f>
        <v>8</v>
      </c>
      <c r="BR38" s="31">
        <v>7</v>
      </c>
      <c r="BS38" s="107">
        <f t="shared" si="25"/>
        <v>1.5672143176710886E-5</v>
      </c>
    </row>
    <row r="39" spans="1:71" x14ac:dyDescent="0.25">
      <c r="G39" s="128">
        <v>0</v>
      </c>
      <c r="H39" s="129">
        <f>L39*J39</f>
        <v>3.4131276372055758E-3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0.41747469682450999</v>
      </c>
      <c r="M39" s="85">
        <v>0</v>
      </c>
      <c r="N39" s="210">
        <f>(1-$C$24)^$B$21</f>
        <v>1.5340061903146452E-2</v>
      </c>
      <c r="O39" s="72">
        <v>0</v>
      </c>
      <c r="P39" s="210">
        <f t="shared" ref="P39:P44" si="30">N39</f>
        <v>1.5340061903146452E-2</v>
      </c>
      <c r="Q39" s="28">
        <v>0</v>
      </c>
      <c r="R39" s="211">
        <f>P39*N39</f>
        <v>2.3531749919236515E-4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213">
        <f>V39</f>
        <v>2.3180535610223171E-4</v>
      </c>
      <c r="Z39" s="28">
        <v>0</v>
      </c>
      <c r="AA39" s="213">
        <f>((1-W39)^Z40)*V40</f>
        <v>9.9172820725343131E-4</v>
      </c>
      <c r="AB39" s="28">
        <v>0</v>
      </c>
      <c r="AC39" s="213">
        <f>(((1-$W$39)^AB41))*V41</f>
        <v>1.9097889332147097E-3</v>
      </c>
      <c r="AD39" s="28">
        <v>0</v>
      </c>
      <c r="AE39" s="213">
        <f>(((1-$W$39)^AB42))*V42</f>
        <v>2.1801518508046645E-3</v>
      </c>
      <c r="AF39" s="28">
        <v>0</v>
      </c>
      <c r="AG39" s="213">
        <f>(((1-$W$39)^AB43))*V43</f>
        <v>1.6340859498438114E-3</v>
      </c>
      <c r="AH39" s="28">
        <v>0</v>
      </c>
      <c r="AI39" s="213">
        <f>(((1-$W$39)^AB44))*V44</f>
        <v>8.4048854186004514E-4</v>
      </c>
      <c r="AJ39" s="28">
        <v>0</v>
      </c>
      <c r="AK39" s="213">
        <f>(((1-$W$39)^AB45))*V45</f>
        <v>3.0056999609432219E-4</v>
      </c>
      <c r="AL39" s="28">
        <v>0</v>
      </c>
      <c r="AM39" s="213">
        <f>(((1-$W$39)^AB46))*V46</f>
        <v>7.385973647996512E-5</v>
      </c>
      <c r="AN39" s="28">
        <v>0</v>
      </c>
      <c r="AO39" s="213">
        <f>(((1-$W$39)^AB47))*V47</f>
        <v>1.1960146124198113E-5</v>
      </c>
      <c r="AP39" s="28">
        <v>0</v>
      </c>
      <c r="AQ39" s="213">
        <f>(((1-$W$39)^AB48))*V48</f>
        <v>1.1594499102868507E-6</v>
      </c>
      <c r="AR39" s="28">
        <v>0</v>
      </c>
      <c r="AS39" s="213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1.6224344966053697E-2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6.101133918374985E-8</v>
      </c>
    </row>
    <row r="40" spans="1:71" x14ac:dyDescent="0.25">
      <c r="G40" s="91">
        <v>1</v>
      </c>
      <c r="H40" s="130">
        <f>L39*J40+L40*J39</f>
        <v>2.4645585954930743E-2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0.44069814136052471</v>
      </c>
      <c r="M40" s="85">
        <v>1</v>
      </c>
      <c r="N40" s="210">
        <f>(($C$24)^M26)*((1-($C$24))^($B$21-M26))*HLOOKUP($B$21,$AV$24:$BF$34,M26+1)</f>
        <v>0.10016053484306656</v>
      </c>
      <c r="O40" s="72">
        <v>1</v>
      </c>
      <c r="P40" s="210">
        <f t="shared" si="30"/>
        <v>0.10016053484306656</v>
      </c>
      <c r="Q40" s="28">
        <v>1</v>
      </c>
      <c r="R40" s="211">
        <f>P40*N39+P39*N40</f>
        <v>3.0729376094897963E-3</v>
      </c>
      <c r="S40" s="72">
        <v>1</v>
      </c>
      <c r="T40" s="212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214"/>
      <c r="X40" s="28">
        <v>1</v>
      </c>
      <c r="Y40" s="211"/>
      <c r="Z40" s="28">
        <v>1</v>
      </c>
      <c r="AA40" s="213">
        <f>(1-((1-W39)^Z40))*V40</f>
        <v>2.0388399774045976E-3</v>
      </c>
      <c r="AB40" s="28">
        <v>1</v>
      </c>
      <c r="AC40" s="213">
        <f>((($W$39)^M40)*((1-($W$39))^($U$27-M40))*HLOOKUP($U$27,$AV$24:$BF$34,M40+1))*V41</f>
        <v>7.852461989009454E-3</v>
      </c>
      <c r="AD40" s="28">
        <v>1</v>
      </c>
      <c r="AE40" s="213">
        <f>((($W$39)^M40)*((1-($W$39))^($U$28-M40))*HLOOKUP($U$28,$AV$24:$BF$34,M40+1))*V42</f>
        <v>1.344616615033099E-2</v>
      </c>
      <c r="AF40" s="28">
        <v>1</v>
      </c>
      <c r="AG40" s="213">
        <f>((($W$39)^M40)*((1-($W$39))^($U$29-M40))*HLOOKUP($U$29,$AV$24:$BF$34,M40+1))*V43</f>
        <v>1.3437713021327194E-2</v>
      </c>
      <c r="AH40" s="28">
        <v>1</v>
      </c>
      <c r="AI40" s="213">
        <f>((($W$39)^M40)*((1-($W$39))^($U$30-M40))*HLOOKUP($U$30,$AV$24:$BF$34,M40+1))*V44</f>
        <v>8.6395729553795479E-3</v>
      </c>
      <c r="AJ40" s="28">
        <v>1</v>
      </c>
      <c r="AK40" s="213">
        <f>((($W$39)^M40)*((1-($W$39))^($U$31-M40))*HLOOKUP($U$31,$AV$24:$BF$34,M40+1))*V45</f>
        <v>3.7075528530702341E-3</v>
      </c>
      <c r="AL40" s="28">
        <v>1</v>
      </c>
      <c r="AM40" s="213">
        <f>((($W$39)^Q40)*((1-($W$39))^($U$32-Q40))*HLOOKUP($U$32,$AV$24:$BF$34,Q40+1))*V46</f>
        <v>1.0629094508774789E-3</v>
      </c>
      <c r="AN40" s="28">
        <v>1</v>
      </c>
      <c r="AO40" s="213">
        <f>((($W$39)^Q40)*((1-($W$39))^($U$33-Q40))*HLOOKUP($U$33,$AV$24:$BF$34,Q40+1))*V47</f>
        <v>1.9670570122149884E-4</v>
      </c>
      <c r="AP40" s="28">
        <v>1</v>
      </c>
      <c r="AQ40" s="213">
        <f>((($W$39)^Q40)*((1-($W$39))^($U$34-Q40))*HLOOKUP($U$34,$AV$24:$BF$34,Q40+1))*V48</f>
        <v>2.1452848980610094E-5</v>
      </c>
      <c r="AR40" s="28">
        <v>1</v>
      </c>
      <c r="AS40" s="213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8.6382237823955897E-3</v>
      </c>
      <c r="BQ40" s="31">
        <f t="shared" si="31"/>
        <v>9</v>
      </c>
      <c r="BR40" s="31">
        <v>1</v>
      </c>
      <c r="BS40" s="107">
        <f t="shared" si="32"/>
        <v>4.4055199919497598E-7</v>
      </c>
    </row>
    <row r="41" spans="1:71" x14ac:dyDescent="0.25">
      <c r="G41" s="91">
        <v>2</v>
      </c>
      <c r="H41" s="130">
        <f>L39*J41+J40*L40+J39*L41</f>
        <v>8.1662186054693692E-2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0.12825184913803242</v>
      </c>
      <c r="M41" s="85">
        <v>2</v>
      </c>
      <c r="N41" s="210">
        <f>(($C$24)^M27)*((1-($C$24))^($B$21-M27))*HLOOKUP($B$21,$AV$24:$BF$34,M27+1)</f>
        <v>0.26159301842169036</v>
      </c>
      <c r="O41" s="72">
        <v>2</v>
      </c>
      <c r="P41" s="210">
        <f t="shared" si="30"/>
        <v>0.26159301842169036</v>
      </c>
      <c r="Q41" s="28">
        <v>2</v>
      </c>
      <c r="R41" s="211">
        <f>P41*N39+P40*N40+P39*N41</f>
        <v>1.8057838932088472E-2</v>
      </c>
      <c r="S41" s="72">
        <v>2</v>
      </c>
      <c r="T41" s="212">
        <f t="shared" si="33"/>
        <v>7.4625000000000011E-5</v>
      </c>
      <c r="U41" s="138">
        <v>2</v>
      </c>
      <c r="V41" s="86">
        <f>R41*T39+T40*R40+R39*T41</f>
        <v>1.7833975265218092E-2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8.071724342993929E-3</v>
      </c>
      <c r="AD41" s="28">
        <v>2</v>
      </c>
      <c r="AE41" s="213">
        <f>((($W$39)^M41)*((1-($W$39))^($U$28-M41))*HLOOKUP($U$28,$AV$24:$BF$34,M41+1))*V42</f>
        <v>2.7643240244263456E-2</v>
      </c>
      <c r="AF41" s="28">
        <v>2</v>
      </c>
      <c r="AG41" s="213">
        <f>((($W$39)^M41)*((1-($W$39))^($U$29-M41))*HLOOKUP($U$29,$AV$24:$BF$34,M41+1))*V43</f>
        <v>4.1438792875492375E-2</v>
      </c>
      <c r="AH41" s="28">
        <v>2</v>
      </c>
      <c r="AI41" s="213">
        <f>((($W$39)^M41)*((1-($W$39))^($U$30-M41))*HLOOKUP($U$30,$AV$24:$BF$34,M41+1))*V44</f>
        <v>3.5523254456813216E-2</v>
      </c>
      <c r="AJ41" s="28">
        <v>2</v>
      </c>
      <c r="AK41" s="213">
        <f>((($W$39)^M41)*((1-($W$39))^($U$31-M41))*HLOOKUP($U$31,$AV$24:$BF$34,M41+1))*V45</f>
        <v>1.9055389672022246E-2</v>
      </c>
      <c r="AL41" s="28">
        <v>2</v>
      </c>
      <c r="AM41" s="213">
        <f>((($W$39)^Q41)*((1-($W$39))^($U$32-Q41))*HLOOKUP($U$32,$AV$24:$BF$34,Q41+1))*V46</f>
        <v>6.5555328515216277E-3</v>
      </c>
      <c r="AN41" s="28">
        <v>2</v>
      </c>
      <c r="AO41" s="213">
        <f>((($W$39)^Q41)*((1-($W$39))^($U$33-Q41))*HLOOKUP($U$33,$AV$24:$BF$34,Q41+1))*V47</f>
        <v>1.4153878610609926E-3</v>
      </c>
      <c r="AP41" s="28">
        <v>2</v>
      </c>
      <c r="AQ41" s="213">
        <f>((($W$39)^Q41)*((1-($W$39))^($U$34-Q41))*HLOOKUP($U$34,$AV$24:$BF$34,Q41+1))*V48</f>
        <v>1.7641497261442347E-4</v>
      </c>
      <c r="AR41" s="28">
        <v>2</v>
      </c>
      <c r="AS41" s="213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3.4206708285441506E-3</v>
      </c>
      <c r="BQ41" s="31">
        <f t="shared" si="31"/>
        <v>9</v>
      </c>
      <c r="BR41" s="31">
        <v>2</v>
      </c>
      <c r="BS41" s="107">
        <f t="shared" si="32"/>
        <v>1.4597518351082147E-6</v>
      </c>
    </row>
    <row r="42" spans="1:71" ht="15" customHeight="1" x14ac:dyDescent="0.25">
      <c r="G42" s="91">
        <v>3</v>
      </c>
      <c r="H42" s="130">
        <f>J42*L39+J41*L40+L42*J39+L41*J40</f>
        <v>0.1643210549671259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1.3575312676932877E-2</v>
      </c>
      <c r="M42" s="85">
        <v>3</v>
      </c>
      <c r="N42" s="210">
        <f>(($C$24)^M28)*((1-($C$24))^($B$21-M28))*HLOOKUP($B$21,$AV$24:$BF$34,M28+1)</f>
        <v>0.34160613955481417</v>
      </c>
      <c r="O42" s="72">
        <v>3</v>
      </c>
      <c r="P42" s="210">
        <f t="shared" si="30"/>
        <v>0.34160613955481417</v>
      </c>
      <c r="Q42" s="28">
        <v>3</v>
      </c>
      <c r="R42" s="211">
        <f>P42*N39+P41*N40+P40*N41+P39*N42</f>
        <v>6.2883111927188803E-2</v>
      </c>
      <c r="S42" s="72">
        <v>3</v>
      </c>
      <c r="T42" s="212">
        <f t="shared" si="33"/>
        <v>1.2500000000000002E-7</v>
      </c>
      <c r="U42" s="138">
        <v>3</v>
      </c>
      <c r="V42" s="86">
        <f>R42*T39+R41*T40+R40*T41+R39*T42</f>
        <v>6.2212968648501427E-2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1.8943410403102316E-2</v>
      </c>
      <c r="AF42" s="28">
        <v>3</v>
      </c>
      <c r="AG42" s="213">
        <f>((($W$39)^M42)*((1-($W$39))^($U$29-M42))*HLOOKUP($U$29,$AV$24:$BF$34,M42+1))*V43</f>
        <v>5.6794504053301519E-2</v>
      </c>
      <c r="AH42" s="28">
        <v>3</v>
      </c>
      <c r="AI42" s="213">
        <f>((($W$39)^M42)*((1-($W$39))^($U$30-M42))*HLOOKUP($U$30,$AV$24:$BF$34,M42+1))*V44</f>
        <v>7.3030323010222359E-2</v>
      </c>
      <c r="AJ42" s="28">
        <v>3</v>
      </c>
      <c r="AK42" s="213">
        <f>((($W$39)^M42)*((1-($W$39))^($U$31-M42))*HLOOKUP($U$31,$AV$24:$BF$34,M42+1))*V45</f>
        <v>5.2233249613067946E-2</v>
      </c>
      <c r="AL42" s="28">
        <v>3</v>
      </c>
      <c r="AM42" s="213">
        <f>((($W$39)^Q42)*((1-($W$39))^($U$32-Q42))*HLOOKUP($U$32,$AV$24:$BF$34,Q42+1))*V46</f>
        <v>2.2461937913223571E-2</v>
      </c>
      <c r="AN42" s="28">
        <v>3</v>
      </c>
      <c r="AO42" s="213">
        <f>((($W$39)^Q42)*((1-($W$39))^($U$33-Q42))*HLOOKUP($U$33,$AV$24:$BF$34,Q42+1))*V47</f>
        <v>5.8196375449607396E-3</v>
      </c>
      <c r="AP42" s="28">
        <v>3</v>
      </c>
      <c r="AQ42" s="213">
        <f>((($W$39)^Q42)*((1-($W$39))^($U$34-Q42))*HLOOKUP($U$34,$AV$24:$BF$34,Q42+1))*V48</f>
        <v>8.4625783322431431E-4</v>
      </c>
      <c r="AR42" s="28">
        <v>3</v>
      </c>
      <c r="AS42" s="213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9.9540333205313061E-4</v>
      </c>
      <c r="BQ42" s="31">
        <f t="shared" si="31"/>
        <v>9</v>
      </c>
      <c r="BR42" s="31">
        <v>3</v>
      </c>
      <c r="BS42" s="107">
        <f t="shared" si="32"/>
        <v>2.9373198676622125E-6</v>
      </c>
    </row>
    <row r="43" spans="1:71" ht="15" customHeight="1" x14ac:dyDescent="0.25">
      <c r="G43" s="91">
        <v>4</v>
      </c>
      <c r="H43" s="130">
        <f>J43*L39+J42*L40+J41*L41+J40*L42</f>
        <v>0.22391043074811182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210">
        <f>(($C$24)^M29)*((1-($C$24))^($B$21-M29))*HLOOKUP($B$21,$AV$24:$BF$34,M29+1)</f>
        <v>0.22304638572851768</v>
      </c>
      <c r="O43" s="72">
        <v>4</v>
      </c>
      <c r="P43" s="210">
        <f t="shared" si="30"/>
        <v>0.22304638572851768</v>
      </c>
      <c r="Q43" s="28">
        <v>4</v>
      </c>
      <c r="R43" s="211">
        <f>P43*N39+P42*N40+P41*N41+P40*N42+P39*N43</f>
        <v>0.14370490530263877</v>
      </c>
      <c r="S43" s="72">
        <v>4</v>
      </c>
      <c r="T43" s="212">
        <f t="shared" si="33"/>
        <v>0</v>
      </c>
      <c r="U43" s="138">
        <v>4</v>
      </c>
      <c r="V43" s="86">
        <f>T43*R39+T42*R40+T41*R41+T40*R42+T39*R43</f>
        <v>0.14249527737151696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2.9190181471552064E-2</v>
      </c>
      <c r="AH43" s="28">
        <v>4</v>
      </c>
      <c r="AI43" s="213">
        <f>((($W$39)^M43)*((1-($W$39))^($U$30-M43))*HLOOKUP($U$30,$AV$24:$BF$34,M43+1))*V44</f>
        <v>7.5069530657184538E-2</v>
      </c>
      <c r="AJ43" s="28">
        <v>4</v>
      </c>
      <c r="AK43" s="213">
        <f>((($W$39)^M43)*((1-($W$39))^($U$31-M43))*HLOOKUP($U$31,$AV$24:$BF$34,M43+1))*V45</f>
        <v>8.0537618584893569E-2</v>
      </c>
      <c r="AL43" s="28">
        <v>4</v>
      </c>
      <c r="AM43" s="213">
        <f>((($W$39)^Q43)*((1-($W$39))^($U$32-Q43))*HLOOKUP($U$32,$AV$24:$BF$34,Q43+1))*V46</f>
        <v>4.6178274100211414E-2</v>
      </c>
      <c r="AN43" s="28">
        <v>4</v>
      </c>
      <c r="AO43" s="213">
        <f>((($W$39)^Q43)*((1-($W$39))^($U$33-Q43))*HLOOKUP($U$33,$AV$24:$BF$34,Q43+1))*V47</f>
        <v>1.495534461192171E-2</v>
      </c>
      <c r="AP43" s="28">
        <v>4</v>
      </c>
      <c r="AQ43" s="213">
        <f>((($W$39)^Q43)*((1-($W$39))^($U$34-Q43))*HLOOKUP($U$34,$AV$24:$BF$34,Q43+1))*V48</f>
        <v>2.6096630441942419E-3</v>
      </c>
      <c r="AR43" s="28">
        <v>4</v>
      </c>
      <c r="AS43" s="213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2.071497598007021E-4</v>
      </c>
      <c r="BQ43" s="31">
        <f t="shared" si="31"/>
        <v>9</v>
      </c>
      <c r="BR43" s="31">
        <v>4</v>
      </c>
      <c r="BS43" s="107">
        <f t="shared" si="32"/>
        <v>4.0025093372532913E-6</v>
      </c>
    </row>
    <row r="44" spans="1:71" ht="15" customHeight="1" thickBot="1" x14ac:dyDescent="0.3">
      <c r="G44" s="91">
        <v>5</v>
      </c>
      <c r="H44" s="130">
        <f>J44*L39+J43*L40+J42*L41+J41*L42</f>
        <v>0.21806941739334948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210">
        <f>(($C$24)^M30)*((1-($C$24))^($B$21-M30))*HLOOKUP($B$21,$AV$24:$BF$34,M30+1)</f>
        <v>5.8253859548764761E-2</v>
      </c>
      <c r="O44" s="72">
        <v>5</v>
      </c>
      <c r="P44" s="210">
        <f t="shared" si="30"/>
        <v>5.8253859548764761E-2</v>
      </c>
      <c r="Q44" s="28">
        <v>5</v>
      </c>
      <c r="R44" s="211">
        <f>P44*N39+P43*N40+P42*N41+P41*N42+P40*N43+P39*N44</f>
        <v>0.22519168851696308</v>
      </c>
      <c r="S44" s="72">
        <v>5</v>
      </c>
      <c r="T44" s="212">
        <f t="shared" si="33"/>
        <v>0</v>
      </c>
      <c r="U44" s="138">
        <v>5</v>
      </c>
      <c r="V44" s="86">
        <f>T44*R39+T43*R40+T42*R41+T41*R42+T40*R43+T39*R44</f>
        <v>0.22396944105942745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3.0866271437967777E-2</v>
      </c>
      <c r="AJ44" s="28">
        <v>5</v>
      </c>
      <c r="AK44" s="213">
        <f>((($W$39)^M44)*((1-($W$39))^($U$31-M44))*HLOOKUP($U$31,$AV$24:$BF$34,M44+1))*V45</f>
        <v>6.622916047153761E-2</v>
      </c>
      <c r="AL44" s="28">
        <v>5</v>
      </c>
      <c r="AM44" s="213">
        <f>((($W$39)^Q44)*((1-($W$39))^($U$32-Q44))*HLOOKUP($U$32,$AV$24:$BF$34,Q44+1))*V46</f>
        <v>5.6961238352071258E-2</v>
      </c>
      <c r="AN44" s="28">
        <v>5</v>
      </c>
      <c r="AO44" s="213">
        <f>((($W$39)^Q44)*((1-($W$39))^($U$33-Q44))*HLOOKUP($U$33,$AV$24:$BF$34,Q44+1))*V47</f>
        <v>2.4596702401029083E-2</v>
      </c>
      <c r="AP44" s="28">
        <v>5</v>
      </c>
      <c r="AQ44" s="213">
        <f>((($W$39)^Q44)*((1-($W$39))^($U$34-Q44))*HLOOKUP($U$34,$AV$24:$BF$34,Q44+1))*V48</f>
        <v>5.3650640398684619E-3</v>
      </c>
      <c r="AR44" s="28">
        <v>5</v>
      </c>
      <c r="AS44" s="213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5.3791484792709843E-3</v>
      </c>
      <c r="BQ44" s="31">
        <f t="shared" si="31"/>
        <v>9</v>
      </c>
      <c r="BR44" s="31">
        <v>5</v>
      </c>
      <c r="BS44" s="107">
        <f t="shared" si="32"/>
        <v>3.8980983439228496E-6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0.15608812450356124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0.24505898462124065</v>
      </c>
      <c r="S45" s="72">
        <v>6</v>
      </c>
      <c r="T45" s="212">
        <f t="shared" si="33"/>
        <v>0</v>
      </c>
      <c r="U45" s="138">
        <v>6</v>
      </c>
      <c r="V45" s="86">
        <f>T45*R39+T44*R40+T43*R41+T42*R42+T41*R43+T40*R44+T39*R45</f>
        <v>0.24475636150370284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2.2692820313016934E-2</v>
      </c>
      <c r="AL45" s="28">
        <v>6</v>
      </c>
      <c r="AM45" s="213">
        <f>((($W$39)^Q45)*((1-($W$39))^($U$32-Q45))*HLOOKUP($U$32,$AV$24:$BF$34,Q45+1))*V46</f>
        <v>3.9034501948306884E-2</v>
      </c>
      <c r="AN45" s="28">
        <v>6</v>
      </c>
      <c r="AO45" s="213">
        <f>((($W$39)^Q45)*((1-($W$39))^($U$33-Q45))*HLOOKUP($U$33,$AV$24:$BF$34,Q45+1))*V47</f>
        <v>2.5283510038716935E-2</v>
      </c>
      <c r="AP45" s="28">
        <v>6</v>
      </c>
      <c r="AQ45" s="213">
        <f>((($W$39)^Q45)*((1-($W$39))^($U$34-Q45))*HLOOKUP($U$34,$AV$24:$BF$34,Q45+1))*V48</f>
        <v>7.3531618614966982E-3</v>
      </c>
      <c r="AR45" s="28">
        <v>6</v>
      </c>
      <c r="AS45" s="213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2.863985474908072E-3</v>
      </c>
      <c r="BQ45" s="31">
        <f t="shared" si="31"/>
        <v>9</v>
      </c>
      <c r="BR45" s="31">
        <v>6</v>
      </c>
      <c r="BS45" s="107">
        <f t="shared" si="32"/>
        <v>2.7901521767990546E-6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8.310499758586827E-2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0.182865635448895</v>
      </c>
      <c r="S46" s="72">
        <v>7</v>
      </c>
      <c r="T46" s="212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1.1464129340537029E-2</v>
      </c>
      <c r="AN46" s="28">
        <v>7</v>
      </c>
      <c r="AO46" s="213">
        <f>((($W$39)^Q46)*((1-($W$39))^($U$33-Q46))*HLOOKUP($U$33,$AV$24:$BF$34,Q46+1))*V47</f>
        <v>1.4851140134974345E-2</v>
      </c>
      <c r="AP46" s="28">
        <v>7</v>
      </c>
      <c r="AQ46" s="213">
        <f>((($W$39)^Q46)*((1-($W$39))^($U$34-Q46))*HLOOKUP($U$34,$AV$24:$BF$34,Q46+1))*V48</f>
        <v>6.4786991841527947E-3</v>
      </c>
      <c r="AR46" s="28">
        <v>7</v>
      </c>
      <c r="AS46" s="213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1.1341164357605157E-3</v>
      </c>
      <c r="BQ46" s="31">
        <f t="shared" si="31"/>
        <v>9</v>
      </c>
      <c r="BR46" s="31">
        <v>7</v>
      </c>
      <c r="BS46" s="107">
        <f t="shared" si="32"/>
        <v>1.4855428025326817E-6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3.2908946110837535E-2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8.9549442335798451E-2</v>
      </c>
      <c r="S47" s="72">
        <v>8</v>
      </c>
      <c r="T47" s="212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3.8164562119646778E-3</v>
      </c>
      <c r="AP47" s="28">
        <v>8</v>
      </c>
      <c r="AQ47" s="213">
        <f>((($W$39)^Q47)*((1-($W$39))^($U$34-Q47))*HLOOKUP($U$34,$AV$24:$BF$34,Q47+1))*V48</f>
        <v>3.329801149553713E-3</v>
      </c>
      <c r="AR47" s="28">
        <v>8</v>
      </c>
      <c r="AS47" s="213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3.3002394433044667E-4</v>
      </c>
      <c r="BQ47" s="31">
        <f>BM12+1</f>
        <v>9</v>
      </c>
      <c r="BR47" s="31">
        <v>8</v>
      </c>
      <c r="BS47" s="107">
        <f t="shared" si="32"/>
        <v>5.8826363581055892E-7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9.5763890344942593E-3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2.5986625654177354E-2</v>
      </c>
      <c r="S48" s="72">
        <v>9</v>
      </c>
      <c r="T48" s="212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7.6061741411094519E-4</v>
      </c>
      <c r="AR48" s="28">
        <v>9</v>
      </c>
      <c r="AS48" s="213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6.8680080320329177E-5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1.9929074219209855E-3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3.3935121523272112E-3</v>
      </c>
      <c r="S49" s="72">
        <v>10</v>
      </c>
      <c r="T49" s="212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2.8177231504946515E-5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18"/>
      <c r="J50" s="218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18"/>
      <c r="X50" s="158"/>
      <c r="Y50" s="158"/>
      <c r="BI50" s="31">
        <f>BI45+1</f>
        <v>6</v>
      </c>
      <c r="BJ50" s="31">
        <v>7</v>
      </c>
      <c r="BK50" s="107">
        <f>$H$31*H46</f>
        <v>6.860771131642243E-4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2.7168131160429479E-4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7.9058318202040185E-5</v>
      </c>
    </row>
    <row r="53" spans="1:63" x14ac:dyDescent="0.25">
      <c r="BI53" s="31">
        <f>BI48+1</f>
        <v>6</v>
      </c>
      <c r="BJ53" s="31">
        <v>10</v>
      </c>
      <c r="BK53" s="107">
        <f>$H$31*H49</f>
        <v>1.6452538482085335E-5</v>
      </c>
    </row>
    <row r="54" spans="1:63" x14ac:dyDescent="0.25">
      <c r="BI54" s="31">
        <f>BI51+1</f>
        <v>7</v>
      </c>
      <c r="BJ54" s="31">
        <v>8</v>
      </c>
      <c r="BK54" s="107">
        <f>$H$32*H47</f>
        <v>4.7819616479804133E-5</v>
      </c>
    </row>
    <row r="55" spans="1:63" x14ac:dyDescent="0.25">
      <c r="BI55" s="31">
        <f>BI52+1</f>
        <v>7</v>
      </c>
      <c r="BJ55" s="31">
        <v>9</v>
      </c>
      <c r="BK55" s="107">
        <f>$H$32*H48</f>
        <v>1.3915342331187848E-5</v>
      </c>
    </row>
    <row r="56" spans="1:63" x14ac:dyDescent="0.25">
      <c r="BI56" s="31">
        <f>BI53+1</f>
        <v>7</v>
      </c>
      <c r="BJ56" s="31">
        <v>10</v>
      </c>
      <c r="BK56" s="107">
        <f>$H$32*H49</f>
        <v>2.8958711796800025E-6</v>
      </c>
    </row>
    <row r="57" spans="1:63" x14ac:dyDescent="0.25">
      <c r="BI57" s="31">
        <f>BI55+1</f>
        <v>8</v>
      </c>
      <c r="BJ57" s="31">
        <v>9</v>
      </c>
      <c r="BK57" s="107">
        <f>$H$33*H48</f>
        <v>1.8059388054178729E-6</v>
      </c>
    </row>
    <row r="58" spans="1:63" x14ac:dyDescent="0.25">
      <c r="BI58" s="31">
        <f>BI56+1</f>
        <v>8</v>
      </c>
      <c r="BJ58" s="31">
        <v>10</v>
      </c>
      <c r="BK58" s="107">
        <f>$H$33*H49</f>
        <v>3.7582734325939674E-7</v>
      </c>
    </row>
    <row r="59" spans="1:63" x14ac:dyDescent="0.25">
      <c r="BI59" s="31">
        <f>BI58+1</f>
        <v>9</v>
      </c>
      <c r="BJ59" s="31">
        <v>10</v>
      </c>
      <c r="BK59" s="107">
        <f>$H$34*H49</f>
        <v>3.5624202668313588E-8</v>
      </c>
    </row>
  </sheetData>
  <mergeCells count="2">
    <mergeCell ref="Q1:R1"/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B38" sqref="B3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5</v>
      </c>
      <c r="H1" s="13"/>
      <c r="J1" s="195" t="s">
        <v>1</v>
      </c>
      <c r="K1" s="192">
        <f>IF(D3="SI",COUNTIF($J$6:$J$18,"RAP"),0)</f>
        <v>0</v>
      </c>
      <c r="L1" s="13"/>
      <c r="P1" s="294"/>
      <c r="Q1" s="294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146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201">
        <v>0.45</v>
      </c>
      <c r="R2" s="151"/>
      <c r="S2" s="151"/>
      <c r="Y2" t="s">
        <v>3</v>
      </c>
      <c r="Z2" s="202">
        <v>0.45</v>
      </c>
      <c r="AI2" s="13"/>
    </row>
    <row r="3" spans="1:70" x14ac:dyDescent="0.25">
      <c r="A3" s="157" t="s">
        <v>4</v>
      </c>
      <c r="B3" s="293" t="s">
        <v>5</v>
      </c>
      <c r="C3" s="293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201">
        <v>0.56999999999999995</v>
      </c>
      <c r="Q3" t="s">
        <v>8</v>
      </c>
      <c r="R3" s="201">
        <v>0.7</v>
      </c>
      <c r="Y3" t="s">
        <v>7</v>
      </c>
      <c r="Z3" s="202">
        <v>0.56999999999999995</v>
      </c>
      <c r="AA3" t="s">
        <v>8</v>
      </c>
      <c r="AB3" s="202">
        <v>0.7</v>
      </c>
      <c r="AI3" s="197">
        <f>SUM(AI5:AI19)</f>
        <v>3.5810000000000004</v>
      </c>
      <c r="AM3" s="197">
        <f>SUM(AM5:AM19)</f>
        <v>3.5809999999999995</v>
      </c>
      <c r="AN3" s="197">
        <f>SUM(AN5:AN19)</f>
        <v>2.5809999999999995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3.7016495474050388E-3</v>
      </c>
      <c r="BL4">
        <v>0</v>
      </c>
      <c r="BM4">
        <v>0</v>
      </c>
      <c r="BN4" s="107">
        <f>H25*H39</f>
        <v>7.5212464889746827E-4</v>
      </c>
      <c r="BP4">
        <v>1</v>
      </c>
      <c r="BQ4">
        <v>0</v>
      </c>
      <c r="BR4" s="107">
        <f>$H$26*H39</f>
        <v>2.6170460048061655E-3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 t="s">
        <v>32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0.10405850445563736</v>
      </c>
      <c r="P5" s="199">
        <f>P3</f>
        <v>0.56999999999999995</v>
      </c>
      <c r="Q5" s="203">
        <f t="shared" ref="Q5:Q19" si="2">P5*O5</f>
        <v>5.931334753971329E-2</v>
      </c>
      <c r="R5" s="155">
        <f t="shared" ref="R5:R19" si="3">IF($B$17="JC",IF($C$17="JC",$W$1,$V$1*1.1),IF($C$17="JC",$V$1/0.9,$U$1))*Q5/1.5</f>
        <v>5.931334753971329E-2</v>
      </c>
      <c r="S5" s="171">
        <f t="shared" ref="S5:S19" si="4">(1-R5)</f>
        <v>0.94068665246028671</v>
      </c>
      <c r="T5" s="172">
        <f>R5*PRODUCT(S6:S19)</f>
        <v>2.929486847442998E-2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2.3364633337307792E-2</v>
      </c>
      <c r="V5" s="18"/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71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93">
        <f>IF(COUNTIF(F5:F10,"IMP")+COUNTIF(J5:J10,"IMP")=0,0,COUNTIF(F5:F10,"IMP")/(COUNTIF(F5:F10,"IMP")+COUNTIF(J5:J10,"IMP")))</f>
        <v>1</v>
      </c>
      <c r="AH5">
        <f>COUNTIF(F5:F10,"IMP")</f>
        <v>1</v>
      </c>
      <c r="AI5" s="196">
        <f t="shared" ref="AI5:AI19" si="9">AN5*$AM$3/$AN$3</f>
        <v>0.62435102673382414</v>
      </c>
      <c r="AK5" s="193">
        <f>IF(COUNTIF(F5:F10,"IMP")+COUNTIF(J5:J10,"IMP")=0,0,COUNTIF(J5:J10,"IMP")/(COUNTIF(F5:F10,"IMP")+COUNTIF(J5:J10,"IMP")))</f>
        <v>0</v>
      </c>
      <c r="AL5">
        <f>COUNTIF(J5:J10,"IMP")</f>
        <v>0</v>
      </c>
      <c r="AM5" s="197">
        <v>0.45</v>
      </c>
      <c r="AN5" s="198">
        <f t="shared" ref="AN5:AN19" si="10">IF(AG5=0,IF(AK5=0,0,AM5),AM5)</f>
        <v>0.45</v>
      </c>
      <c r="AO5">
        <f>1/6</f>
        <v>0.16666666666666666</v>
      </c>
      <c r="BH5">
        <v>0</v>
      </c>
      <c r="BI5">
        <v>2</v>
      </c>
      <c r="BJ5" s="107">
        <f t="shared" si="0"/>
        <v>8.3116504192388332E-3</v>
      </c>
      <c r="BL5">
        <v>1</v>
      </c>
      <c r="BM5">
        <v>1</v>
      </c>
      <c r="BN5" s="107">
        <f>$H$26*H40</f>
        <v>1.2880028826909938E-2</v>
      </c>
      <c r="BP5">
        <f>BP4+1</f>
        <v>2</v>
      </c>
      <c r="BQ5">
        <v>0</v>
      </c>
      <c r="BR5" s="107">
        <f>$H$27*H39</f>
        <v>4.2103677454771041E-3</v>
      </c>
    </row>
    <row r="6" spans="1:70" x14ac:dyDescent="0.25">
      <c r="A6" s="2" t="s">
        <v>35</v>
      </c>
      <c r="B6" s="163">
        <v>10</v>
      </c>
      <c r="C6" s="164">
        <v>10</v>
      </c>
      <c r="E6" s="187" t="s">
        <v>36</v>
      </c>
      <c r="F6" s="162" t="s">
        <v>37</v>
      </c>
      <c r="G6" s="162"/>
      <c r="H6" s="10"/>
      <c r="I6" s="10"/>
      <c r="J6" s="161" t="s">
        <v>32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155">
        <f t="shared" si="3"/>
        <v>0</v>
      </c>
      <c r="S6" s="171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1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155">
        <f t="shared" si="7"/>
        <v>0</v>
      </c>
      <c r="AC6" s="171">
        <f t="shared" si="8"/>
        <v>1</v>
      </c>
      <c r="AD6" s="172">
        <f>AB6*AC5*PRODUCT(AC7:AC19)</f>
        <v>0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193">
        <f>IF(COUNTIF(F11:F18,"IMP")+COUNTIF(J11:J18,"IMP")=0,0,COUNTIF(F11:F18,"IMP")/(COUNTIF(F11:F18,"IMP")+COUNTIF(J11:J18,"IMP")))</f>
        <v>0</v>
      </c>
      <c r="AH6">
        <f>COUNTIF(F11:F18,"IMP")</f>
        <v>0</v>
      </c>
      <c r="AI6" s="196">
        <f t="shared" si="9"/>
        <v>0</v>
      </c>
      <c r="AK6" s="193">
        <f>IF(COUNTIF(F11:F18,"IMP")+COUNTIF(J11:J18,"IMP")=0,0,COUNTIF(J11:J18,"IMP")/(COUNTIF(F11:F18,"IMP")+COUNTIF(J11:J18,"IMP")))</f>
        <v>0</v>
      </c>
      <c r="AL6">
        <f>COUNTIF(J11:J18,"IMP")</f>
        <v>0</v>
      </c>
      <c r="AM6" s="197">
        <v>0.35</v>
      </c>
      <c r="AN6" s="198">
        <f t="shared" si="10"/>
        <v>0</v>
      </c>
      <c r="AO6">
        <f>1/8</f>
        <v>0.125</v>
      </c>
      <c r="BH6">
        <v>0</v>
      </c>
      <c r="BI6">
        <v>3</v>
      </c>
      <c r="BJ6" s="107">
        <f t="shared" si="0"/>
        <v>1.1258101366155305E-2</v>
      </c>
      <c r="BL6">
        <f>BH14+1</f>
        <v>2</v>
      </c>
      <c r="BM6">
        <v>2</v>
      </c>
      <c r="BN6" s="107">
        <f>$H$27*H41</f>
        <v>4.652833129208489E-2</v>
      </c>
      <c r="BP6">
        <f>BL5+1</f>
        <v>2</v>
      </c>
      <c r="BQ6">
        <v>1</v>
      </c>
      <c r="BR6" s="107">
        <f>$H$27*H40</f>
        <v>2.0721706012827041E-2</v>
      </c>
    </row>
    <row r="7" spans="1:70" x14ac:dyDescent="0.25">
      <c r="A7" s="5" t="s">
        <v>40</v>
      </c>
      <c r="B7" s="163">
        <v>11.75</v>
      </c>
      <c r="C7" s="164">
        <v>14.5</v>
      </c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f t="shared" si="1"/>
        <v>0</v>
      </c>
      <c r="P7" s="199">
        <f>P2</f>
        <v>0.45</v>
      </c>
      <c r="Q7" s="203">
        <f t="shared" si="2"/>
        <v>0</v>
      </c>
      <c r="R7" s="155">
        <f t="shared" si="3"/>
        <v>0</v>
      </c>
      <c r="S7" s="171">
        <f t="shared" si="4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71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0</v>
      </c>
      <c r="AH7">
        <f>COUNTIF(J14:J18,"IMP")</f>
        <v>0</v>
      </c>
      <c r="AI7" s="196">
        <f t="shared" si="9"/>
        <v>0</v>
      </c>
      <c r="AK7" s="193">
        <f>IF(COUNTIF(F14:F18,"IMP")+COUNTIF(J14:J18,"IMP")=0,0,COUNTIF(F14:F18,"IMP")/(COUNTIF(F14:F18,"IMP")+COUNTIF(J14:J18,"IMP")))</f>
        <v>0</v>
      </c>
      <c r="AL7">
        <f>COUNTIF(F14:F18,"IMP")</f>
        <v>0</v>
      </c>
      <c r="AM7" s="197">
        <v>0.05</v>
      </c>
      <c r="AN7" s="198">
        <f t="shared" si="10"/>
        <v>0</v>
      </c>
      <c r="AO7">
        <v>1</v>
      </c>
      <c r="BH7">
        <v>0</v>
      </c>
      <c r="BI7">
        <v>4</v>
      </c>
      <c r="BJ7" s="107">
        <f t="shared" si="0"/>
        <v>1.0246325682093903E-2</v>
      </c>
      <c r="BL7">
        <f>BH23+1</f>
        <v>3</v>
      </c>
      <c r="BM7">
        <v>3</v>
      </c>
      <c r="BN7" s="107">
        <f>$H$28*H42</f>
        <v>6.2161050767942316E-2</v>
      </c>
      <c r="BP7">
        <f>BP5+1</f>
        <v>3</v>
      </c>
      <c r="BQ7">
        <v>0</v>
      </c>
      <c r="BR7" s="107">
        <f>$H$28*H39</f>
        <v>4.1528191089562592E-3</v>
      </c>
    </row>
    <row r="8" spans="1:70" x14ac:dyDescent="0.25">
      <c r="A8" s="5" t="s">
        <v>44</v>
      </c>
      <c r="B8" s="163">
        <v>10.5</v>
      </c>
      <c r="C8" s="164">
        <v>14.25</v>
      </c>
      <c r="E8" s="187" t="s">
        <v>41</v>
      </c>
      <c r="F8" s="162" t="s">
        <v>32</v>
      </c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4.8027002056448012E-2</v>
      </c>
      <c r="P8" s="199">
        <f>P2</f>
        <v>0.45</v>
      </c>
      <c r="Q8" s="203">
        <f t="shared" si="2"/>
        <v>2.1612150925401606E-2</v>
      </c>
      <c r="R8" s="155">
        <f t="shared" si="3"/>
        <v>2.1612150925401603E-2</v>
      </c>
      <c r="S8" s="171">
        <f t="shared" si="4"/>
        <v>0.97838784907459841</v>
      </c>
      <c r="T8" s="172">
        <f>R8*PRODUCT(S5:S7)*PRODUCT(S9:S19)</f>
        <v>1.0262922280123463E-2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7.9586693062004554E-3</v>
      </c>
      <c r="W8" s="181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155">
        <f t="shared" si="7"/>
        <v>0</v>
      </c>
      <c r="AC8" s="171">
        <f t="shared" si="8"/>
        <v>1</v>
      </c>
      <c r="AD8" s="172">
        <f>AB8*PRODUCT(AC5:AC7)*PRODUCT(AC9:AC19)</f>
        <v>0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93">
        <f>IF(COUNTIF(F6:F18,"IMP")+COUNTIF(J6:J18,"IMP")=0,0,COUNTIF(F6:F18,"IMP")/(COUNTIF(F6:F18,"IMP")+COUNTIF(J6:J18,"IMP")))</f>
        <v>1</v>
      </c>
      <c r="AH8">
        <f>COUNTIF(F6:F18,"IMP")</f>
        <v>1</v>
      </c>
      <c r="AI8" s="196">
        <f t="shared" si="9"/>
        <v>0.62435102673382414</v>
      </c>
      <c r="AK8" s="193">
        <f>IF(COUNTIF(F6:F18,"IMP")+COUNTIF(J6:J18,"IMP")=0,0,COUNTIF(J6:J18,"IMP")/(COUNTIF(F6:F18,"IMP")+COUNTIF(J6:J18,"IMP")))</f>
        <v>0</v>
      </c>
      <c r="AL8">
        <f>COUNTIF(J6:J18,"IMP")</f>
        <v>0</v>
      </c>
      <c r="AM8" s="197">
        <v>0.45</v>
      </c>
      <c r="AN8" s="198">
        <f t="shared" si="10"/>
        <v>0.45</v>
      </c>
      <c r="AO8">
        <f>1/13</f>
        <v>7.6923076923076927E-2</v>
      </c>
      <c r="BH8">
        <v>0</v>
      </c>
      <c r="BI8">
        <v>5</v>
      </c>
      <c r="BJ8" s="107">
        <f t="shared" si="0"/>
        <v>6.6046113867802986E-3</v>
      </c>
      <c r="BL8">
        <f>BH31+1</f>
        <v>4</v>
      </c>
      <c r="BM8">
        <v>4</v>
      </c>
      <c r="BN8" s="107">
        <f>$H$29*H43</f>
        <v>3.8216476829045706E-2</v>
      </c>
      <c r="BP8">
        <f>BP6+1</f>
        <v>3</v>
      </c>
      <c r="BQ8">
        <v>1</v>
      </c>
      <c r="BR8" s="107">
        <f>$H$28*H40</f>
        <v>2.0438475188463773E-2</v>
      </c>
    </row>
    <row r="9" spans="1:70" x14ac:dyDescent="0.25">
      <c r="A9" s="5" t="s">
        <v>47</v>
      </c>
      <c r="B9" s="163">
        <v>11.25</v>
      </c>
      <c r="C9" s="164">
        <v>16.5</v>
      </c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155">
        <f t="shared" si="3"/>
        <v>0</v>
      </c>
      <c r="S9" s="171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5.549786904300659E-2</v>
      </c>
      <c r="Z9" s="69">
        <f>Z2</f>
        <v>0.45</v>
      </c>
      <c r="AA9" s="69">
        <f t="shared" si="6"/>
        <v>2.4974041069352967E-2</v>
      </c>
      <c r="AB9" s="155">
        <f t="shared" si="7"/>
        <v>2.4974041069352967E-2</v>
      </c>
      <c r="AC9" s="171">
        <f t="shared" si="8"/>
        <v>0.97502595893064703</v>
      </c>
      <c r="AD9" s="172">
        <f>AB9*PRODUCT(AC5:AC8)*PRODUCT(AC10:AC19)</f>
        <v>1.8209530305581055E-2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6.1331957157078135E-3</v>
      </c>
      <c r="AG9" s="193">
        <f>IF(COUNTIF(J6:J13,"IMP")+COUNTIF(F6:F13,"IMP")=0,0,COUNTIF(J6:J13,"IMP")/(COUNTIF(J6:J13,"IMP")+COUNTIF(F6:F13,"IMP")))</f>
        <v>0</v>
      </c>
      <c r="AH9">
        <f>COUNTIF(J6:J13,"IMP")</f>
        <v>0</v>
      </c>
      <c r="AI9" s="196">
        <f t="shared" si="9"/>
        <v>5.549786904300659E-2</v>
      </c>
      <c r="AK9" s="193">
        <f>IF(COUNTIF(J6:J13,"IMP")+COUNTIF(F6:F13,"IMP")=0,0,COUNTIF(F6:F13,"IMP")/(COUNTIF(J6:J13,"IMP")+COUNTIF(F6:F13,"IMP")))</f>
        <v>1</v>
      </c>
      <c r="AL9">
        <f>COUNTIF(F6:F13,"IMP")</f>
        <v>1</v>
      </c>
      <c r="AM9" s="197">
        <v>0.04</v>
      </c>
      <c r="AN9" s="198">
        <f t="shared" si="10"/>
        <v>0.04</v>
      </c>
      <c r="AO9">
        <v>1</v>
      </c>
      <c r="BH9">
        <v>0</v>
      </c>
      <c r="BI9">
        <v>6</v>
      </c>
      <c r="BJ9" s="107">
        <f t="shared" si="0"/>
        <v>3.095459386006306E-3</v>
      </c>
      <c r="BL9">
        <f>BH38+1</f>
        <v>5</v>
      </c>
      <c r="BM9">
        <v>5</v>
      </c>
      <c r="BN9" s="107">
        <f>$H$30*H44</f>
        <v>1.2047287325553966E-2</v>
      </c>
      <c r="BP9">
        <f>BL6+1</f>
        <v>3</v>
      </c>
      <c r="BQ9">
        <v>2</v>
      </c>
      <c r="BR9" s="107">
        <f>$H$28*H41</f>
        <v>4.5892367360353258E-2</v>
      </c>
    </row>
    <row r="10" spans="1:70" x14ac:dyDescent="0.25">
      <c r="A10" s="6" t="s">
        <v>50</v>
      </c>
      <c r="B10" s="163">
        <v>11.5</v>
      </c>
      <c r="C10" s="164">
        <v>16.25</v>
      </c>
      <c r="E10" s="187" t="s">
        <v>36</v>
      </c>
      <c r="F10" s="162" t="s">
        <v>32</v>
      </c>
      <c r="G10" s="162"/>
      <c r="H10" s="10"/>
      <c r="I10" s="10"/>
      <c r="J10" s="161" t="s">
        <v>32</v>
      </c>
      <c r="K10" s="161"/>
      <c r="L10" s="10"/>
      <c r="M10" s="10"/>
      <c r="O10" s="67">
        <f t="shared" si="1"/>
        <v>0.43357710189848903</v>
      </c>
      <c r="P10" s="199">
        <f>P3</f>
        <v>0.56999999999999995</v>
      </c>
      <c r="Q10" s="203">
        <f t="shared" si="2"/>
        <v>0.24713894808213871</v>
      </c>
      <c r="R10" s="155">
        <f t="shared" si="3"/>
        <v>0.24713894808213874</v>
      </c>
      <c r="S10" s="171">
        <f t="shared" si="4"/>
        <v>0.75286105191786123</v>
      </c>
      <c r="T10" s="172">
        <f>R10*PRODUCT(S5:S9)*PRODUCT(S11:S19)</f>
        <v>0.15251426369489451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6.8206138909292086E-2</v>
      </c>
      <c r="W10" s="181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5">
        <f t="shared" si="7"/>
        <v>0</v>
      </c>
      <c r="AC10" s="171">
        <f t="shared" si="8"/>
        <v>1</v>
      </c>
      <c r="AD10" s="172">
        <f>AB10*PRODUCT(AC5:AC9)*PRODUCT(AC11:AC19)</f>
        <v>0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93">
        <f>IF(COUNTIF(F11:F18,"RAP")+COUNTIF(J11:J18,"RAP")=0,0,COUNTIF(F11:F18,"RAP")/(COUNTIF(F11:F18,"RAP")+COUNTIF(J11:J18,"RAP")))</f>
        <v>1</v>
      </c>
      <c r="AH10">
        <f>COUNTIF(F11:F18,"RAP")</f>
        <v>5</v>
      </c>
      <c r="AI10" s="196">
        <f t="shared" si="9"/>
        <v>0.69372336303758242</v>
      </c>
      <c r="AK10" s="193">
        <f>IF(COUNTIF(F11:F18,"RAP")+COUNTIF(J11:J18,"RAP")=0,0,COUNTIF(J11:J18,"RAP")/(COUNTIF(F11:F18,"RAP")+COUNTIF(J11:J18,"RAP")))</f>
        <v>0</v>
      </c>
      <c r="AL10">
        <f>COUNTIF(J11:J18,"RAP")</f>
        <v>0</v>
      </c>
      <c r="AM10" s="197">
        <v>0.5</v>
      </c>
      <c r="AN10" s="198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1.0656745997078528E-3</v>
      </c>
      <c r="BL10">
        <f>BH44+1</f>
        <v>6</v>
      </c>
      <c r="BM10">
        <v>6</v>
      </c>
      <c r="BN10" s="107">
        <f>$H$31*H45</f>
        <v>2.0585222477512706E-3</v>
      </c>
      <c r="BP10">
        <f>BP7+1</f>
        <v>4</v>
      </c>
      <c r="BQ10">
        <v>0</v>
      </c>
      <c r="BR10" s="107">
        <f>$H$29*H39</f>
        <v>2.8052547917128382E-3</v>
      </c>
    </row>
    <row r="11" spans="1:70" x14ac:dyDescent="0.25">
      <c r="A11" s="6" t="s">
        <v>53</v>
      </c>
      <c r="B11" s="163">
        <v>17.5</v>
      </c>
      <c r="C11" s="164">
        <v>10.5</v>
      </c>
      <c r="E11" s="187" t="s">
        <v>54</v>
      </c>
      <c r="F11" s="162" t="s">
        <v>32</v>
      </c>
      <c r="G11" s="162"/>
      <c r="H11" s="10"/>
      <c r="I11" s="10"/>
      <c r="J11" s="161" t="s">
        <v>32</v>
      </c>
      <c r="K11" s="161"/>
      <c r="L11" s="10"/>
      <c r="M11" s="10"/>
      <c r="O11" s="67">
        <f t="shared" si="1"/>
        <v>0.43357710189848903</v>
      </c>
      <c r="P11" s="199">
        <f>P3</f>
        <v>0.56999999999999995</v>
      </c>
      <c r="Q11" s="203">
        <f t="shared" si="2"/>
        <v>0.24713894808213871</v>
      </c>
      <c r="R11" s="155">
        <f t="shared" si="3"/>
        <v>0.24713894808213874</v>
      </c>
      <c r="S11" s="171">
        <f t="shared" si="4"/>
        <v>0.75286105191786123</v>
      </c>
      <c r="T11" s="172">
        <f>R11*PRODUCT(S5:S10)*PRODUCT(S12:S19)</f>
        <v>0.15251426369489449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1.8140838544689807E-2</v>
      </c>
      <c r="W11" s="181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5">
        <f t="shared" si="7"/>
        <v>0</v>
      </c>
      <c r="AC11" s="171">
        <f t="shared" si="8"/>
        <v>1</v>
      </c>
      <c r="AD11" s="172">
        <f>AB11*PRODUCT(AC5:AC10)*PRODUCT(AC12:AC19)</f>
        <v>0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93">
        <f>IF(COUNTIF(F11:F18,"RAP")+COUNTIF(J11:J18,"RAP")=0,0,COUNTIF(F11:F18,"RAP")/(COUNTIF(F11:F18,"RAP")+COUNTIF(J11:J18,"RAP")))</f>
        <v>1</v>
      </c>
      <c r="AH11">
        <f>COUNTIF(F11:F18,"RAP")</f>
        <v>5</v>
      </c>
      <c r="AI11" s="196">
        <f t="shared" si="9"/>
        <v>0.69372336303758242</v>
      </c>
      <c r="AK11" s="193">
        <f>IF(COUNTIF(F11:F18,"RAP")+COUNTIF(J11:J18,"RAP")=0,0,COUNTIF(J11:J18,"RAP")/(COUNTIF(F11:F18,"RAP")+COUNTIF(J11:J18,"RAP")))</f>
        <v>0</v>
      </c>
      <c r="AL11">
        <f>COUNTIF(J11:J18,"RAP")</f>
        <v>0</v>
      </c>
      <c r="AM11" s="197">
        <v>0.5</v>
      </c>
      <c r="AN11" s="198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2.6891739278451924E-4</v>
      </c>
      <c r="BL11">
        <f>BH50+1</f>
        <v>7</v>
      </c>
      <c r="BM11">
        <v>7</v>
      </c>
      <c r="BN11" s="107">
        <f>$H$32*H46</f>
        <v>1.9513359983311461E-4</v>
      </c>
      <c r="BP11">
        <f>BP8+1</f>
        <v>4</v>
      </c>
      <c r="BQ11">
        <v>1</v>
      </c>
      <c r="BR11" s="107">
        <f>$H$29*H40</f>
        <v>1.3806315409715057E-2</v>
      </c>
    </row>
    <row r="12" spans="1:70" x14ac:dyDescent="0.25">
      <c r="A12" s="6" t="s">
        <v>57</v>
      </c>
      <c r="B12" s="163">
        <v>12</v>
      </c>
      <c r="C12" s="164">
        <v>17.5</v>
      </c>
      <c r="E12" s="187" t="s">
        <v>54</v>
      </c>
      <c r="F12" s="162" t="s">
        <v>1</v>
      </c>
      <c r="G12" s="162"/>
      <c r="H12" s="10"/>
      <c r="I12" s="10"/>
      <c r="J12" s="161" t="s">
        <v>144</v>
      </c>
      <c r="K12" s="161"/>
      <c r="L12" s="10"/>
      <c r="M12" s="10"/>
      <c r="O12" s="67">
        <f t="shared" si="1"/>
        <v>3.4686168151879117E-4</v>
      </c>
      <c r="P12" s="199">
        <f>P2</f>
        <v>0.45</v>
      </c>
      <c r="Q12" s="203">
        <f t="shared" si="2"/>
        <v>1.5608775668345603E-4</v>
      </c>
      <c r="R12" s="155">
        <f t="shared" si="3"/>
        <v>1.5608775668345603E-4</v>
      </c>
      <c r="S12" s="171">
        <f t="shared" si="4"/>
        <v>0.99984391224331659</v>
      </c>
      <c r="T12" s="172">
        <f>R12*PRODUCT(S5:S11)*PRODUCT(S13:S19)</f>
        <v>7.2530509965317694E-5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8.6158326210324467E-6</v>
      </c>
      <c r="W12" s="182" t="s">
        <v>58</v>
      </c>
      <c r="X12" s="15" t="s">
        <v>59</v>
      </c>
      <c r="Y12" s="69">
        <f t="shared" si="5"/>
        <v>3.4686168151879112E-4</v>
      </c>
      <c r="Z12" s="69">
        <f>Z2</f>
        <v>0.45</v>
      </c>
      <c r="AA12" s="69">
        <f t="shared" si="6"/>
        <v>1.56087756683456E-4</v>
      </c>
      <c r="AB12" s="155">
        <f t="shared" si="7"/>
        <v>1.56087756683456E-4</v>
      </c>
      <c r="AC12" s="171">
        <f t="shared" si="8"/>
        <v>0.99984391224331659</v>
      </c>
      <c r="AD12" s="172">
        <f>AB12*PRODUCT(AC5:AC11)*PRODUCT(AC13:AC19)</f>
        <v>1.1098460301193453E-4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3.7363665135570348E-5</v>
      </c>
      <c r="AG12" s="193">
        <f>IF(COUNTA(F6:F10)+COUNTA(J6:J10)=0,0,COUNTA(F6:F10)/(COUNTA(F6:F10)+COUNTA(J6:J10)))</f>
        <v>0.5</v>
      </c>
      <c r="AH12">
        <f>COUNTA(J6:J10)</f>
        <v>3</v>
      </c>
      <c r="AI12" s="196">
        <f t="shared" si="9"/>
        <v>1.3874467260751647E-3</v>
      </c>
      <c r="AK12" s="193">
        <f>IF(COUNTA(J6:J10)+COUNTA(F6:F10)=0,0,COUNTA(J6:J10)/(COUNTA(J6:J10)+COUNTA(F6:F10)))</f>
        <v>0.5</v>
      </c>
      <c r="AL12">
        <f>COUNTA(F6:F10)</f>
        <v>3</v>
      </c>
      <c r="AM12" s="197">
        <v>1E-3</v>
      </c>
      <c r="AN12" s="198">
        <f t="shared" si="10"/>
        <v>1E-3</v>
      </c>
      <c r="AO12">
        <f>1/6</f>
        <v>0.16666666666666666</v>
      </c>
      <c r="BH12">
        <v>0</v>
      </c>
      <c r="BI12">
        <v>9</v>
      </c>
      <c r="BJ12" s="107">
        <f t="shared" si="0"/>
        <v>4.9053640163572095E-5</v>
      </c>
      <c r="BL12">
        <f>BH54+1</f>
        <v>8</v>
      </c>
      <c r="BM12">
        <v>8</v>
      </c>
      <c r="BN12" s="107">
        <f>$H$33*H47</f>
        <v>1.0243809231600734E-5</v>
      </c>
      <c r="BP12">
        <f>BP9+1</f>
        <v>4</v>
      </c>
      <c r="BQ12">
        <v>2</v>
      </c>
      <c r="BR12" s="107">
        <f>$H$29*H41</f>
        <v>3.1000575768645362E-2</v>
      </c>
    </row>
    <row r="13" spans="1:70" x14ac:dyDescent="0.25">
      <c r="A13" s="7" t="s">
        <v>60</v>
      </c>
      <c r="B13" s="163">
        <v>6.5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 t="s">
        <v>32</v>
      </c>
      <c r="K13" s="161"/>
      <c r="L13" s="10"/>
      <c r="M13" s="10"/>
      <c r="O13" s="67">
        <f t="shared" si="1"/>
        <v>0.10405850445563736</v>
      </c>
      <c r="P13" s="199">
        <f>P3</f>
        <v>0.56999999999999995</v>
      </c>
      <c r="Q13" s="203">
        <f t="shared" si="2"/>
        <v>5.931334753971329E-2</v>
      </c>
      <c r="R13" s="155">
        <f t="shared" si="3"/>
        <v>5.931334753971329E-2</v>
      </c>
      <c r="S13" s="171">
        <f t="shared" si="4"/>
        <v>0.94068665246028671</v>
      </c>
      <c r="T13" s="172">
        <f>R13*PRODUCT(S5:S12)*PRODUCT(S14:S19)</f>
        <v>2.9294868474429969E-2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1.6327739350256399E-3</v>
      </c>
      <c r="W13" s="181" t="s">
        <v>61</v>
      </c>
      <c r="X13" s="15" t="s">
        <v>62</v>
      </c>
      <c r="Y13" s="69">
        <f t="shared" si="5"/>
        <v>0.10405850445563736</v>
      </c>
      <c r="Z13" s="69">
        <f>Z3</f>
        <v>0.56999999999999995</v>
      </c>
      <c r="AA13" s="69">
        <f t="shared" si="6"/>
        <v>5.931334753971329E-2</v>
      </c>
      <c r="AB13" s="155">
        <f t="shared" si="7"/>
        <v>5.931334753971329E-2</v>
      </c>
      <c r="AC13" s="171">
        <f t="shared" si="8"/>
        <v>0.94068665246028671</v>
      </c>
      <c r="AD13" s="172">
        <f>AB13*PRODUCT(AC5:AC12)*PRODUCT(AC14:AC19)</f>
        <v>4.4826368234224867E-2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1.226463094726277E-2</v>
      </c>
      <c r="AG13" s="193">
        <f>B22</f>
        <v>0.5</v>
      </c>
      <c r="AH13">
        <v>1</v>
      </c>
      <c r="AI13" s="196">
        <f t="shared" si="9"/>
        <v>0.20811700891127471</v>
      </c>
      <c r="AK13" s="193">
        <f>C22</f>
        <v>0.5</v>
      </c>
      <c r="AL13">
        <v>1</v>
      </c>
      <c r="AM13" s="197">
        <v>0.15</v>
      </c>
      <c r="AN13" s="198">
        <f t="shared" si="10"/>
        <v>0.15</v>
      </c>
      <c r="AO13">
        <v>1</v>
      </c>
      <c r="BH13">
        <v>0</v>
      </c>
      <c r="BI13">
        <v>10</v>
      </c>
      <c r="BJ13" s="107">
        <f t="shared" si="0"/>
        <v>6.2887673721808462E-6</v>
      </c>
      <c r="BL13">
        <f>BH57+1</f>
        <v>9</v>
      </c>
      <c r="BM13">
        <v>9</v>
      </c>
      <c r="BN13" s="107">
        <f>$H$34*H48</f>
        <v>2.9014092181641179E-7</v>
      </c>
      <c r="BP13">
        <f>BL7+1</f>
        <v>4</v>
      </c>
      <c r="BQ13">
        <v>3</v>
      </c>
      <c r="BR13" s="107">
        <f>$H$29*H42</f>
        <v>4.1990171242614525E-2</v>
      </c>
    </row>
    <row r="14" spans="1:70" x14ac:dyDescent="0.25">
      <c r="A14" s="7" t="s">
        <v>63</v>
      </c>
      <c r="B14" s="163">
        <v>5.5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32</v>
      </c>
      <c r="K14" s="161"/>
      <c r="L14" s="10"/>
      <c r="M14" s="10"/>
      <c r="O14" s="67">
        <f t="shared" si="1"/>
        <v>0</v>
      </c>
      <c r="P14" s="199">
        <f>IF(COUNTIF(F6:F18,"CAB")-COUNTIF(J6:J18,"CAB")&gt;2,0.8,IF(COUNTIF(F6:F18,"CAB")-COUNTIF(J6:J18,"CAB")&gt;0,0.6,IF(COUNTIF(F6:F18,"CAB")-COUNTIF(J6:J18,"CAB")=0,0.5,0.15)))</f>
        <v>0.15</v>
      </c>
      <c r="Q14" s="203">
        <f t="shared" si="2"/>
        <v>0</v>
      </c>
      <c r="R14" s="155">
        <f t="shared" si="3"/>
        <v>0</v>
      </c>
      <c r="S14" s="171">
        <f t="shared" si="4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 t="shared" si="5"/>
        <v>0.27748934521503299</v>
      </c>
      <c r="Z14" s="200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0.16649360712901978</v>
      </c>
      <c r="AB14" s="155">
        <f t="shared" si="7"/>
        <v>0.16649360712901978</v>
      </c>
      <c r="AC14" s="171">
        <f t="shared" si="8"/>
        <v>0.83350639287098027</v>
      </c>
      <c r="AD14" s="172">
        <f>AB14*PRODUCT(AC5:AC13)*PRODUCT(AC15:AC19)</f>
        <v>0.14200862684624208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1.0487649691845752E-2</v>
      </c>
      <c r="AG14" s="193">
        <f>IF(AL14=0,1,B22)</f>
        <v>0.5</v>
      </c>
      <c r="AH14">
        <f>IF(COUNTIF(F6:F18,"CAB")&gt;0,1,0)</f>
        <v>0</v>
      </c>
      <c r="AI14" s="196">
        <f t="shared" si="9"/>
        <v>0.27748934521503299</v>
      </c>
      <c r="AK14" s="193">
        <f>IF(AH14=0,1,C22)</f>
        <v>1</v>
      </c>
      <c r="AL14">
        <f>IF(COUNTIF(J6:J18,"CAB")&gt;0,1,0)</f>
        <v>1</v>
      </c>
      <c r="AM14" s="197">
        <v>0.2</v>
      </c>
      <c r="AN14" s="198">
        <f t="shared" si="10"/>
        <v>0.2</v>
      </c>
      <c r="AO14">
        <v>1</v>
      </c>
      <c r="BH14">
        <v>1</v>
      </c>
      <c r="BI14">
        <v>2</v>
      </c>
      <c r="BJ14" s="107">
        <f t="shared" ref="BJ14:BJ22" si="11">$H$26*H41</f>
        <v>2.8920700252146329E-2</v>
      </c>
      <c r="BL14">
        <f>BP39+1</f>
        <v>10</v>
      </c>
      <c r="BM14">
        <v>10</v>
      </c>
      <c r="BN14" s="107">
        <f>$H$35*H49</f>
        <v>4.1907859347136027E-9</v>
      </c>
      <c r="BP14">
        <f>BP10+1</f>
        <v>5</v>
      </c>
      <c r="BQ14">
        <v>0</v>
      </c>
      <c r="BR14" s="107">
        <f>$H$30*H39</f>
        <v>1.3719295836293556E-3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32</v>
      </c>
      <c r="K15" s="161"/>
      <c r="L15" s="10"/>
      <c r="M15" s="10"/>
      <c r="O15" s="67">
        <f t="shared" si="1"/>
        <v>6.9372336303758237E-3</v>
      </c>
      <c r="P15" s="199">
        <f>R3</f>
        <v>0.7</v>
      </c>
      <c r="Q15" s="203">
        <f t="shared" si="2"/>
        <v>4.8560635412630759E-3</v>
      </c>
      <c r="R15" s="155">
        <f t="shared" si="3"/>
        <v>4.8560635412630759E-3</v>
      </c>
      <c r="S15" s="171">
        <f t="shared" si="4"/>
        <v>0.99514393645873689</v>
      </c>
      <c r="T15" s="172">
        <f>R15*PRODUCT(S5:S14)*PRODUCT(S16:S19)</f>
        <v>2.2671620245610859E-3</v>
      </c>
      <c r="U15" s="172">
        <f>R15*R16*PRODUCT(S5:S14)*PRODUCT(S17:S19)+R15*R17*PRODUCT(S5:S14)*S16*PRODUCT(S18:S19)+R15*R18*PRODUCT(S5:S14)*S16*S17*S19+R15*R19*PRODUCT(S5:S14)*S16*S17*S18</f>
        <v>1.1529896044076568E-4</v>
      </c>
      <c r="W15" s="181" t="s">
        <v>68</v>
      </c>
      <c r="X15" s="15" t="s">
        <v>69</v>
      </c>
      <c r="Y15" s="69">
        <f t="shared" si="5"/>
        <v>6.9372336303758237E-3</v>
      </c>
      <c r="Z15" s="69">
        <f>AB3</f>
        <v>0.7</v>
      </c>
      <c r="AA15" s="69">
        <f t="shared" si="6"/>
        <v>4.8560635412630759E-3</v>
      </c>
      <c r="AB15" s="155">
        <f t="shared" si="7"/>
        <v>4.8560635412630759E-3</v>
      </c>
      <c r="AC15" s="171">
        <f t="shared" si="8"/>
        <v>0.99514393645873689</v>
      </c>
      <c r="AD15" s="172">
        <f>AB15*PRODUCT(AC5:AC14)*PRODUCT(AC16:AC19)</f>
        <v>3.4691618379625966E-3</v>
      </c>
      <c r="AE15" s="172">
        <f>AB15*AB16*PRODUCT(AC5:AC14)*PRODUCT(AC17:AC19)+AB15*AB17*PRODUCT(AC5:AC14)*AC16*PRODUCT(AC18:AC19)+AB15*AB18*PRODUCT(AC5:AC14)*AC16*AC17*AC19+AB15*AB19*PRODUCT(AC5:AC14)*AC16*AC17*AC18</f>
        <v>2.3927656124197793E-4</v>
      </c>
      <c r="AG15" s="193">
        <f>IF(AL15=0,1,B22)</f>
        <v>0.5</v>
      </c>
      <c r="AH15">
        <v>1</v>
      </c>
      <c r="AI15" s="196">
        <f t="shared" si="9"/>
        <v>1.3874467260751647E-2</v>
      </c>
      <c r="AK15" s="193">
        <f>IF(AH15=0,1,C22)</f>
        <v>0.5</v>
      </c>
      <c r="AL15">
        <v>1</v>
      </c>
      <c r="AM15" s="197">
        <v>0.01</v>
      </c>
      <c r="AN15" s="198">
        <f t="shared" si="10"/>
        <v>0.01</v>
      </c>
      <c r="AO15">
        <v>1</v>
      </c>
      <c r="BH15">
        <v>1</v>
      </c>
      <c r="BI15">
        <v>3</v>
      </c>
      <c r="BJ15" s="107">
        <f t="shared" si="11"/>
        <v>3.9172987144071185E-2</v>
      </c>
      <c r="BP15">
        <f>BP11+1</f>
        <v>5</v>
      </c>
      <c r="BQ15">
        <v>1</v>
      </c>
      <c r="BR15" s="107">
        <f>$H$30*H40</f>
        <v>6.7520756429902476E-3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1</v>
      </c>
      <c r="G16" s="162"/>
      <c r="H16" s="10"/>
      <c r="I16" s="10"/>
      <c r="J16" s="161" t="s">
        <v>32</v>
      </c>
      <c r="K16" s="161"/>
      <c r="L16" s="10"/>
      <c r="M16" s="10"/>
      <c r="O16" s="67">
        <f t="shared" si="1"/>
        <v>6.9372336303758237E-3</v>
      </c>
      <c r="P16" s="199">
        <v>0.15</v>
      </c>
      <c r="Q16" s="203">
        <f t="shared" si="2"/>
        <v>1.0405850445563735E-3</v>
      </c>
      <c r="R16" s="155">
        <f t="shared" si="3"/>
        <v>1.0405850445563735E-3</v>
      </c>
      <c r="S16" s="171">
        <f t="shared" si="4"/>
        <v>0.9989594149554436</v>
      </c>
      <c r="T16" s="172">
        <f>R16*PRODUCT(S5:S15)*PRODUCT(S17:S19)</f>
        <v>4.8396486553934493E-4</v>
      </c>
      <c r="U16" s="172">
        <f>R16*R17*PRODUCT(S5:S15)*PRODUCT(S18:S19)+R16*R18*PRODUCT(S5:S15)*S17*S19+R16*R19*PRODUCT(S5:S15)*S17*S18</f>
        <v>2.410842198275436E-5</v>
      </c>
      <c r="W16" s="182" t="s">
        <v>72</v>
      </c>
      <c r="X16" s="15" t="s">
        <v>73</v>
      </c>
      <c r="Y16" s="69">
        <f t="shared" si="5"/>
        <v>6.9372336303758237E-3</v>
      </c>
      <c r="Z16" s="69">
        <v>0.15</v>
      </c>
      <c r="AA16" s="69">
        <f t="shared" si="6"/>
        <v>1.0405850445563735E-3</v>
      </c>
      <c r="AB16" s="155">
        <f t="shared" si="7"/>
        <v>1.0405850445563735E-3</v>
      </c>
      <c r="AC16" s="171">
        <f t="shared" si="8"/>
        <v>0.9989594149554436</v>
      </c>
      <c r="AD16" s="172">
        <f>AB16*PRODUCT(AC5:AC15)*PRODUCT(AC17:AC19)</f>
        <v>7.405524723222345E-4</v>
      </c>
      <c r="AE16" s="172">
        <f>AB16*AB17*PRODUCT(AC5:AC15)*PRODUCT(AC18:AC19)+AB16*AB18*PRODUCT(AC5:AC15)*AC17*AC19+AB16*AB19*PRODUCT(AC5:AC15)*AC17*AC18</f>
        <v>5.0306301383884669E-5</v>
      </c>
      <c r="AG16" s="193">
        <f>C22</f>
        <v>0.5</v>
      </c>
      <c r="AH16">
        <v>1</v>
      </c>
      <c r="AI16" s="196">
        <f t="shared" si="9"/>
        <v>1.3874467260751647E-2</v>
      </c>
      <c r="AK16" s="193">
        <f>B22</f>
        <v>0.5</v>
      </c>
      <c r="AL16">
        <v>1</v>
      </c>
      <c r="AM16" s="197">
        <v>0.01</v>
      </c>
      <c r="AN16" s="198">
        <f t="shared" si="10"/>
        <v>0.01</v>
      </c>
      <c r="AO16">
        <v>1</v>
      </c>
      <c r="BH16">
        <v>1</v>
      </c>
      <c r="BI16">
        <v>4</v>
      </c>
      <c r="BJ16" s="107">
        <f t="shared" si="11"/>
        <v>3.5652475596398343E-2</v>
      </c>
      <c r="BP16">
        <f>BP12+1</f>
        <v>5</v>
      </c>
      <c r="BQ16">
        <v>2</v>
      </c>
      <c r="BR16" s="107">
        <f>$H$30*H41</f>
        <v>1.5161049588860874E-2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 t="shared" si="1"/>
        <v>8.3246803564509878E-2</v>
      </c>
      <c r="P17" s="199">
        <f>P3</f>
        <v>0.56999999999999995</v>
      </c>
      <c r="Q17" s="203">
        <f t="shared" si="2"/>
        <v>4.7450678031770624E-2</v>
      </c>
      <c r="R17" s="155">
        <f t="shared" si="3"/>
        <v>4.7450678031770631E-2</v>
      </c>
      <c r="S17" s="171">
        <f t="shared" si="4"/>
        <v>0.95254932196822939</v>
      </c>
      <c r="T17" s="172">
        <f>R17*PRODUCT(S5:S16)*PRODUCT(S18:S19)</f>
        <v>2.3144033489024975E-2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 t="shared" si="5"/>
        <v>8.3246803564509878E-2</v>
      </c>
      <c r="Z17" s="69">
        <f>Z3</f>
        <v>0.56999999999999995</v>
      </c>
      <c r="AA17" s="69">
        <f t="shared" si="6"/>
        <v>4.7450678031770624E-2</v>
      </c>
      <c r="AB17" s="155">
        <f t="shared" si="7"/>
        <v>4.7450678031770631E-2</v>
      </c>
      <c r="AC17" s="171">
        <f t="shared" si="8"/>
        <v>0.95254932196822939</v>
      </c>
      <c r="AD17" s="172">
        <f>AB17*PRODUCT(AC5:AC16)*PRODUCT(AC18:AC19)</f>
        <v>3.5414494811943441E-2</v>
      </c>
      <c r="AE17" s="172">
        <f>AB17*AB18*PRODUCT(AC5:AC16)*AC19+AB17*AB19*PRODUCT(AC5:AC16)*AC18</f>
        <v>6.4158198417808442E-4</v>
      </c>
      <c r="AG17" s="193">
        <f>COUNTA(F14:F15)/(COUNTA(F14:F15)+COUNTA(J14:J15))</f>
        <v>0.5</v>
      </c>
      <c r="AH17">
        <f>COUNTA(F14:F15)</f>
        <v>2</v>
      </c>
      <c r="AI17" s="196">
        <f t="shared" si="9"/>
        <v>0.16649360712901976</v>
      </c>
      <c r="AK17" s="193">
        <f>COUNTA(J14:J15)/(COUNTA(F14:F15)+COUNTA(J14:J15))</f>
        <v>0.5</v>
      </c>
      <c r="AL17">
        <f>COUNTA(J14:J15)</f>
        <v>2</v>
      </c>
      <c r="AM17" s="197">
        <v>0.12</v>
      </c>
      <c r="AN17" s="198">
        <f t="shared" si="10"/>
        <v>0.12</v>
      </c>
      <c r="AO17">
        <f>1/2</f>
        <v>0.5</v>
      </c>
      <c r="BH17">
        <v>1</v>
      </c>
      <c r="BI17">
        <v>5</v>
      </c>
      <c r="BJ17" s="107">
        <f t="shared" si="11"/>
        <v>2.2980993733429645E-2</v>
      </c>
      <c r="BP17">
        <f>BP13+1</f>
        <v>5</v>
      </c>
      <c r="BQ17">
        <v>3</v>
      </c>
      <c r="BR17" s="107">
        <f>$H$30*H42</f>
        <v>2.0535588538904644E-2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1</v>
      </c>
      <c r="G18" s="162"/>
      <c r="H18" s="10"/>
      <c r="I18" s="10"/>
      <c r="J18" s="161" t="s">
        <v>32</v>
      </c>
      <c r="K18" s="161"/>
      <c r="L18" s="10"/>
      <c r="M18" s="10"/>
      <c r="O18" s="67">
        <f t="shared" si="1"/>
        <v>0</v>
      </c>
      <c r="P18" s="199">
        <f>P17*1.2</f>
        <v>0.68399999999999994</v>
      </c>
      <c r="Q18" s="203">
        <f t="shared" si="2"/>
        <v>0</v>
      </c>
      <c r="R18" s="155">
        <f t="shared" si="3"/>
        <v>0</v>
      </c>
      <c r="S18" s="171">
        <f t="shared" si="4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2.6014626113909339E-2</v>
      </c>
      <c r="Z18" s="69">
        <f>Z17*1.2</f>
        <v>0.68399999999999994</v>
      </c>
      <c r="AA18" s="69">
        <f t="shared" si="6"/>
        <v>1.7794004261913986E-2</v>
      </c>
      <c r="AB18" s="155">
        <f t="shared" si="7"/>
        <v>1.7794004261913986E-2</v>
      </c>
      <c r="AC18" s="171">
        <f t="shared" si="8"/>
        <v>0.98220599573808598</v>
      </c>
      <c r="AD18" s="172">
        <f>AB18*PRODUCT(AC5:AC17)*PRODUCT(AC19)</f>
        <v>1.2879446814367488E-2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96">
        <f t="shared" si="9"/>
        <v>0.20811700891127471</v>
      </c>
      <c r="AK18" s="19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197">
        <v>0.15</v>
      </c>
      <c r="AN18" s="198">
        <f t="shared" si="10"/>
        <v>0.15</v>
      </c>
      <c r="AO18">
        <f>1/8</f>
        <v>0.125</v>
      </c>
      <c r="BH18">
        <v>1</v>
      </c>
      <c r="BI18">
        <v>6</v>
      </c>
      <c r="BJ18" s="107">
        <f t="shared" si="11"/>
        <v>1.0770767360254264E-2</v>
      </c>
      <c r="BP18">
        <f>BL8+1</f>
        <v>5</v>
      </c>
      <c r="BQ18">
        <v>4</v>
      </c>
      <c r="BR18" s="107">
        <f>$H$30*H43</f>
        <v>1.8690036747728213E-2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155">
        <f t="shared" si="3"/>
        <v>0</v>
      </c>
      <c r="S19" s="173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3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197">
        <v>0.6</v>
      </c>
      <c r="AN19" s="198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3.7080548519146314E-3</v>
      </c>
      <c r="BP19">
        <f>BP15+1</f>
        <v>6</v>
      </c>
      <c r="BQ19">
        <v>1</v>
      </c>
      <c r="BR19" s="107">
        <f>$H$31*H40</f>
        <v>2.4616468822557412E-3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0.46460523478336668</v>
      </c>
      <c r="T20" s="176">
        <f>SUM(T5:T19)</f>
        <v>0.39984887750786319</v>
      </c>
      <c r="U20" s="176">
        <f>SUM(U5:U19)</f>
        <v>0.11945107724756034</v>
      </c>
      <c r="V20" s="176">
        <f>1-S20-T20-U20</f>
        <v>1.6094810461209794E-2</v>
      </c>
      <c r="W20" s="21"/>
      <c r="X20" s="22"/>
      <c r="Y20" s="22"/>
      <c r="Z20" s="22"/>
      <c r="AA20" s="22"/>
      <c r="AB20" s="23"/>
      <c r="AC20" s="179">
        <f>PRODUCT(AC5:AC19)</f>
        <v>0.7109287879590982</v>
      </c>
      <c r="AD20" s="176">
        <f>SUM(AD5:AD19)</f>
        <v>0.25765916592565569</v>
      </c>
      <c r="AE20" s="176">
        <f>SUM(AE5:AE19)</f>
        <v>2.9854004866755851E-2</v>
      </c>
      <c r="AF20" s="176">
        <f>1-AC20-AD20-AE20</f>
        <v>1.5580412484902662E-3</v>
      </c>
      <c r="BH20">
        <v>1</v>
      </c>
      <c r="BI20">
        <v>8</v>
      </c>
      <c r="BJ20" s="107">
        <f t="shared" si="11"/>
        <v>9.3570818273442356E-4</v>
      </c>
      <c r="BP20">
        <f>BP16+1</f>
        <v>6</v>
      </c>
      <c r="BQ20">
        <v>2</v>
      </c>
      <c r="BR20" s="107">
        <f>$H$31*H41</f>
        <v>5.5273596484200346E-3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1.7068398595825854E-4</v>
      </c>
      <c r="BP21">
        <f>BP17+1</f>
        <v>6</v>
      </c>
      <c r="BQ21">
        <v>3</v>
      </c>
      <c r="BR21" s="107">
        <f>$H$31*H42</f>
        <v>7.4867892741340772E-3</v>
      </c>
    </row>
    <row r="22" spans="1:70" x14ac:dyDescent="0.25">
      <c r="A22" s="26" t="s">
        <v>87</v>
      </c>
      <c r="B22" s="62">
        <f>(B6)/((B6)+(C6))</f>
        <v>0.5</v>
      </c>
      <c r="C22" s="63">
        <f>1-B22</f>
        <v>0.5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2.1882002605082621E-5</v>
      </c>
      <c r="BP22">
        <f>BP18+1</f>
        <v>6</v>
      </c>
      <c r="BQ22">
        <v>4</v>
      </c>
      <c r="BR22" s="107">
        <f>$H$31*H43</f>
        <v>6.8139447959316701E-3</v>
      </c>
    </row>
    <row r="23" spans="1:70" x14ac:dyDescent="0.25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59">
        <f>SUM(H25:H35)</f>
        <v>0.99999754495756199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0.99897460937500004</v>
      </c>
      <c r="Y23" s="80">
        <f>SUM(Y25:Y35)</f>
        <v>9.716796875E-4</v>
      </c>
      <c r="Z23" s="81"/>
      <c r="AA23" s="80">
        <f>SUM(AA25:AA35)</f>
        <v>9.7216796875000001E-3</v>
      </c>
      <c r="AB23" s="81"/>
      <c r="AC23" s="80">
        <f>SUM(AC25:AC35)</f>
        <v>4.3774414062499996E-2</v>
      </c>
      <c r="AD23" s="81"/>
      <c r="AE23" s="80">
        <f>SUM(AE25:AE35)</f>
        <v>0.1168212890625</v>
      </c>
      <c r="AF23" s="81"/>
      <c r="AG23" s="80">
        <f>SUM(AG25:AG35)</f>
        <v>0.20463867187500001</v>
      </c>
      <c r="AH23" s="81"/>
      <c r="AI23" s="80">
        <f>SUM(AI25:AI35)</f>
        <v>0.24588867187500002</v>
      </c>
      <c r="AJ23" s="81"/>
      <c r="AK23" s="80">
        <f>SUM(AK25:AK35)</f>
        <v>0.20528320312499998</v>
      </c>
      <c r="AL23" s="81"/>
      <c r="AM23" s="80">
        <f>SUM(AM25:AM35)</f>
        <v>0.11762695312500002</v>
      </c>
      <c r="AN23" s="81"/>
      <c r="AO23" s="80">
        <f>SUM(AO25:AO35)</f>
        <v>4.43115234375E-2</v>
      </c>
      <c r="AP23" s="81"/>
      <c r="AQ23" s="80">
        <f>SUM(AQ25:AQ35)</f>
        <v>9.9365234375000024E-3</v>
      </c>
      <c r="AR23" s="81"/>
      <c r="AS23" s="80">
        <f>SUM(AS25:AS35)</f>
        <v>1.025390624999956E-3</v>
      </c>
      <c r="BH23">
        <f t="shared" ref="BH23:BH30" si="12">BH15+1</f>
        <v>2</v>
      </c>
      <c r="BI23">
        <v>3</v>
      </c>
      <c r="BJ23" s="107">
        <f t="shared" ref="BJ23:BJ30" si="13">$H$27*H42</f>
        <v>6.3022461684850081E-2</v>
      </c>
      <c r="BP23">
        <f>BL9+1</f>
        <v>6</v>
      </c>
      <c r="BQ23">
        <v>5</v>
      </c>
      <c r="BR23" s="107">
        <f>$H$31*H44</f>
        <v>4.3921556648105608E-3</v>
      </c>
    </row>
    <row r="24" spans="1:70" x14ac:dyDescent="0.25">
      <c r="A24" s="26" t="s">
        <v>89</v>
      </c>
      <c r="B24" s="64">
        <f>B23/B21</f>
        <v>0.5</v>
      </c>
      <c r="C24" s="65">
        <f>C23/B21</f>
        <v>0.5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5.73585764338152E-2</v>
      </c>
      <c r="BP24">
        <f>BH49+1</f>
        <v>7</v>
      </c>
      <c r="BQ24">
        <v>0</v>
      </c>
      <c r="BR24" s="107">
        <f t="shared" ref="BR24:BR30" si="14">$H$32*H39</f>
        <v>1.377200791900407E-4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4.5360424470794039E-2</v>
      </c>
      <c r="I25" s="97">
        <v>0</v>
      </c>
      <c r="J25" s="98">
        <f t="shared" ref="J25:J35" si="15">Y25+AA25+AC25+AE25+AG25+AI25+AK25+AM25+AO25+AQ25+AS25</f>
        <v>9.7632185508939484E-2</v>
      </c>
      <c r="K25" s="97">
        <v>0</v>
      </c>
      <c r="L25" s="98">
        <f>S20</f>
        <v>0.46460523478336668</v>
      </c>
      <c r="M25" s="84">
        <v>0</v>
      </c>
      <c r="N25" s="71">
        <f>(1-$B$24)^$B$21</f>
        <v>3.125E-2</v>
      </c>
      <c r="O25" s="70">
        <v>0</v>
      </c>
      <c r="P25" s="71">
        <f t="shared" ref="P25:P30" si="16">N25</f>
        <v>3.125E-2</v>
      </c>
      <c r="Q25" s="12">
        <v>0</v>
      </c>
      <c r="R25" s="73">
        <f>P25*N25</f>
        <v>9.765625E-4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0.41481679477751243</v>
      </c>
      <c r="X25" s="12">
        <v>0</v>
      </c>
      <c r="Y25" s="79">
        <f>V25</f>
        <v>9.716796875E-4</v>
      </c>
      <c r="Z25" s="12">
        <v>0</v>
      </c>
      <c r="AA25" s="78">
        <f>((1-W25)^Z26)*V26</f>
        <v>5.6889636796776015E-3</v>
      </c>
      <c r="AB25" s="12">
        <v>0</v>
      </c>
      <c r="AC25" s="79">
        <f>(((1-$W$25)^AB27))*V27</f>
        <v>1.499008337227329E-2</v>
      </c>
      <c r="AD25" s="12">
        <v>0</v>
      </c>
      <c r="AE25" s="79">
        <f>(((1-$W$25)^AB28))*V28</f>
        <v>2.3409791962807066E-2</v>
      </c>
      <c r="AF25" s="12">
        <v>0</v>
      </c>
      <c r="AG25" s="79">
        <f>(((1-$W$25)^AB29))*V29</f>
        <v>2.399689891016769E-2</v>
      </c>
      <c r="AH25" s="12">
        <v>0</v>
      </c>
      <c r="AI25" s="79">
        <f>(((1-$W$25)^AB30))*V30</f>
        <v>1.6873212966290456E-2</v>
      </c>
      <c r="AJ25" s="12">
        <v>0</v>
      </c>
      <c r="AK25" s="79">
        <f>(((1-$W$25)^AB31))*V31</f>
        <v>8.2433651099762303E-3</v>
      </c>
      <c r="AL25" s="12">
        <v>0</v>
      </c>
      <c r="AM25" s="79">
        <f>(((1-$W$25)^AB32))*V32</f>
        <v>2.7640749892612511E-3</v>
      </c>
      <c r="AN25" s="12">
        <v>0</v>
      </c>
      <c r="AO25" s="79">
        <f>(((1-$W$25)^AB33))*V33</f>
        <v>6.0932852323984004E-4</v>
      </c>
      <c r="AP25" s="12">
        <v>0</v>
      </c>
      <c r="AQ25" s="79">
        <f>(((1-$W$25)^AB34))*V34</f>
        <v>7.9957856216545818E-5</v>
      </c>
      <c r="AR25" s="12">
        <v>0</v>
      </c>
      <c r="AS25" s="79">
        <f>(((1-$W$25)^AB35))*V35</f>
        <v>4.8284515295027829E-6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3.6972385887198089E-2</v>
      </c>
      <c r="BP25">
        <f>BP19+1</f>
        <v>7</v>
      </c>
      <c r="BQ25">
        <v>1</v>
      </c>
      <c r="BR25" s="107">
        <f t="shared" si="14"/>
        <v>6.7780183716847767E-4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0.15783330304573795</v>
      </c>
      <c r="I26" s="93">
        <v>1</v>
      </c>
      <c r="J26" s="86">
        <f t="shared" si="15"/>
        <v>0.25569058281648532</v>
      </c>
      <c r="K26" s="93">
        <v>1</v>
      </c>
      <c r="L26" s="86">
        <f>T20</f>
        <v>0.39984887750786319</v>
      </c>
      <c r="M26" s="85">
        <v>1</v>
      </c>
      <c r="N26" s="71">
        <f>(($B$24)^M26)*((1-($B$24))^($B$21-M26))*HLOOKUP($B$21,$AV$24:$BF$34,M26+1)</f>
        <v>0.15625</v>
      </c>
      <c r="O26" s="72">
        <v>1</v>
      </c>
      <c r="P26" s="71">
        <f t="shared" si="16"/>
        <v>0.15625</v>
      </c>
      <c r="Q26" s="28">
        <v>1</v>
      </c>
      <c r="R26" s="37">
        <f>N26*P25+P26*N25</f>
        <v>9.765625E-3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9.7216796875000001E-3</v>
      </c>
      <c r="W26" s="135"/>
      <c r="X26" s="28">
        <v>1</v>
      </c>
      <c r="Y26" s="73"/>
      <c r="Z26" s="28">
        <v>1</v>
      </c>
      <c r="AA26" s="79">
        <f>(1-((1-W25)^Z26))*V26</f>
        <v>4.0327160078223985E-3</v>
      </c>
      <c r="AB26" s="28">
        <v>1</v>
      </c>
      <c r="AC26" s="79">
        <f>((($W$25)^M26)*((1-($W$25))^($U$27-M26))*HLOOKUP($U$27,$AV$24:$BF$34,M26+1))*V27</f>
        <v>2.1251937111113586E-2</v>
      </c>
      <c r="AD26" s="28">
        <v>1</v>
      </c>
      <c r="AE26" s="79">
        <f>((($W$25)^M26)*((1-($W$25))^($U$28-M26))*HLOOKUP($U$28,$AV$24:$BF$34,M26+1))*V28</f>
        <v>4.9783254791435513E-2</v>
      </c>
      <c r="AF26" s="28">
        <v>1</v>
      </c>
      <c r="AG26" s="79">
        <f>((($W$25)^M26)*((1-($W$25))^($U$29-M26))*HLOOKUP($U$29,$AV$24:$BF$34,M26+1))*V29</f>
        <v>6.8042394940101503E-2</v>
      </c>
      <c r="AH26" s="28">
        <v>1</v>
      </c>
      <c r="AI26" s="79">
        <f>((($W$25)^M26)*((1-($W$25))^($U$30-M26))*HLOOKUP($U$30,$AV$24:$BF$34,M26+1))*V30</f>
        <v>5.9804280589476483E-2</v>
      </c>
      <c r="AJ26" s="28">
        <v>1</v>
      </c>
      <c r="AK26" s="79">
        <f>((($W$25)^M26)*((1-($W$25))^($U$31-M26))*HLOOKUP($U$31,$AV$24:$BF$34,M26+1))*V31</f>
        <v>3.5060674290551673E-2</v>
      </c>
      <c r="AL26" s="28">
        <v>1</v>
      </c>
      <c r="AM26" s="79">
        <f>((($W$25)^Q26)*((1-($W$25))^($U$32-Q26))*HLOOKUP($U$32,$AV$24:$BF$34,Q26+1))*V32</f>
        <v>1.3715521944856125E-2</v>
      </c>
      <c r="AN26" s="28">
        <v>1</v>
      </c>
      <c r="AO26" s="79">
        <f>((($W$25)^Q26)*((1-($W$25))^($U$33-Q26))*HLOOKUP($U$33,$AV$24:$BF$34,Q26+1))*V33</f>
        <v>3.4554608228138167E-3</v>
      </c>
      <c r="AP26" s="28">
        <v>1</v>
      </c>
      <c r="AQ26" s="79">
        <f>((($W$25)^Q26)*((1-($W$25))^($U$34-Q26))*HLOOKUP($U$34,$AV$24:$BF$34,Q26+1))*V34</f>
        <v>5.1011504095331019E-4</v>
      </c>
      <c r="AR26" s="28">
        <v>1</v>
      </c>
      <c r="AS26" s="79">
        <f>((($W$25)^Q26)*((1-($W$25))^($U$35-Q26))*HLOOKUP($U$35,$AV$24:$BF$34,Q26+1))*V35</f>
        <v>3.4227277360863554E-5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1.7328274476019746E-2</v>
      </c>
      <c r="BP26">
        <f>BP20+1</f>
        <v>7</v>
      </c>
      <c r="BQ26">
        <v>2</v>
      </c>
      <c r="BR26" s="107">
        <f t="shared" si="14"/>
        <v>1.5219301157268056E-3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0.25392608577972164</v>
      </c>
      <c r="I27" s="93">
        <v>2</v>
      </c>
      <c r="J27" s="86">
        <f t="shared" si="15"/>
        <v>0.30138752866922119</v>
      </c>
      <c r="K27" s="93">
        <v>2</v>
      </c>
      <c r="L27" s="86">
        <f>U20</f>
        <v>0.11945107724756034</v>
      </c>
      <c r="M27" s="85">
        <v>2</v>
      </c>
      <c r="N27" s="71">
        <f>(($B$24)^M27)*((1-($B$24))^($B$21-M27))*HLOOKUP($B$21,$AV$24:$BF$34,M27+1)</f>
        <v>0.3125</v>
      </c>
      <c r="O27" s="72">
        <v>2</v>
      </c>
      <c r="P27" s="71">
        <f t="shared" si="16"/>
        <v>0.3125</v>
      </c>
      <c r="Q27" s="28">
        <v>2</v>
      </c>
      <c r="R27" s="37">
        <f>P25*N27+P26*N26+P27*N25</f>
        <v>4.39453125E-2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4.3774414062499996E-2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7.532393579113123E-3</v>
      </c>
      <c r="AD27" s="28">
        <v>2</v>
      </c>
      <c r="AE27" s="79">
        <f>((($W$25)^M27)*((1-($W$25))^($U$28-M27))*HLOOKUP($U$28,$AV$24:$BF$34,M27+1))*V28</f>
        <v>3.5289683644157216E-2</v>
      </c>
      <c r="AF27" s="28">
        <v>2</v>
      </c>
      <c r="AG27" s="79">
        <f>((($W$25)^M27)*((1-($W$25))^($U$29-M27))*HLOOKUP($U$29,$AV$24:$BF$34,M27+1))*V29</f>
        <v>7.234946575570457E-2</v>
      </c>
      <c r="AH27" s="28">
        <v>2</v>
      </c>
      <c r="AI27" s="79">
        <f>((($W$25)^M27)*((1-($W$25))^($U$30-M27))*HLOOKUP($U$30,$AV$24:$BF$34,M27+1))*V30</f>
        <v>8.4786507085997651E-2</v>
      </c>
      <c r="AJ27" s="28">
        <v>2</v>
      </c>
      <c r="AK27" s="79">
        <f>((($W$25)^M27)*((1-($W$25))^($U$31-M27))*HLOOKUP($U$31,$AV$24:$BF$34,M27+1))*V31</f>
        <v>6.2133347309649041E-2</v>
      </c>
      <c r="AL27" s="28">
        <v>2</v>
      </c>
      <c r="AM27" s="79">
        <f>((($W$25)^Q27)*((1-($W$25))^($U$32-Q27))*HLOOKUP($U$32,$AV$24:$BF$34,Q27+1))*V32</f>
        <v>2.916742381406549E-2</v>
      </c>
      <c r="AN27" s="28">
        <v>2</v>
      </c>
      <c r="AO27" s="79">
        <f>((($W$25)^Q27)*((1-($W$25))^($U$33-Q27))*HLOOKUP($U$33,$AV$24:$BF$34,Q27+1))*V33</f>
        <v>8.573111968564983E-3</v>
      </c>
      <c r="AP27" s="28">
        <v>2</v>
      </c>
      <c r="AQ27" s="79">
        <f>((($W$25)^Q27)*((1-($W$25))^($U$34-Q27))*HLOOKUP($U$34,$AV$24:$BF$34,Q27+1))*V34</f>
        <v>1.4464139392079739E-3</v>
      </c>
      <c r="AR27" s="28">
        <v>2</v>
      </c>
      <c r="AS27" s="79">
        <f>((($W$25)^Q27)*((1-($W$25))^($U$35-Q27))*HLOOKUP($U$35,$AV$24:$BF$34,Q27+1))*V35</f>
        <v>1.0918157276110299E-4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5.9656095148077392E-3</v>
      </c>
      <c r="BP27">
        <f>BP21+1</f>
        <v>7</v>
      </c>
      <c r="BQ27">
        <v>3</v>
      </c>
      <c r="BR27" s="107">
        <f t="shared" si="14"/>
        <v>2.0614490084179889E-3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0.25045534381676698</v>
      </c>
      <c r="I28" s="93">
        <v>3</v>
      </c>
      <c r="J28" s="86">
        <f t="shared" si="15"/>
        <v>0.21057014510170277</v>
      </c>
      <c r="K28" s="93">
        <v>3</v>
      </c>
      <c r="L28" s="86">
        <f>V20</f>
        <v>1.6094810461209794E-2</v>
      </c>
      <c r="M28" s="85">
        <v>3</v>
      </c>
      <c r="N28" s="71">
        <f>(($B$24)^M28)*((1-($B$24))^($B$21-M28))*HLOOKUP($B$21,$AV$24:$BF$34,M28+1)</f>
        <v>0.3125</v>
      </c>
      <c r="O28" s="72">
        <v>3</v>
      </c>
      <c r="P28" s="71">
        <f t="shared" si="16"/>
        <v>0.3125</v>
      </c>
      <c r="Q28" s="28">
        <v>3</v>
      </c>
      <c r="R28" s="37">
        <f>P25*N28+P26*N27+P27*N26+P28*N25</f>
        <v>0.1171875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0.1168212890625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8.338558664100203E-3</v>
      </c>
      <c r="AF28" s="28">
        <v>3</v>
      </c>
      <c r="AG28" s="79">
        <f>((($W$25)^M28)*((1-($W$25))^($U$29-M28))*HLOOKUP($U$29,$AV$24:$BF$34,M28+1))*V29</f>
        <v>3.4190743708757264E-2</v>
      </c>
      <c r="AH28" s="28">
        <v>3</v>
      </c>
      <c r="AI28" s="79">
        <f>((($W$25)^M28)*((1-($W$25))^($U$30-M28))*HLOOKUP($U$30,$AV$24:$BF$34,M28+1))*V30</f>
        <v>6.0102318036318859E-2</v>
      </c>
      <c r="AJ28" s="28">
        <v>3</v>
      </c>
      <c r="AK28" s="79">
        <f>((($W$25)^M28)*((1-($W$25))^($U$31-M28))*HLOOKUP($U$31,$AV$24:$BF$34,M28+1))*V31</f>
        <v>5.8725668018188799E-2</v>
      </c>
      <c r="AL28" s="28">
        <v>3</v>
      </c>
      <c r="AM28" s="79">
        <f>((($W$25)^Q28)*((1-($W$25))^($U$32-Q28))*HLOOKUP($U$32,$AV$24:$BF$34,Q28+1))*V32</f>
        <v>3.4459684734879509E-2</v>
      </c>
      <c r="AN28" s="28">
        <v>3</v>
      </c>
      <c r="AO28" s="79">
        <f>((($W$25)^Q28)*((1-($W$25))^($U$33-Q28))*HLOOKUP($U$33,$AV$24:$BF$34,Q28+1))*V33</f>
        <v>1.2154384460561394E-2</v>
      </c>
      <c r="AP28" s="28">
        <v>3</v>
      </c>
      <c r="AQ28" s="79">
        <f>((($W$25)^Q28)*((1-($W$25))^($U$34-Q28))*HLOOKUP($U$34,$AV$24:$BF$34,Q28+1))*V34</f>
        <v>2.3924003752463208E-3</v>
      </c>
      <c r="AR28" s="28">
        <v>3</v>
      </c>
      <c r="AS28" s="79">
        <f>((($W$25)^Q28)*((1-($W$25))^($U$35-Q28))*HLOOKUP($U$35,$AV$24:$BF$34,Q28+1))*V35</f>
        <v>2.063871036504271E-4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1.5053902547104096E-3</v>
      </c>
      <c r="BP28">
        <f>BP22+1</f>
        <v>7</v>
      </c>
      <c r="BQ28">
        <v>4</v>
      </c>
      <c r="BR28" s="107">
        <f t="shared" si="14"/>
        <v>1.8761847340244377E-3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0.16918412165769878</v>
      </c>
      <c r="I29" s="93">
        <v>4</v>
      </c>
      <c r="J29" s="86">
        <f t="shared" si="15"/>
        <v>9.6579904200544464E-2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0.15625</v>
      </c>
      <c r="O29" s="72">
        <v>4</v>
      </c>
      <c r="P29" s="71">
        <f t="shared" si="16"/>
        <v>0.15625</v>
      </c>
      <c r="Q29" s="28">
        <v>4</v>
      </c>
      <c r="R29" s="37">
        <f>P25*N29+P26*N28+P27*N27+P28*N26+P29*N25</f>
        <v>0.205078125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0.20463867187499998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6.0591685602689703E-3</v>
      </c>
      <c r="AH29" s="28">
        <v>4</v>
      </c>
      <c r="AI29" s="79">
        <f>((($W$25)^M29)*((1-($W$25))^($U$30-M29))*HLOOKUP($U$30,$AV$24:$BF$34,M29+1))*V30</f>
        <v>2.1302261158576388E-2</v>
      </c>
      <c r="AJ29" s="28">
        <v>4</v>
      </c>
      <c r="AK29" s="79">
        <f>((($W$25)^M29)*((1-($W$25))^($U$31-M29))*HLOOKUP($U$31,$AV$24:$BF$34,M29+1))*V31</f>
        <v>3.1221495885051274E-2</v>
      </c>
      <c r="AL29" s="28">
        <v>4</v>
      </c>
      <c r="AM29" s="79">
        <f>((($W$25)^Q29)*((1-($W$25))^($U$32-Q29))*HLOOKUP($U$32,$AV$24:$BF$34,Q29+1))*V32</f>
        <v>2.4427317536106521E-2</v>
      </c>
      <c r="AN29" s="28">
        <v>4</v>
      </c>
      <c r="AO29" s="79">
        <f>((($W$25)^Q29)*((1-($W$25))^($U$33-Q29))*HLOOKUP($U$33,$AV$24:$BF$34,Q29+1))*V33</f>
        <v>1.0769795594412959E-2</v>
      </c>
      <c r="AP29" s="28">
        <v>4</v>
      </c>
      <c r="AQ29" s="79">
        <f>((($W$25)^Q29)*((1-($W$25))^($U$34-Q29))*HLOOKUP($U$34,$AV$24:$BF$34,Q29+1))*V34</f>
        <v>2.5438388695046758E-3</v>
      </c>
      <c r="AR29" s="28">
        <v>4</v>
      </c>
      <c r="AS29" s="79">
        <f>((($W$25)^Q29)*((1-($W$25))^($U$35-Q29))*HLOOKUP($U$35,$AV$24:$BF$34,Q29+1))*V35</f>
        <v>2.560265966236761E-4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2.7460057936633242E-4</v>
      </c>
      <c r="BP29">
        <f>BP23+1</f>
        <v>7</v>
      </c>
      <c r="BQ29">
        <v>5</v>
      </c>
      <c r="BR29" s="107">
        <f t="shared" si="14"/>
        <v>1.2093575241021316E-3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8.2740684471239612E-2</v>
      </c>
      <c r="I30" s="93">
        <v>5</v>
      </c>
      <c r="J30" s="86">
        <f t="shared" si="15"/>
        <v>3.0390773310037221E-2</v>
      </c>
      <c r="K30" s="93">
        <v>5</v>
      </c>
      <c r="L30" s="86"/>
      <c r="M30" s="85">
        <v>5</v>
      </c>
      <c r="N30" s="71">
        <f>(($B$24)^M30)*((1-($B$24))^($B$21-M30))*HLOOKUP($B$21,$AV$24:$BF$34,M30+1)</f>
        <v>3.125E-2</v>
      </c>
      <c r="O30" s="72">
        <v>5</v>
      </c>
      <c r="P30" s="71">
        <f t="shared" si="16"/>
        <v>3.125E-2</v>
      </c>
      <c r="Q30" s="28">
        <v>5</v>
      </c>
      <c r="R30" s="37">
        <f>P25*N30+P26*N29+P27*N28+P28*N27+P29*N26+P30*N25</f>
        <v>0.24609375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0.24588867187500002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3.0200920383401946E-3</v>
      </c>
      <c r="AJ30" s="28">
        <v>5</v>
      </c>
      <c r="AK30" s="79">
        <f>((($W$25)^M30)*((1-($W$25))^($U$31-M30))*HLOOKUP($U$31,$AV$24:$BF$34,M30+1))*V31</f>
        <v>8.8527495222780316E-3</v>
      </c>
      <c r="AL30" s="28">
        <v>5</v>
      </c>
      <c r="AM30" s="79">
        <f>((($W$25)^Q30)*((1-($W$25))^($U$32-Q30))*HLOOKUP($U$32,$AV$24:$BF$34,Q30+1))*V32</f>
        <v>1.0389424858651948E-2</v>
      </c>
      <c r="AN30" s="28">
        <v>5</v>
      </c>
      <c r="AO30" s="79">
        <f>((($W$25)^Q30)*((1-($W$25))^($U$33-Q30))*HLOOKUP($U$33,$AV$24:$BF$34,Q30+1))*V33</f>
        <v>6.1074782037667122E-3</v>
      </c>
      <c r="AP30" s="28">
        <v>5</v>
      </c>
      <c r="AQ30" s="79">
        <f>((($W$25)^Q30)*((1-($W$25))^($U$34-Q30))*HLOOKUP($U$34,$AV$24:$BF$34,Q30+1))*V34</f>
        <v>1.8032422613311007E-3</v>
      </c>
      <c r="AR30" s="28">
        <v>5</v>
      </c>
      <c r="AS30" s="79">
        <f>((($W$25)^Q30)*((1-($W$25))^($U$35-Q30))*HLOOKUP($U$35,$AV$24:$BF$34,Q30+1))*V35</f>
        <v>2.1778642566923858E-4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3.5204302028198252E-5</v>
      </c>
      <c r="BP30">
        <f>BL10+1</f>
        <v>7</v>
      </c>
      <c r="BQ30">
        <v>6</v>
      </c>
      <c r="BR30" s="107">
        <f t="shared" si="14"/>
        <v>5.6680353767857771E-4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3.0165294160438536E-2</v>
      </c>
      <c r="I31" s="93">
        <v>6</v>
      </c>
      <c r="J31" s="86">
        <f t="shared" si="15"/>
        <v>6.6463250157770635E-3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0.205078125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0.20528320312499998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1.0459029893049548E-3</v>
      </c>
      <c r="AL31" s="28">
        <v>6</v>
      </c>
      <c r="AM31" s="79">
        <f>((($W$25)^Q31)*((1-($W$25))^($U$32-Q31))*HLOOKUP($U$32,$AV$24:$BF$34,Q31+1))*V32</f>
        <v>2.4549052222652525E-3</v>
      </c>
      <c r="AN31" s="28">
        <v>6</v>
      </c>
      <c r="AO31" s="79">
        <f>((($W$25)^Q31)*((1-($W$25))^($U$33-Q31))*HLOOKUP($U$33,$AV$24:$BF$34,Q31+1))*V33</f>
        <v>2.1646934755217319E-3</v>
      </c>
      <c r="AP31" s="28">
        <v>6</v>
      </c>
      <c r="AQ31" s="79">
        <f>((($W$25)^Q31)*((1-($W$25))^($U$34-Q31))*HLOOKUP($U$34,$AV$24:$BF$34,Q31+1))*V34</f>
        <v>8.5217207007655437E-4</v>
      </c>
      <c r="AR31" s="28">
        <v>6</v>
      </c>
      <c r="AS31" s="79">
        <f>((($W$25)^Q31)*((1-($W$25))^($U$35-Q31))*HLOOKUP($U$35,$AV$24:$BF$34,Q31+1))*V35</f>
        <v>1.2865125860857046E-4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5.6574581289902018E-2</v>
      </c>
      <c r="BP31">
        <f t="shared" ref="BP31:BP37" si="21">BP24+1</f>
        <v>8</v>
      </c>
      <c r="BQ31">
        <v>0</v>
      </c>
      <c r="BR31" s="107">
        <f t="shared" ref="BR31:BR38" si="22">$H$33*H39</f>
        <v>2.8650513609076901E-5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8.3058589548542089E-3</v>
      </c>
      <c r="I32" s="93">
        <v>7</v>
      </c>
      <c r="J32" s="86">
        <f t="shared" si="15"/>
        <v>9.9802468910969284E-4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0.1171875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0.117626953125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2.486000249139256E-4</v>
      </c>
      <c r="AN32" s="28">
        <v>7</v>
      </c>
      <c r="AO32" s="79">
        <f>((($W$25)^Q32)*((1-($W$25))^($U$33-Q32))*HLOOKUP($U$33,$AV$24:$BF$34,Q32+1))*V33</f>
        <v>4.3842250777335174E-4</v>
      </c>
      <c r="AP32" s="28">
        <v>7</v>
      </c>
      <c r="AQ32" s="79">
        <f>((($W$25)^Q32)*((1-($W$25))^($U$34-Q32))*HLOOKUP($U$34,$AV$24:$BF$34,Q32+1))*V34</f>
        <v>2.588898291435863E-4</v>
      </c>
      <c r="AR32" s="28">
        <v>7</v>
      </c>
      <c r="AS32" s="79">
        <f>((($W$25)^Q32)*((1-($W$25))^($U$35-Q32))*HLOOKUP($U$35,$AV$24:$BF$34,Q32+1))*V35</f>
        <v>5.21123272788293E-5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3.6467035636257084E-2</v>
      </c>
      <c r="BP32">
        <f t="shared" si="21"/>
        <v>8</v>
      </c>
      <c r="BQ32">
        <v>1</v>
      </c>
      <c r="BR32" s="107">
        <f t="shared" si="22"/>
        <v>1.4100609638232852E-4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1.7279043580330185E-3</v>
      </c>
      <c r="I33" s="93">
        <v>8</v>
      </c>
      <c r="J33" s="86">
        <f t="shared" si="15"/>
        <v>9.8580222244177469E-5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4.39453125E-2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4.43115234375E-2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3.8847880845220822E-5</v>
      </c>
      <c r="AP33" s="28">
        <v>8</v>
      </c>
      <c r="AQ33" s="79">
        <f>((($W$25)^Q33)*((1-($W$25))^($U$34-Q33))*HLOOKUP($U$34,$AV$24:$BF$34,Q33+1))*V34</f>
        <v>4.5879584447835335E-5</v>
      </c>
      <c r="AR33" s="28">
        <v>8</v>
      </c>
      <c r="AS33" s="79">
        <f>((($W$25)^Q33)*((1-($W$25))^($U$35-Q33))*HLOOKUP($U$35,$AV$24:$BF$34,Q33+1))*V35</f>
        <v>1.3852756951121308E-5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1.7091426145983694E-2</v>
      </c>
      <c r="BP33">
        <f t="shared" si="21"/>
        <v>8</v>
      </c>
      <c r="BQ33">
        <v>2</v>
      </c>
      <c r="BR33" s="107">
        <f t="shared" si="22"/>
        <v>3.1661381368017748E-4</v>
      </c>
    </row>
    <row r="34" spans="1:70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2.6829640626167806E-4</v>
      </c>
      <c r="I34" s="93">
        <v>9</v>
      </c>
      <c r="J34" s="86">
        <f t="shared" si="15"/>
        <v>5.7957793518625885E-6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9.765625E-3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9.936523437499999E-3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3.6136113720981158E-6</v>
      </c>
      <c r="AR34" s="28">
        <v>9</v>
      </c>
      <c r="AS34" s="79">
        <f>((($W$25)^Q34)*((1-($W$25))^($U$35-Q34))*HLOOKUP($U$35,$AV$24:$BF$34,Q34+1))*V35</f>
        <v>2.1821679797644727E-6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5.8840696792525765E-3</v>
      </c>
      <c r="BP34">
        <f t="shared" si="21"/>
        <v>8</v>
      </c>
      <c r="BQ34">
        <v>3</v>
      </c>
      <c r="BR34" s="107">
        <f t="shared" si="22"/>
        <v>4.2885230111288475E-4</v>
      </c>
    </row>
    <row r="35" spans="1:70" x14ac:dyDescent="0.25">
      <c r="G35" s="88">
        <v>10</v>
      </c>
      <c r="H35" s="127">
        <f>J35*L25+J34*L26+J33*L27+J32*L28</f>
        <v>3.0227836015330314E-5</v>
      </c>
      <c r="I35" s="94">
        <v>10</v>
      </c>
      <c r="J35" s="89">
        <f t="shared" si="15"/>
        <v>1.5468658685921441E-7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9.765625E-4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1.5468658685921441E-7</v>
      </c>
      <c r="BH35">
        <f t="shared" si="19"/>
        <v>3</v>
      </c>
      <c r="BI35">
        <v>8</v>
      </c>
      <c r="BJ35" s="107">
        <f t="shared" si="20"/>
        <v>1.4848141051131644E-3</v>
      </c>
      <c r="BP35">
        <f t="shared" si="21"/>
        <v>8</v>
      </c>
      <c r="BQ35">
        <v>4</v>
      </c>
      <c r="BR35" s="107">
        <f t="shared" si="22"/>
        <v>3.903109595307051E-4</v>
      </c>
    </row>
    <row r="36" spans="1:70" x14ac:dyDescent="0.25">
      <c r="A36" s="1"/>
      <c r="B36" s="108">
        <f>SUM(B37:B39)</f>
        <v>0.99995480785719026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2.7084725189337178E-4</v>
      </c>
      <c r="BP36">
        <f t="shared" si="21"/>
        <v>8</v>
      </c>
      <c r="BQ36">
        <v>5</v>
      </c>
      <c r="BR36" s="107">
        <f t="shared" si="22"/>
        <v>2.5158796310823867E-4</v>
      </c>
    </row>
    <row r="37" spans="1:70" x14ac:dyDescent="0.25">
      <c r="A37" s="109" t="s">
        <v>124</v>
      </c>
      <c r="B37" s="107">
        <f>SUM(BN4:BN14)</f>
        <v>0.174849493678958</v>
      </c>
      <c r="G37" s="13"/>
      <c r="H37" s="59">
        <f>SUM(H39:H49)</f>
        <v>0.99998748613586885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0.99892492675781253</v>
      </c>
      <c r="W37" s="13"/>
      <c r="X37" s="13"/>
      <c r="Y37" s="80">
        <f>SUM(Y39:Y49)</f>
        <v>9.6682128906250004E-4</v>
      </c>
      <c r="Z37" s="81"/>
      <c r="AA37" s="80">
        <f>SUM(AA39:AA49)</f>
        <v>9.6779296874999997E-3</v>
      </c>
      <c r="AB37" s="81"/>
      <c r="AC37" s="80">
        <f>SUM(AC39:AC49)</f>
        <v>4.3604150390624999E-2</v>
      </c>
      <c r="AD37" s="81"/>
      <c r="AE37" s="80">
        <f>SUM(AE39:AE49)</f>
        <v>0.1164560546875</v>
      </c>
      <c r="AF37" s="81"/>
      <c r="AG37" s="80">
        <f>SUM(AG39:AG49)</f>
        <v>0.20419958496093749</v>
      </c>
      <c r="AH37" s="81"/>
      <c r="AI37" s="80">
        <f>SUM(AI39:AI49)</f>
        <v>0.24568242187499997</v>
      </c>
      <c r="AJ37" s="81"/>
      <c r="AK37" s="80">
        <f>SUM(AK39:AK49)</f>
        <v>0.20548623046874995</v>
      </c>
      <c r="AL37" s="81"/>
      <c r="AM37" s="80">
        <f>SUM(AM39:AM49)</f>
        <v>0.11806523437499999</v>
      </c>
      <c r="AN37" s="81"/>
      <c r="AO37" s="80">
        <f>SUM(AO39:AO49)</f>
        <v>4.4678100585937491E-2</v>
      </c>
      <c r="AP37" s="81"/>
      <c r="AQ37" s="80">
        <f>SUM(AQ39:AQ49)</f>
        <v>1.0108398437499997E-2</v>
      </c>
      <c r="AR37" s="81"/>
      <c r="AS37" s="80">
        <f>SUM(AS39:AS49)</f>
        <v>1.0750732421874742E-3</v>
      </c>
      <c r="BH37">
        <f t="shared" si="19"/>
        <v>3</v>
      </c>
      <c r="BI37">
        <v>10</v>
      </c>
      <c r="BJ37" s="107">
        <f t="shared" si="20"/>
        <v>3.4723118506030346E-5</v>
      </c>
      <c r="BP37">
        <f t="shared" si="21"/>
        <v>8</v>
      </c>
      <c r="BQ37">
        <v>6</v>
      </c>
      <c r="BR37" s="107">
        <f t="shared" si="22"/>
        <v>1.1791463209605365E-4</v>
      </c>
    </row>
    <row r="38" spans="1:70" x14ac:dyDescent="0.25">
      <c r="A38" s="110" t="s">
        <v>125</v>
      </c>
      <c r="B38" s="107">
        <f>SUM(BJ4:BJ59)</f>
        <v>0.53824289584910767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2.463370635083699E-2</v>
      </c>
      <c r="BP38">
        <f>BL11+1</f>
        <v>8</v>
      </c>
      <c r="BQ38">
        <v>7</v>
      </c>
      <c r="BR38" s="107">
        <f t="shared" si="22"/>
        <v>4.0594500747361671E-5</v>
      </c>
    </row>
    <row r="39" spans="1:70" x14ac:dyDescent="0.25">
      <c r="A39" s="111" t="s">
        <v>126</v>
      </c>
      <c r="B39" s="107">
        <f>SUM(BR4:BR47)</f>
        <v>0.28686241832912457</v>
      </c>
      <c r="G39" s="128">
        <v>0</v>
      </c>
      <c r="H39" s="129">
        <f>L39*J39</f>
        <v>1.6581076073962548E-2</v>
      </c>
      <c r="I39" s="97">
        <v>0</v>
      </c>
      <c r="J39" s="98">
        <f t="shared" ref="J39:J49" si="26">Y39+AA39+AC39+AE39+AG39+AI39+AK39+AM39+AO39+AQ39+AS39</f>
        <v>2.3323118088328848E-2</v>
      </c>
      <c r="K39" s="102">
        <v>0</v>
      </c>
      <c r="L39" s="98">
        <f>AC20</f>
        <v>0.7109287879590982</v>
      </c>
      <c r="M39" s="84">
        <v>0</v>
      </c>
      <c r="N39" s="71">
        <f>(1-$C$24)^$B$21</f>
        <v>3.125E-2</v>
      </c>
      <c r="O39" s="70">
        <v>0</v>
      </c>
      <c r="P39" s="71">
        <f t="shared" ref="P39:P44" si="27">N39</f>
        <v>3.125E-2</v>
      </c>
      <c r="Q39" s="12">
        <v>0</v>
      </c>
      <c r="R39" s="73">
        <f>P39*N39</f>
        <v>9.765625E-4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9.6682128906250004E-4</v>
      </c>
      <c r="W39" s="134">
        <f>C31</f>
        <v>0.62570229526274812</v>
      </c>
      <c r="X39" s="12">
        <v>0</v>
      </c>
      <c r="Y39" s="79">
        <f>V39</f>
        <v>9.6682128906250004E-4</v>
      </c>
      <c r="Z39" s="12">
        <v>0</v>
      </c>
      <c r="AA39" s="78">
        <f>((1-W39)^Z40)*V40</f>
        <v>3.6224268686397593E-3</v>
      </c>
      <c r="AB39" s="12">
        <v>0</v>
      </c>
      <c r="AC39" s="79">
        <f>(((1-$W$39)^AB41))*V41</f>
        <v>6.1088879138696036E-3</v>
      </c>
      <c r="AD39" s="12">
        <v>0</v>
      </c>
      <c r="AE39" s="79">
        <f>(((1-$W$39)^AB42))*V42</f>
        <v>6.1067981419812376E-3</v>
      </c>
      <c r="AF39" s="12">
        <v>0</v>
      </c>
      <c r="AG39" s="79">
        <f>(((1-$W$39)^AB43))*V43</f>
        <v>4.0079612207107327E-3</v>
      </c>
      <c r="AH39" s="12">
        <v>0</v>
      </c>
      <c r="AI39" s="79">
        <f>(((1-$W$39)^AB44))*V44</f>
        <v>1.8049280919529276E-3</v>
      </c>
      <c r="AJ39" s="12">
        <v>0</v>
      </c>
      <c r="AK39" s="79">
        <f>(((1-$W$39)^AB45))*V45</f>
        <v>5.6504847743059925E-4</v>
      </c>
      <c r="AL39" s="12">
        <v>0</v>
      </c>
      <c r="AM39" s="79">
        <f>(((1-$W$39)^AB46))*V46</f>
        <v>1.2151843877274348E-4</v>
      </c>
      <c r="AN39" s="12">
        <v>0</v>
      </c>
      <c r="AO39" s="79">
        <f>(((1-$W$39)^AB47))*V47</f>
        <v>1.7212026780078332E-5</v>
      </c>
      <c r="AP39" s="12">
        <v>0</v>
      </c>
      <c r="AQ39" s="79">
        <f>(((1-$W$39)^AB48))*V48</f>
        <v>1.457594857744724E-6</v>
      </c>
      <c r="AR39" s="12">
        <v>0</v>
      </c>
      <c r="AS39" s="79">
        <f>(((1-$W$39)^AB49))*V49</f>
        <v>5.8024270917612163E-8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1.1545363242483541E-2</v>
      </c>
      <c r="BP39">
        <f t="shared" ref="BP39:BP46" si="28">BP31+1</f>
        <v>9</v>
      </c>
      <c r="BQ39">
        <v>0</v>
      </c>
      <c r="BR39" s="107">
        <f t="shared" ref="BR39:BR47" si="29">$H$34*H39</f>
        <v>4.4486431225956458E-6</v>
      </c>
    </row>
    <row r="40" spans="1:70" x14ac:dyDescent="0.25">
      <c r="G40" s="91">
        <v>1</v>
      </c>
      <c r="H40" s="130">
        <f>L39*J40+L40*J39</f>
        <v>8.1605266938989937E-2</v>
      </c>
      <c r="I40" s="93">
        <v>1</v>
      </c>
      <c r="J40" s="86">
        <f t="shared" si="26"/>
        <v>0.10633392973518861</v>
      </c>
      <c r="K40" s="95">
        <v>1</v>
      </c>
      <c r="L40" s="86">
        <f>AD20</f>
        <v>0.25765916592565569</v>
      </c>
      <c r="M40" s="85">
        <v>1</v>
      </c>
      <c r="N40" s="71">
        <f>(($C$24)^M26)*((1-($C$24))^($B$21-M26))*HLOOKUP($B$21,$AV$24:$BF$34,M26+1)</f>
        <v>0.15625</v>
      </c>
      <c r="O40" s="72">
        <v>1</v>
      </c>
      <c r="P40" s="71">
        <f t="shared" si="27"/>
        <v>0.15625</v>
      </c>
      <c r="Q40" s="28">
        <v>1</v>
      </c>
      <c r="R40" s="37">
        <f>P40*N39+P39*N40</f>
        <v>9.765625E-3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9.6779296874999997E-3</v>
      </c>
      <c r="W40" s="135"/>
      <c r="X40" s="28">
        <v>1</v>
      </c>
      <c r="Y40" s="73"/>
      <c r="Z40" s="28">
        <v>1</v>
      </c>
      <c r="AA40" s="79">
        <f>(1-((1-W39)^Z40))*V40</f>
        <v>6.0555028188602408E-3</v>
      </c>
      <c r="AB40" s="28">
        <v>1</v>
      </c>
      <c r="AC40" s="79">
        <f>((($W$39)^M40)*((1-($W$39))^($U$27-M40))*HLOOKUP($U$27,$AV$24:$BF$34,M40+1))*V41</f>
        <v>2.0424090988718557E-2</v>
      </c>
      <c r="AD40" s="28">
        <v>1</v>
      </c>
      <c r="AE40" s="79">
        <f>((($W$39)^M40)*((1-($W$39))^($U$28-M40))*HLOOKUP($U$28,$AV$24:$BF$34,M40+1))*V42</f>
        <v>3.0625656255302641E-2</v>
      </c>
      <c r="AF40" s="28">
        <v>1</v>
      </c>
      <c r="AG40" s="79">
        <f>((($W$39)^M40)*((1-($W$39))^($U$29-M40))*HLOOKUP($U$29,$AV$24:$BF$34,M40+1))*V43</f>
        <v>2.6799956327631783E-2</v>
      </c>
      <c r="AH40" s="28">
        <v>1</v>
      </c>
      <c r="AI40" s="79">
        <f>((($W$39)^M40)*((1-($W$39))^($U$30-M40))*HLOOKUP($U$30,$AV$24:$BF$34,M40+1))*V44</f>
        <v>1.5086221951480233E-2</v>
      </c>
      <c r="AJ40" s="28">
        <v>1</v>
      </c>
      <c r="AK40" s="79">
        <f>((($W$39)^M40)*((1-($W$39))^($U$31-M40))*HLOOKUP($U$31,$AV$24:$BF$34,M40+1))*V45</f>
        <v>5.6674479932154378E-3</v>
      </c>
      <c r="AL40" s="28">
        <v>1</v>
      </c>
      <c r="AM40" s="79">
        <f>((($W$39)^Q40)*((1-($W$39))^($U$32-Q40))*HLOOKUP($U$32,$AV$24:$BF$34,Q40+1))*V46</f>
        <v>1.4219712161248209E-3</v>
      </c>
      <c r="AN40" s="28">
        <v>1</v>
      </c>
      <c r="AO40" s="79">
        <f>((($W$39)^Q40)*((1-($W$39))^($U$33-Q40))*HLOOKUP($U$33,$AV$24:$BF$34,Q40+1))*V47</f>
        <v>2.3018264928937056E-4</v>
      </c>
      <c r="AP40" s="28">
        <v>1</v>
      </c>
      <c r="AQ40" s="79">
        <f>((($W$39)^Q40)*((1-($W$39))^($U$34-Q40))*HLOOKUP($U$34,$AV$24:$BF$34,Q40+1))*V48</f>
        <v>2.1929560156529481E-5</v>
      </c>
      <c r="AR40" s="28">
        <v>1</v>
      </c>
      <c r="AS40" s="79">
        <f>((($W$39)^Q40)*((1-($W$39))^($U$35-Q40))*HLOOKUP($U$35,$AV$24:$BF$34,Q40+1))*V49</f>
        <v>9.6997440899573101E-7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3.9747251756997665E-3</v>
      </c>
      <c r="BP40">
        <f t="shared" si="28"/>
        <v>9</v>
      </c>
      <c r="BQ40">
        <v>1</v>
      </c>
      <c r="BR40" s="107">
        <f t="shared" si="29"/>
        <v>2.1894399851755931E-5</v>
      </c>
    </row>
    <row r="41" spans="1:70" x14ac:dyDescent="0.25">
      <c r="G41" s="91">
        <v>2</v>
      </c>
      <c r="H41" s="130">
        <f>L39*J41+J40*L40+J39*L41</f>
        <v>0.18323572841762997</v>
      </c>
      <c r="I41" s="93">
        <v>2</v>
      </c>
      <c r="J41" s="86">
        <f t="shared" si="26"/>
        <v>0.2182237249625526</v>
      </c>
      <c r="K41" s="95">
        <v>2</v>
      </c>
      <c r="L41" s="86">
        <f>AE20</f>
        <v>2.9854004866755851E-2</v>
      </c>
      <c r="M41" s="85">
        <v>2</v>
      </c>
      <c r="N41" s="71">
        <f>(($C$24)^M27)*((1-($C$24))^($B$21-M27))*HLOOKUP($B$21,$AV$24:$BF$34,M27+1)</f>
        <v>0.3125</v>
      </c>
      <c r="O41" s="72">
        <v>2</v>
      </c>
      <c r="P41" s="71">
        <f t="shared" si="27"/>
        <v>0.3125</v>
      </c>
      <c r="Q41" s="28">
        <v>2</v>
      </c>
      <c r="R41" s="37">
        <f>P41*N39+P40*N40+P39*N41</f>
        <v>4.39453125E-2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4.3604150390624999E-2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1.707117148803684E-2</v>
      </c>
      <c r="AD41" s="28">
        <v>2</v>
      </c>
      <c r="AE41" s="79">
        <f>((($W$39)^M41)*((1-($W$39))^($U$28-M41))*HLOOKUP($U$28,$AV$24:$BF$34,M41+1))*V42</f>
        <v>5.1195994980312409E-2</v>
      </c>
      <c r="AF41" s="28">
        <v>2</v>
      </c>
      <c r="AG41" s="79">
        <f>((($W$39)^M41)*((1-($W$39))^($U$29-M41))*HLOOKUP($U$29,$AV$24:$BF$34,M41+1))*V43</f>
        <v>6.7201029988596561E-2</v>
      </c>
      <c r="AH41" s="28">
        <v>2</v>
      </c>
      <c r="AI41" s="79">
        <f>((($W$39)^M41)*((1-($W$39))^($U$30-M41))*HLOOKUP($U$30,$AV$24:$BF$34,M41+1))*V44</f>
        <v>5.0438373425296487E-2</v>
      </c>
      <c r="AJ41" s="28">
        <v>2</v>
      </c>
      <c r="AK41" s="79">
        <f>((($W$39)^M41)*((1-($W$39))^($U$31-M41))*HLOOKUP($U$31,$AV$24:$BF$34,M41+1))*V45</f>
        <v>2.3685258904582771E-2</v>
      </c>
      <c r="AL41" s="28">
        <v>2</v>
      </c>
      <c r="AM41" s="79">
        <f>((($W$39)^Q41)*((1-($W$39))^($U$32-Q41))*HLOOKUP($U$32,$AV$24:$BF$34,Q41+1))*V46</f>
        <v>7.1312004519351645E-3</v>
      </c>
      <c r="AN41" s="28">
        <v>2</v>
      </c>
      <c r="AO41" s="79">
        <f>((($W$39)^Q41)*((1-($W$39))^($U$33-Q41))*HLOOKUP($U$33,$AV$24:$BF$34,Q41+1))*V47</f>
        <v>1.3467631128513788E-3</v>
      </c>
      <c r="AP41" s="28">
        <v>2</v>
      </c>
      <c r="AQ41" s="79">
        <f>((($W$39)^Q41)*((1-($W$39))^($U$34-Q41))*HLOOKUP($U$34,$AV$24:$BF$34,Q41+1))*V48</f>
        <v>1.4663596330279489E-4</v>
      </c>
      <c r="AR41" s="28">
        <v>2</v>
      </c>
      <c r="AS41" s="79">
        <f>((($W$39)^Q41)*((1-($W$39))^($U$35-Q41))*HLOOKUP($U$35,$AV$24:$BF$34,Q41+1))*V49</f>
        <v>7.2966476381777041E-6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1.0030010395079279E-3</v>
      </c>
      <c r="BP41">
        <f t="shared" si="28"/>
        <v>9</v>
      </c>
      <c r="BQ41">
        <v>2</v>
      </c>
      <c r="BR41" s="107">
        <f t="shared" si="29"/>
        <v>4.9161487433190957E-5</v>
      </c>
    </row>
    <row r="42" spans="1:70" ht="15" customHeight="1" x14ac:dyDescent="0.25">
      <c r="G42" s="91">
        <v>3</v>
      </c>
      <c r="H42" s="130">
        <f>J42*L39+J41*L40+L42*J39+L41*J40</f>
        <v>0.2481921520245913</v>
      </c>
      <c r="I42" s="93">
        <v>3</v>
      </c>
      <c r="J42" s="86">
        <f t="shared" si="26"/>
        <v>0.26550335311582463</v>
      </c>
      <c r="K42" s="95">
        <v>3</v>
      </c>
      <c r="L42" s="86">
        <f>AF20</f>
        <v>1.5580412484902662E-3</v>
      </c>
      <c r="M42" s="85">
        <v>3</v>
      </c>
      <c r="N42" s="71">
        <f>(($C$24)^M28)*((1-($C$24))^($B$21-M28))*HLOOKUP($B$21,$AV$24:$BF$34,M28+1)</f>
        <v>0.3125</v>
      </c>
      <c r="O42" s="72">
        <v>3</v>
      </c>
      <c r="P42" s="71">
        <f t="shared" si="27"/>
        <v>0.3125</v>
      </c>
      <c r="Q42" s="28">
        <v>3</v>
      </c>
      <c r="R42" s="37">
        <f>P42*N39+P41*N40+P40*N41+P39*N42</f>
        <v>0.1171875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0.1164560546875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2.8527605309903718E-2</v>
      </c>
      <c r="AF42" s="28">
        <v>3</v>
      </c>
      <c r="AG42" s="79">
        <f>((($W$39)^M42)*((1-($W$39))^($U$29-M42))*HLOOKUP($U$29,$AV$24:$BF$34,M42+1))*V43</f>
        <v>7.4891969993782032E-2</v>
      </c>
      <c r="AH42" s="28">
        <v>3</v>
      </c>
      <c r="AI42" s="79">
        <f>((($W$39)^M42)*((1-($W$39))^($U$30-M42))*HLOOKUP($U$30,$AV$24:$BF$34,M42+1))*V44</f>
        <v>8.4316322601234117E-2</v>
      </c>
      <c r="AJ42" s="28">
        <v>3</v>
      </c>
      <c r="AK42" s="79">
        <f>((($W$39)^M42)*((1-($W$39))^($U$31-M42))*HLOOKUP($U$31,$AV$24:$BF$34,M42+1))*V45</f>
        <v>5.2791919989261367E-2</v>
      </c>
      <c r="AL42" s="28">
        <v>3</v>
      </c>
      <c r="AM42" s="79">
        <f>((($W$39)^Q42)*((1-($W$39))^($U$32-Q42))*HLOOKUP($U$32,$AV$24:$BF$34,Q42+1))*V46</f>
        <v>1.9868358057778292E-2</v>
      </c>
      <c r="AN42" s="28">
        <v>3</v>
      </c>
      <c r="AO42" s="79">
        <f>((($W$39)^Q42)*((1-($W$39))^($U$33-Q42))*HLOOKUP($U$33,$AV$24:$BF$34,Q42+1))*V47</f>
        <v>4.5026873540560319E-3</v>
      </c>
      <c r="AP42" s="28">
        <v>3</v>
      </c>
      <c r="AQ42" s="79">
        <f>((($W$39)^Q42)*((1-($W$39))^($U$34-Q42))*HLOOKUP($U$34,$AV$24:$BF$34,Q42+1))*V48</f>
        <v>5.7196290859545123E-4</v>
      </c>
      <c r="AR42" s="28">
        <v>3</v>
      </c>
      <c r="AS42" s="79">
        <f>((($W$39)^Q42)*((1-($W$39))^($U$35-Q42))*HLOOKUP($U$35,$AV$24:$BF$34,Q42+1))*V49</f>
        <v>3.2526901213647166E-5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1.8295898069759582E-4</v>
      </c>
      <c r="BP42">
        <f t="shared" si="28"/>
        <v>9</v>
      </c>
      <c r="BQ42">
        <v>3</v>
      </c>
      <c r="BR42" s="107">
        <f t="shared" si="29"/>
        <v>6.6589062450549908E-5</v>
      </c>
    </row>
    <row r="43" spans="1:70" ht="15" customHeight="1" x14ac:dyDescent="0.25">
      <c r="G43" s="91">
        <v>4</v>
      </c>
      <c r="H43" s="130">
        <f>J43*L39+J42*L40+J41*L41+J40*L42</f>
        <v>0.22588690034616293</v>
      </c>
      <c r="I43" s="93">
        <v>4</v>
      </c>
      <c r="J43" s="86">
        <f t="shared" si="26"/>
        <v>0.21211266949684329</v>
      </c>
      <c r="K43" s="95">
        <v>4</v>
      </c>
      <c r="L43" s="86"/>
      <c r="M43" s="85">
        <v>4</v>
      </c>
      <c r="N43" s="71">
        <f>(($C$24)^M29)*((1-($C$24))^($B$21-M29))*HLOOKUP($B$21,$AV$24:$BF$34,M29+1)</f>
        <v>0.15625</v>
      </c>
      <c r="O43" s="72">
        <v>4</v>
      </c>
      <c r="P43" s="71">
        <f t="shared" si="27"/>
        <v>0.15625</v>
      </c>
      <c r="Q43" s="28">
        <v>4</v>
      </c>
      <c r="R43" s="37">
        <f>P43*N39+P42*N40+P41*N41+P40*N42+P39*N43</f>
        <v>0.205078125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0.20419958496093749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3.1298667430216372E-2</v>
      </c>
      <c r="AH43" s="28">
        <v>4</v>
      </c>
      <c r="AI43" s="79">
        <f>((($W$39)^M43)*((1-($W$39))^($U$30-M43))*HLOOKUP($U$30,$AV$24:$BF$34,M43+1))*V44</f>
        <v>7.0474539266465214E-2</v>
      </c>
      <c r="AJ43" s="28">
        <v>4</v>
      </c>
      <c r="AK43" s="79">
        <f>((($W$39)^M43)*((1-($W$39))^($U$31-M43))*HLOOKUP($U$31,$AV$24:$BF$34,M43+1))*V45</f>
        <v>6.6188007080745834E-2</v>
      </c>
      <c r="AL43" s="28">
        <v>4</v>
      </c>
      <c r="AM43" s="79">
        <f>((($W$39)^Q43)*((1-($W$39))^($U$32-Q43))*HLOOKUP($U$32,$AV$24:$BF$34,Q43+1))*V46</f>
        <v>3.3213340831413155E-2</v>
      </c>
      <c r="AN43" s="28">
        <v>4</v>
      </c>
      <c r="AO43" s="79">
        <f>((($W$39)^Q43)*((1-($W$39))^($U$33-Q43))*HLOOKUP($U$33,$AV$24:$BF$34,Q43+1))*V47</f>
        <v>9.4087599811128811E-3</v>
      </c>
      <c r="AP43" s="28">
        <v>4</v>
      </c>
      <c r="AQ43" s="79">
        <f>((($W$39)^Q43)*((1-($W$39))^($U$34-Q43))*HLOOKUP($U$34,$AV$24:$BF$34,Q43+1))*V48</f>
        <v>1.434199970440188E-3</v>
      </c>
      <c r="AR43" s="28">
        <v>4</v>
      </c>
      <c r="AS43" s="79">
        <f>((($W$39)^Q43)*((1-($W$39))^($U$35-Q43))*HLOOKUP($U$35,$AV$24:$BF$34,Q43+1))*V49</f>
        <v>9.5154936449685812E-5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2.3455679627889212E-5</v>
      </c>
      <c r="BP43">
        <f t="shared" si="28"/>
        <v>9</v>
      </c>
      <c r="BQ43">
        <v>4</v>
      </c>
      <c r="BR43" s="107">
        <f t="shared" si="29"/>
        <v>6.0604643584465314E-5</v>
      </c>
    </row>
    <row r="44" spans="1:70" ht="15" customHeight="1" x14ac:dyDescent="0.25">
      <c r="G44" s="91">
        <v>5</v>
      </c>
      <c r="H44" s="130">
        <f>J44*L39+J43*L40+J42*L41+J41*L42</f>
        <v>0.14560294494229817</v>
      </c>
      <c r="I44" s="93">
        <v>5</v>
      </c>
      <c r="J44" s="86">
        <f t="shared" si="26"/>
        <v>0.11630395741026539</v>
      </c>
      <c r="K44" s="95">
        <v>5</v>
      </c>
      <c r="L44" s="86"/>
      <c r="M44" s="85">
        <v>5</v>
      </c>
      <c r="N44" s="71">
        <f>(($C$24)^M30)*((1-($C$24))^($B$21-M30))*HLOOKUP($B$21,$AV$24:$BF$34,M30+1)</f>
        <v>3.125E-2</v>
      </c>
      <c r="O44" s="72">
        <v>5</v>
      </c>
      <c r="P44" s="71">
        <f t="shared" si="27"/>
        <v>3.125E-2</v>
      </c>
      <c r="Q44" s="28">
        <v>5</v>
      </c>
      <c r="R44" s="37">
        <f>P44*N39+P43*N40+P42*N41+P41*N42+P40*N43+P39*N44</f>
        <v>0.24609375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0.245682421875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2.3562036538571005E-2</v>
      </c>
      <c r="AJ44" s="28">
        <v>5</v>
      </c>
      <c r="AK44" s="79">
        <f>((($W$39)^M44)*((1-($W$39))^($U$31-M44))*HLOOKUP($U$31,$AV$24:$BF$34,M44+1))*V45</f>
        <v>4.4257805939110779E-2</v>
      </c>
      <c r="AL44" s="28">
        <v>5</v>
      </c>
      <c r="AM44" s="79">
        <f>((($W$39)^Q44)*((1-($W$39))^($U$32-Q44))*HLOOKUP($U$32,$AV$24:$BF$34,Q44+1))*V46</f>
        <v>3.3313050005712538E-2</v>
      </c>
      <c r="AN44" s="28">
        <v>5</v>
      </c>
      <c r="AO44" s="79">
        <f>((($W$39)^Q44)*((1-($W$39))^($U$33-Q44))*HLOOKUP($U$33,$AV$24:$BF$34,Q44+1))*V47</f>
        <v>1.2582674467408156E-2</v>
      </c>
      <c r="AP44" s="28">
        <v>5</v>
      </c>
      <c r="AQ44" s="79">
        <f>((($W$39)^Q44)*((1-($W$39))^($U$34-Q44))*HLOOKUP($U$34,$AV$24:$BF$34,Q44+1))*V48</f>
        <v>2.3975092607103538E-3</v>
      </c>
      <c r="AR44" s="28">
        <v>5</v>
      </c>
      <c r="AS44" s="79">
        <f>((($W$39)^Q44)*((1-($W$39))^($U$35-Q44))*HLOOKUP($U$35,$AV$24:$BF$34,Q44+1))*V49</f>
        <v>1.9088119875256221E-4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5.6463410856305296E-3</v>
      </c>
      <c r="BP44">
        <f t="shared" si="28"/>
        <v>9</v>
      </c>
      <c r="BQ44">
        <v>5</v>
      </c>
      <c r="BR44" s="107">
        <f t="shared" si="29"/>
        <v>3.9064746869135572E-5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6.8241411365084603E-2</v>
      </c>
      <c r="I45" s="93">
        <v>6</v>
      </c>
      <c r="J45" s="86">
        <f t="shared" si="26"/>
        <v>4.4348398033208211E-2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0.205078125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0.20548623046875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1.2330742084403186E-2</v>
      </c>
      <c r="AL45" s="28">
        <v>6</v>
      </c>
      <c r="AM45" s="79">
        <f>((($W$39)^Q45)*((1-($W$39))^($U$32-Q45))*HLOOKUP($U$32,$AV$24:$BF$34,Q45+1))*V46</f>
        <v>1.8562810286185668E-2</v>
      </c>
      <c r="AN45" s="28">
        <v>6</v>
      </c>
      <c r="AO45" s="79">
        <f>((($W$39)^Q45)*((1-($W$39))^($U$33-Q45))*HLOOKUP($U$33,$AV$24:$BF$34,Q45+1))*V47</f>
        <v>1.0517040573796634E-2</v>
      </c>
      <c r="AP45" s="28">
        <v>6</v>
      </c>
      <c r="AQ45" s="79">
        <f>((($W$39)^Q45)*((1-($W$39))^($U$34-Q45))*HLOOKUP($U$34,$AV$24:$BF$34,Q45+1))*V48</f>
        <v>2.6718964224715486E-3</v>
      </c>
      <c r="AR45" s="28">
        <v>6</v>
      </c>
      <c r="AS45" s="79">
        <f>((($W$39)^Q45)*((1-($W$39))^($U$35-Q45))*HLOOKUP($U$35,$AV$24:$BF$34,Q45+1))*V49</f>
        <v>2.6590866635116774E-4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1.9438672991302041E-3</v>
      </c>
      <c r="BP45">
        <f t="shared" si="28"/>
        <v>9</v>
      </c>
      <c r="BQ45">
        <v>6</v>
      </c>
      <c r="BR45" s="107">
        <f t="shared" si="29"/>
        <v>1.8308925427477032E-5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2.3493488258559014E-2</v>
      </c>
      <c r="I46" s="93">
        <v>7</v>
      </c>
      <c r="J46" s="86">
        <f t="shared" si="26"/>
        <v>1.16243679426111E-2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0.1171875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0.11806523437500001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4.4329850870776146E-3</v>
      </c>
      <c r="AN46" s="28">
        <v>7</v>
      </c>
      <c r="AO46" s="79">
        <f>((($W$39)^Q46)*((1-($W$39))^($U$33-Q46))*HLOOKUP($U$33,$AV$24:$BF$34,Q46+1))*V47</f>
        <v>5.023149329767853E-3</v>
      </c>
      <c r="AP46" s="28">
        <v>7</v>
      </c>
      <c r="AQ46" s="79">
        <f>((($W$39)^Q46)*((1-($W$39))^($U$34-Q46))*HLOOKUP($U$34,$AV$24:$BF$34,Q46+1))*V48</f>
        <v>1.9142269105417175E-3</v>
      </c>
      <c r="AR46" s="28">
        <v>7</v>
      </c>
      <c r="AS46" s="79">
        <f>((($W$39)^Q46)*((1-($W$39))^($U$35-Q46))*HLOOKUP($U$35,$AV$24:$BF$34,Q46+1))*V49</f>
        <v>2.5400661522391498E-4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4.9052471190031647E-4</v>
      </c>
      <c r="BP46">
        <f t="shared" si="28"/>
        <v>9</v>
      </c>
      <c r="BQ46">
        <v>7</v>
      </c>
      <c r="BR46" s="107">
        <f t="shared" si="29"/>
        <v>6.3032184703223125E-6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5.9284584728184269E-3</v>
      </c>
      <c r="I47" s="93">
        <v>8</v>
      </c>
      <c r="J47" s="86">
        <f t="shared" si="26"/>
        <v>2.0088508086556975E-3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4.39453125E-2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4.4678100585937498E-2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1.0496310908751059E-3</v>
      </c>
      <c r="AP47" s="28">
        <v>8</v>
      </c>
      <c r="AQ47" s="79">
        <f>((($W$39)^Q47)*((1-($W$39))^($U$34-Q47))*HLOOKUP($U$34,$AV$24:$BF$34,Q47+1))*V48</f>
        <v>7.9998899032820297E-4</v>
      </c>
      <c r="AR47" s="28">
        <v>8</v>
      </c>
      <c r="AS47" s="79">
        <f>((($W$39)^Q47)*((1-($W$39))^($U$35-Q47))*HLOOKUP($U$35,$AV$24:$BF$34,Q47+1))*V49</f>
        <v>1.5923072745238864E-4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8.9477376155355816E-5</v>
      </c>
      <c r="BP47">
        <f>BL12+1</f>
        <v>9</v>
      </c>
      <c r="BQ47">
        <v>8</v>
      </c>
      <c r="BR47" s="107">
        <f t="shared" si="29"/>
        <v>1.5905841029287801E-6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1.0814193371394922E-3</v>
      </c>
      <c r="I48" s="93">
        <v>9</v>
      </c>
      <c r="J48" s="86">
        <f t="shared" si="26"/>
        <v>2.0774224541432964E-4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9.765625E-3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1.0108398437499999E-2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1.4859085609546572E-4</v>
      </c>
      <c r="AR48" s="28">
        <v>9</v>
      </c>
      <c r="AS48" s="79">
        <f>((($W$39)^Q48)*((1-($W$39))^($U$35-Q48))*HLOOKUP($U$35,$AV$24:$BF$34,Q48+1))*V49</f>
        <v>5.9151389318863927E-5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1.1471165072312508E-5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1.3863995863244092E-4</v>
      </c>
      <c r="I49" s="94">
        <v>10</v>
      </c>
      <c r="J49" s="89">
        <f t="shared" si="26"/>
        <v>9.8881611071525321E-6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9.765625E-4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1.0750732421874742E-3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9.8881611071525321E-6</v>
      </c>
      <c r="BH49">
        <f>BP14+1</f>
        <v>6</v>
      </c>
      <c r="BI49">
        <v>0</v>
      </c>
      <c r="BJ49" s="107">
        <f>$H$31*H39</f>
        <v>5.0017303726768961E-4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7.0868798417424151E-4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1.7883369375051205E-4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3.2621332415599236E-5</v>
      </c>
    </row>
    <row r="53" spans="1:62" x14ac:dyDescent="0.25">
      <c r="BH53">
        <f>BH48+1</f>
        <v>6</v>
      </c>
      <c r="BI53">
        <v>10</v>
      </c>
      <c r="BJ53" s="107">
        <f>$H$31*H49</f>
        <v>4.1821151345386107E-6</v>
      </c>
    </row>
    <row r="54" spans="1:62" x14ac:dyDescent="0.25">
      <c r="BH54">
        <f>BH51+1</f>
        <v>7</v>
      </c>
      <c r="BI54">
        <v>8</v>
      </c>
      <c r="BJ54" s="107">
        <f>$H$32*H47</f>
        <v>4.9240939894940241E-5</v>
      </c>
    </row>
    <row r="55" spans="1:62" x14ac:dyDescent="0.25">
      <c r="BH55">
        <f>BH52+1</f>
        <v>7</v>
      </c>
      <c r="BI55">
        <v>9</v>
      </c>
      <c r="BJ55" s="107">
        <f>$H$32*H48</f>
        <v>8.9821164853325539E-6</v>
      </c>
    </row>
    <row r="56" spans="1:62" x14ac:dyDescent="0.25">
      <c r="BH56">
        <f>BH53+1</f>
        <v>7</v>
      </c>
      <c r="BI56">
        <v>10</v>
      </c>
      <c r="BJ56" s="107">
        <f>$H$32*H49</f>
        <v>1.1515239419078766E-6</v>
      </c>
    </row>
    <row r="57" spans="1:62" x14ac:dyDescent="0.25">
      <c r="BH57">
        <f>BH55+1</f>
        <v>8</v>
      </c>
      <c r="BI57">
        <v>9</v>
      </c>
      <c r="BJ57" s="107">
        <f>$H$33*H48</f>
        <v>1.8685891855045068E-6</v>
      </c>
    </row>
    <row r="58" spans="1:62" x14ac:dyDescent="0.25">
      <c r="BH58">
        <f>BH56+1</f>
        <v>8</v>
      </c>
      <c r="BI58">
        <v>10</v>
      </c>
      <c r="BJ58" s="107">
        <f>$H$33*H49</f>
        <v>2.3955658871851208E-7</v>
      </c>
    </row>
    <row r="59" spans="1:62" x14ac:dyDescent="0.25">
      <c r="BH59">
        <f>BH58+1</f>
        <v>9</v>
      </c>
      <c r="BI59">
        <v>10</v>
      </c>
      <c r="BJ59" s="107">
        <f>$H$34*H49</f>
        <v>3.7196602665351611E-8</v>
      </c>
    </row>
  </sheetData>
  <mergeCells count="2">
    <mergeCell ref="P1:Q1"/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workbookViewId="0">
      <selection activeCell="Z14" sqref="Z14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0</v>
      </c>
      <c r="H1" s="13"/>
      <c r="J1" s="195" t="s">
        <v>1</v>
      </c>
      <c r="K1" s="192">
        <f>IF(D3="SI",COUNTIF($J$6:$J$18,"RAP"),0)</f>
        <v>0</v>
      </c>
      <c r="L1" s="13"/>
      <c r="P1" s="294"/>
      <c r="Q1" s="294"/>
      <c r="R1" s="150">
        <v>0</v>
      </c>
      <c r="S1" s="151">
        <f>1+R1</f>
        <v>1</v>
      </c>
      <c r="AI1" s="156" t="s">
        <v>147</v>
      </c>
    </row>
    <row r="2" spans="1:70" x14ac:dyDescent="0.25">
      <c r="A2" s="153" t="s">
        <v>146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190" t="s">
        <v>148</v>
      </c>
      <c r="R2" s="150">
        <v>0</v>
      </c>
      <c r="S2" s="151">
        <f>1+R2</f>
        <v>1</v>
      </c>
      <c r="Y2" t="s">
        <v>3</v>
      </c>
      <c r="Z2" s="191" t="s">
        <v>148</v>
      </c>
      <c r="AI2" s="13">
        <f>IF(B17="JC",IF(C17="JC",4,3),IF(C17="JC",3,2))</f>
        <v>2</v>
      </c>
    </row>
    <row r="3" spans="1:70" x14ac:dyDescent="0.25">
      <c r="A3" s="157" t="s">
        <v>4</v>
      </c>
      <c r="B3" s="293" t="s">
        <v>5</v>
      </c>
      <c r="C3" s="293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190" t="s">
        <v>149</v>
      </c>
      <c r="Q3" t="s">
        <v>8</v>
      </c>
      <c r="R3" s="190" t="s">
        <v>150</v>
      </c>
      <c r="Y3" t="s">
        <v>7</v>
      </c>
      <c r="Z3" s="191" t="s">
        <v>149</v>
      </c>
      <c r="AA3" t="s">
        <v>8</v>
      </c>
      <c r="AB3" s="191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90</v>
      </c>
      <c r="AI4" s="153" t="s">
        <v>18</v>
      </c>
      <c r="AK4" s="9" t="s">
        <v>15</v>
      </c>
      <c r="AM4" s="13" t="s">
        <v>151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COUNTIF(F5:F10,"IMP")*AI5*AG5</f>
        <v>0</v>
      </c>
      <c r="P5" s="188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COUNTIF(J5:J10,"IMP")*AI5*AK5</f>
        <v>0</v>
      </c>
      <c r="Z5" s="189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193">
        <f>IF(COUNTIF(F5:F10,"IMP")+COUNTIF(J5:J10,"IMP")=0,0,COUNTIF(F5:F10,"IMP")/(COUNTIF(F5:F10,"IMP")+COUNTIF(J5:J10,"IMP")))</f>
        <v>0</v>
      </c>
      <c r="AI5" s="153">
        <f>IF(AN5=0,(AM5*2*$AI$2/2)+SUM($AN$5:$AN$19),0)</f>
        <v>0</v>
      </c>
      <c r="AK5" s="19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COUNTIF(F11:F18,"IMP")*AI6*AG6</f>
        <v>0</v>
      </c>
      <c r="P6" s="188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COUNTIF(J11:J18,"IMP")*AI6*AK6</f>
        <v>0</v>
      </c>
      <c r="Z6" s="189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193">
        <f>IF(COUNTIF(F11:F18,"IMP")+COUNTIF(J11:J18,"IMP")=0,0,COUNTIF(F11:F18,"IMP")/(COUNTIF(F11:F18,"IMP")+COUNTIF(J11:J18,"IMP")))</f>
        <v>0</v>
      </c>
      <c r="AI6" s="153">
        <f>IF(AN6=0,(AM6*2*$AI$2/2)+SUM($AN$5:$AN$19),0)</f>
        <v>0</v>
      </c>
      <c r="AK6" s="193">
        <f>IF(COUNTIF(F11:F18,"IMP")+COUNTIF(J11:J18,"IMP")=0,0,COUNTIF(J11:J18,"IMP")/(COUNTIF(F11:F18,"IMP")+COUNTIF(J11:J18,"IMP")))</f>
        <v>0</v>
      </c>
      <c r="AM6" s="13">
        <v>0.05</v>
      </c>
      <c r="AN6">
        <f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152</v>
      </c>
      <c r="X7" s="15" t="s">
        <v>153</v>
      </c>
      <c r="Y7" s="69"/>
      <c r="Z7" s="189">
        <f>C30</f>
        <v>0.15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153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COUNTIF(F6:F18,"IMP")*AI8*AG8</f>
        <v>0</v>
      </c>
      <c r="P8" s="188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COUNTIF(J6:J18,"IMP")*AI8*AK8</f>
        <v>0</v>
      </c>
      <c r="Z8" s="189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193">
        <f>IF(COUNTIF(F6:F18,"IMP")+COUNTIF(J6:J18,"IMP")=0,0,COUNTIF(F6:F18,"IMP")/(COUNTIF(F6:F18,"IMP")+COUNTIF(J6:J18,"IMP")))</f>
        <v>0</v>
      </c>
      <c r="AI8" s="153">
        <f>IF(AN8=0,(AM8*2*$AI$2/2)+SUM($AN$5:$AN$19),0)</f>
        <v>0</v>
      </c>
      <c r="AK8" s="193">
        <f>IF(COUNTIF(F6:F18,"IMP")+COUNTIF(J6:J18,"IMP")=0,0,COUNTIF(J6:J18,"IMP")/(COUNTIF(F6:F18,"IMP")+COUNTIF(J6:J18,"IMP")))</f>
        <v>0</v>
      </c>
      <c r="AM8" s="13">
        <v>0.05</v>
      </c>
      <c r="AN8">
        <f>IF(AK8+AG8=0,AM8*2/10,0)</f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COUNTIF(J6:J13,"IMP")*AI9*AG9</f>
        <v>0</v>
      </c>
      <c r="P9" s="188" t="str">
        <f>Z3</f>
        <v>0,6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COUNTIF(F6:F13,"IMP")*AI9*AK9</f>
        <v>0</v>
      </c>
      <c r="Z9" s="189" t="str">
        <f>P3</f>
        <v>0,6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193">
        <f>IF(COUNTIF(J6:J13,"IMP")+COUNTIF(F6:F13,"IMP")=0,0,COUNTIF(J6:J13,"IMP")/(COUNTIF(J6:J13,"IMP")+COUNTIF(F6:F13,"IMP")))</f>
        <v>0</v>
      </c>
      <c r="AI9" s="153">
        <f>IF(AN9=0,(AM9*2*$AI$2/2)+SUM($AN$5:$AN$19),0)</f>
        <v>0</v>
      </c>
      <c r="AK9" s="193">
        <f>IF(COUNTIF(J6:J13,"IMP")+COUNTIF(F6:F13,"IMP")=0,0,COUNTIF(F6:F13,"IMP")/(COUNTIF(J6:J13,"IMP")+COUNTIF(F6:F13,"IMP")))</f>
        <v>0</v>
      </c>
      <c r="AM9" s="13">
        <v>2.5000000000000001E-2</v>
      </c>
      <c r="AN9">
        <f>IF(AK9+AG9=0,AM9*2/10,0)</f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COUNTIF(F11:F18,"RAP")*AI10*AG10</f>
        <v>0</v>
      </c>
      <c r="P10" s="188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COUNTIF(J11:J18,"RAP")*AI10*AK10</f>
        <v>0</v>
      </c>
      <c r="Z10" s="189" t="str">
        <f>AB3</f>
        <v>0,72</v>
      </c>
      <c r="AA10" s="19">
        <f t="shared" si="4"/>
        <v>0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193">
        <f>IF(COUNTIF(F11:F18,"RAP")+COUNTIF(J11:J18,"RAP")=0,0,COUNTIF(F11:F18,"RAP")/(COUNTIF(F11:F18,"RAP")+COUNTIF(J11:J18,"RAP")))</f>
        <v>0</v>
      </c>
      <c r="AI10" s="153">
        <f>IF(AN10=0,(AM10*2*$AI$2/2)+SUM($AN$5:$AN$19),0)</f>
        <v>0</v>
      </c>
      <c r="AK10" s="193">
        <f>IF(COUNTIF(F11:F18,"RAP")+COUNTIF(J11:J18,"RAP")=0,0,COUNTIF(J11:J18,"RAP")/(COUNTIF(F11:F18,"RAP")+COUNTIF(J11:J18,"RAP")))</f>
        <v>0</v>
      </c>
      <c r="AM10" s="13">
        <v>0.05</v>
      </c>
      <c r="AN10">
        <f>IF(AK10+AG10=0,AM10*2/10,0)</f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COUNTIF(F11:F18,"RAP")*AI11*AG11</f>
        <v>0</v>
      </c>
      <c r="P11" s="188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COUNTIF(J11:J18,"RAP")*AI11*AK11</f>
        <v>0</v>
      </c>
      <c r="Z11" s="189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193">
        <f>IF(COUNTIF(F11:F18,"RAP")+COUNTIF(J11:J18,"RAP")=0,0,COUNTIF(F11:F18,"RAP")/(COUNTIF(F11:F18,"RAP")+COUNTIF(J11:J18,"RAP")))</f>
        <v>0</v>
      </c>
      <c r="AI11" s="153">
        <f>IF(AN11=0,(AM11*2*$AI$2/2)+SUM($AN$5:$AN$19),0)</f>
        <v>0</v>
      </c>
      <c r="AK11" s="193">
        <f>IF(COUNTIF(F11:F18,"RAP")+COUNTIF(J11:J18,"RAP")=0,0,COUNTIF(J11:J18,"RAP")/(COUNTIF(F11:F18,"RAP")+COUNTIF(J11:J18,"RAP")))</f>
        <v>0</v>
      </c>
      <c r="AM11" s="13">
        <v>0.05</v>
      </c>
      <c r="AN11">
        <f>IF(AK11+AG11=0,AM11*2/10,0)</f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153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3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 t="e">
        <f>AI13*B22/0.5</f>
        <v>#DIV/0!</v>
      </c>
      <c r="P13" s="188" t="str">
        <f>P2</f>
        <v>0,4</v>
      </c>
      <c r="Q13" s="16" t="e">
        <f t="shared" si="1"/>
        <v>#DIV/0!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 t="e">
        <f>AI13*C22/0.5</f>
        <v>#DIV/0!</v>
      </c>
      <c r="Z13" s="189" t="str">
        <f>Z2</f>
        <v>0,4</v>
      </c>
      <c r="AA13" s="19" t="e">
        <f t="shared" si="4"/>
        <v>#DIV/0!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153">
        <f>(AM13*$AI$2/2)+SUM($AN$5:$AN$19)</f>
        <v>0.32800000000000001</v>
      </c>
      <c r="AK13" s="13"/>
      <c r="AM13" s="13">
        <v>0.22000000000000003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3</v>
      </c>
      <c r="C14" s="164">
        <v>10.75</v>
      </c>
      <c r="E14" s="187" t="s">
        <v>64</v>
      </c>
      <c r="F14" s="162"/>
      <c r="G14" s="162"/>
      <c r="H14" s="10"/>
      <c r="I14" s="10"/>
      <c r="J14" s="161"/>
      <c r="K14" s="161"/>
      <c r="L14" s="10"/>
      <c r="M14" s="10"/>
      <c r="O14" s="67">
        <f>IF(COUNTIF(F6:F18,"CAB")&gt;0,AI14*B22/0.5,0)</f>
        <v>0</v>
      </c>
      <c r="P14" s="188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IF(COUNTIF(J6:J18,"CAB")&gt;0,AI14*C22/0.5,0)</f>
        <v>0</v>
      </c>
      <c r="Z14" s="189">
        <f>IF(COUNTIF(J6:J18,"CAB")-COUNTIF(F6:F18,"CAB")&gt;3,0.8,IF(COUNTIF(J6:J18,"CAB")-COUNTIF(F6:F18,"CAB")&gt;0,0.6,IF(COUNTIF(J6:J18,"CAB")-COUNTIF(F6:F18,"CAB")=0,0.4,0.15)))</f>
        <v>0.4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153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88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153"/>
      <c r="AK15" s="13"/>
      <c r="AM15" s="13">
        <v>0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/>
      <c r="P16" s="188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AG16" s="13"/>
      <c r="AI16" s="153"/>
      <c r="AK16" s="13"/>
      <c r="AM16" s="13">
        <v>0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(AI17*2)*IF(COUNTBLANK(F14:F15)&lt;&gt;0,(2-COUNTBLANK(F14:F15))/2,1)*AG17</f>
        <v>0</v>
      </c>
      <c r="P17" s="188" t="str">
        <f>IF(COUNTIF(F14:F18,"CAB")&gt;0,0.95,P3)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(AI17*2)*IF(COUNTBLANK(J14:J15)&lt;&gt;0,(2-COUNTBLANK(J14:J15))/2,1)*AK17</f>
        <v>0</v>
      </c>
      <c r="Z17" s="189" t="str">
        <f>IF(COUNTIF(J14:J18,"CAB")&gt;0,0.95,Z3)</f>
        <v>0,6</v>
      </c>
      <c r="AA17" s="19">
        <f t="shared" si="4"/>
        <v>0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AG17" s="19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153">
        <f>IF(AN17=0,(AM17*2*$AI$2/2)+SUM($AN$5:$AN$19),0)</f>
        <v>0</v>
      </c>
      <c r="AK17" s="19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>IF(AK17+AG17=0,AM17*2/10,0)</f>
        <v>1.6E-2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/>
      <c r="P18" s="188"/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/>
      <c r="Z18" s="189"/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AG18" s="193"/>
      <c r="AI18" s="153"/>
      <c r="AK18" s="193"/>
      <c r="AM18" s="13">
        <v>0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81</v>
      </c>
      <c r="L19" s="13" t="s">
        <v>81</v>
      </c>
      <c r="O19" s="67">
        <f>COUNTIF(F11:F18,"TEC")*AG19*AI19</f>
        <v>0</v>
      </c>
      <c r="P19" s="188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COUNTIF(J11:J18,"TEC")*AI19*AK19</f>
        <v>0</v>
      </c>
      <c r="Z19" s="189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I19" s="153">
        <f>IF(AN19=0,(AM19*2*$AI$2/2)+SUM($AN$5:$AN$19),0)</f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>IF(AK19+AG19=0,AM19*2/10,0)</f>
        <v>1.2E-2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1.555707217202411E-2</v>
      </c>
      <c r="C29" s="118">
        <f>1/(1+EXP(-3.1416*4*((C14/(C14+B13))-(3.1416/6))))</f>
        <v>0.96248844203767769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R59"/>
  <sheetViews>
    <sheetView zoomScale="80" workbookViewId="0">
      <selection activeCell="G8" sqref="G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2</v>
      </c>
      <c r="H1" s="70">
        <f>G1+G2+G3</f>
        <v>4</v>
      </c>
      <c r="J1" s="11" t="s">
        <v>1</v>
      </c>
      <c r="K1" s="70">
        <f>IF(D3="SI",COUNTIF($J$6:$J$18,"RAP"),0)</f>
        <v>3</v>
      </c>
      <c r="L1" s="70">
        <f>K1+K2+K3</f>
        <v>3</v>
      </c>
      <c r="M1" s="148">
        <f>L1+H1</f>
        <v>7</v>
      </c>
      <c r="P1" s="294"/>
      <c r="Q1" s="294"/>
      <c r="R1" s="150">
        <v>0</v>
      </c>
      <c r="S1" s="151">
        <f>1+R1</f>
        <v>1</v>
      </c>
      <c r="U1" s="156" t="s">
        <v>154</v>
      </c>
      <c r="V1">
        <f>IF(B17="JC",IF(C17="JC",2,1.5),IF(C17="JC",1.5,1))</f>
        <v>1</v>
      </c>
      <c r="AE1" s="156" t="s">
        <v>154</v>
      </c>
    </row>
    <row r="2" spans="1:70" x14ac:dyDescent="0.25">
      <c r="A2" s="153" t="s">
        <v>146</v>
      </c>
      <c r="B2" t="s">
        <v>0</v>
      </c>
      <c r="F2" s="10" t="s">
        <v>2</v>
      </c>
      <c r="G2" s="70">
        <f>IF(D3="SI",COUNTIF($F$6:$F$18,"TEC"),0)</f>
        <v>2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58" t="str">
        <f>IF(M1&lt;&gt;0,"SI","NO")</f>
        <v>SI</v>
      </c>
      <c r="O2" t="s">
        <v>3</v>
      </c>
      <c r="P2" s="190" t="s">
        <v>148</v>
      </c>
      <c r="R2" s="150">
        <v>0</v>
      </c>
      <c r="S2" s="151">
        <f>1+R2</f>
        <v>1</v>
      </c>
      <c r="U2">
        <f>IF(B17="JC",IF(C17="JC",3,2.25),IF(C17="JC",1.75,1))</f>
        <v>1</v>
      </c>
      <c r="Y2" t="s">
        <v>3</v>
      </c>
      <c r="Z2" s="191" t="s">
        <v>148</v>
      </c>
      <c r="AE2">
        <f>IF(B17="JC",IF(C17="JC",3,1.75),IF(C17="JC",2.25,1))</f>
        <v>1</v>
      </c>
    </row>
    <row r="3" spans="1:70" x14ac:dyDescent="0.25">
      <c r="A3" s="157" t="s">
        <v>4</v>
      </c>
      <c r="B3" s="295" t="s">
        <v>5</v>
      </c>
      <c r="C3" s="295"/>
      <c r="D3" t="str">
        <f>IF(B3="Sol","SI",IF(B3="Lluvia","SI","NO"))</f>
        <v>SI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90" t="s">
        <v>149</v>
      </c>
      <c r="Q3" t="s">
        <v>8</v>
      </c>
      <c r="R3" s="190" t="s">
        <v>150</v>
      </c>
      <c r="Y3" t="s">
        <v>7</v>
      </c>
      <c r="Z3" s="191" t="s">
        <v>149</v>
      </c>
      <c r="AA3" t="s">
        <v>8</v>
      </c>
      <c r="AB3" s="191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I4" s="153" t="s">
        <v>18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3" t="s">
        <v>30</v>
      </c>
      <c r="B5" s="154">
        <v>352</v>
      </c>
      <c r="C5" s="154">
        <v>352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>COUNTIF(F5:F10,"IMP")*AI5</f>
        <v>0.04</v>
      </c>
      <c r="P5" s="188" t="str">
        <f>P3</f>
        <v>0,6</v>
      </c>
      <c r="Q5" s="16">
        <f t="shared" ref="Q5:Q19" si="1">P5*O5</f>
        <v>2.4E-2</v>
      </c>
      <c r="R5" s="155">
        <f t="shared" ref="R5:R19" si="2">IF($M$2="SI",Q5*$B$22/0.5*$S$1,Q5*$B$22/0.5*$S$2)</f>
        <v>2.2736842105263156E-2</v>
      </c>
      <c r="S5" s="171">
        <f t="shared" ref="S5:S19" si="3">(1-R5)</f>
        <v>0.97726315789473683</v>
      </c>
      <c r="T5" s="172">
        <f>R5*PRODUCT(S6:S19)</f>
        <v>1.5462580558822462E-2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1" t="s">
        <v>33</v>
      </c>
      <c r="X5" s="15" t="s">
        <v>34</v>
      </c>
      <c r="Y5" s="69">
        <f>COUNTIF(J5:J10,"IMP")*AI5</f>
        <v>0.2</v>
      </c>
      <c r="Z5" s="189" t="str">
        <f>Z3</f>
        <v>0,6</v>
      </c>
      <c r="AA5" s="19">
        <f t="shared" ref="AA5:AA19" si="4">Z5*Y5</f>
        <v>0.12</v>
      </c>
      <c r="AB5" s="155">
        <f t="shared" ref="AB5:AB19" si="5">IF($M$2="SI",AA5*$C$22/0.5*$S$1,AA5*$C$22/0.5*$S$2)</f>
        <v>0.12631578947368421</v>
      </c>
      <c r="AC5" s="171">
        <f t="shared" ref="AC5:AC19" si="6">(1-AB5)</f>
        <v>0.87368421052631584</v>
      </c>
      <c r="AD5" s="172">
        <f>AB5*PRODUCT(AC6:AC19)</f>
        <v>6.5180495192466478E-2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53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35</v>
      </c>
      <c r="B6" s="163">
        <v>9</v>
      </c>
      <c r="C6" s="164">
        <v>10</v>
      </c>
      <c r="E6" s="187" t="s">
        <v>36</v>
      </c>
      <c r="F6" s="162" t="s">
        <v>32</v>
      </c>
      <c r="G6" s="162"/>
      <c r="H6" s="10"/>
      <c r="I6" s="10"/>
      <c r="J6" s="161" t="s">
        <v>37</v>
      </c>
      <c r="K6" s="161"/>
      <c r="L6" s="10"/>
      <c r="M6" s="10"/>
      <c r="O6" s="67">
        <f>COUNTIF(F11:F18,"IMP")*AI6</f>
        <v>0.04</v>
      </c>
      <c r="P6" s="188" t="str">
        <f>P3</f>
        <v>0,6</v>
      </c>
      <c r="Q6" s="16">
        <f t="shared" si="1"/>
        <v>2.4E-2</v>
      </c>
      <c r="R6" s="155">
        <f t="shared" si="2"/>
        <v>2.2736842105263156E-2</v>
      </c>
      <c r="S6" s="171">
        <f t="shared" si="3"/>
        <v>0.97726315789473683</v>
      </c>
      <c r="T6" s="172">
        <f>R6*S5*PRODUCT(S7:S19)</f>
        <v>1.5462580558822462E-2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1" t="s">
        <v>38</v>
      </c>
      <c r="X6" s="15" t="s">
        <v>39</v>
      </c>
      <c r="Y6" s="69">
        <f>COUNTIF(J11:J18,"IMP")*AI6</f>
        <v>0.08</v>
      </c>
      <c r="Z6" s="189" t="str">
        <f>Z3</f>
        <v>0,6</v>
      </c>
      <c r="AA6" s="19">
        <f t="shared" si="4"/>
        <v>4.8000000000000001E-2</v>
      </c>
      <c r="AB6" s="155">
        <f t="shared" si="5"/>
        <v>5.052631578947369E-2</v>
      </c>
      <c r="AC6" s="171">
        <f t="shared" si="6"/>
        <v>0.94947368421052636</v>
      </c>
      <c r="AD6" s="172">
        <f>AB6*AC5*PRODUCT(AC7:AC19)</f>
        <v>2.3991047010974362E-2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53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40</v>
      </c>
      <c r="B7" s="163">
        <v>9</v>
      </c>
      <c r="C7" s="164">
        <v>8</v>
      </c>
      <c r="E7" s="187" t="s">
        <v>41</v>
      </c>
      <c r="F7" s="162"/>
      <c r="G7" s="162"/>
      <c r="H7" s="10"/>
      <c r="I7" s="10"/>
      <c r="J7" s="161" t="s">
        <v>37</v>
      </c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>
        <f t="shared" si="2"/>
        <v>0</v>
      </c>
      <c r="S7" s="171">
        <f t="shared" si="3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1" t="s">
        <v>152</v>
      </c>
      <c r="X7" s="15" t="s">
        <v>153</v>
      </c>
      <c r="Y7" s="69"/>
      <c r="Z7" s="189">
        <f>C30</f>
        <v>0.15</v>
      </c>
      <c r="AA7" s="19">
        <f t="shared" si="4"/>
        <v>0</v>
      </c>
      <c r="AB7" s="155">
        <f t="shared" si="5"/>
        <v>0</v>
      </c>
      <c r="AC7" s="171">
        <f t="shared" si="6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53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44</v>
      </c>
      <c r="B8" s="163">
        <v>9</v>
      </c>
      <c r="C8" s="164">
        <v>8</v>
      </c>
      <c r="E8" s="187" t="s">
        <v>41</v>
      </c>
      <c r="F8" s="162" t="s">
        <v>32</v>
      </c>
      <c r="G8" s="162"/>
      <c r="H8" s="10"/>
      <c r="I8" s="10"/>
      <c r="J8" s="161" t="s">
        <v>37</v>
      </c>
      <c r="K8" s="161"/>
      <c r="L8" s="10"/>
      <c r="M8" s="10"/>
      <c r="O8" s="67">
        <f>COUNTIF(F6:F18,"IMP")*AI8</f>
        <v>0.04</v>
      </c>
      <c r="P8" s="188" t="str">
        <f>P3</f>
        <v>0,6</v>
      </c>
      <c r="Q8" s="16">
        <f t="shared" si="1"/>
        <v>2.4E-2</v>
      </c>
      <c r="R8" s="155">
        <f t="shared" si="2"/>
        <v>2.2736842105263156E-2</v>
      </c>
      <c r="S8" s="171">
        <f t="shared" si="3"/>
        <v>0.97726315789473683</v>
      </c>
      <c r="T8" s="172">
        <f>R8*PRODUCT(S5:S7)*PRODUCT(S9:S19)</f>
        <v>1.5462580558822464E-2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1" t="s">
        <v>45</v>
      </c>
      <c r="X8" s="15" t="s">
        <v>46</v>
      </c>
      <c r="Y8" s="69">
        <f>COUNTIF(J6:J18,"IMP")*AI8</f>
        <v>0.28000000000000003</v>
      </c>
      <c r="Z8" s="189" t="str">
        <f>Z3</f>
        <v>0,6</v>
      </c>
      <c r="AA8" s="19">
        <f t="shared" si="4"/>
        <v>0.16800000000000001</v>
      </c>
      <c r="AB8" s="155">
        <f t="shared" si="5"/>
        <v>0.17684210526315794</v>
      </c>
      <c r="AC8" s="171">
        <f t="shared" si="6"/>
        <v>0.82315789473684209</v>
      </c>
      <c r="AD8" s="172">
        <f>AB8*PRODUCT(AC5:AC7)*PRODUCT(AC9:AC19)</f>
        <v>9.6853881603127953E-2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53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47</v>
      </c>
      <c r="B9" s="163">
        <v>9</v>
      </c>
      <c r="C9" s="164">
        <v>8</v>
      </c>
      <c r="E9" s="187" t="s">
        <v>41</v>
      </c>
      <c r="F9" s="162"/>
      <c r="G9" s="162"/>
      <c r="H9" s="10"/>
      <c r="I9" s="10"/>
      <c r="J9" s="161" t="s">
        <v>37</v>
      </c>
      <c r="K9" s="161"/>
      <c r="L9" s="10"/>
      <c r="M9" s="10"/>
      <c r="O9" s="67">
        <f>COUNTIF(J6:J13,"IMP")*AI9</f>
        <v>0.125</v>
      </c>
      <c r="P9" s="188" t="str">
        <f>Z3</f>
        <v>0,6</v>
      </c>
      <c r="Q9" s="16">
        <f t="shared" si="1"/>
        <v>7.4999999999999997E-2</v>
      </c>
      <c r="R9" s="155">
        <f t="shared" si="2"/>
        <v>7.1052631578947367E-2</v>
      </c>
      <c r="S9" s="171">
        <f t="shared" si="3"/>
        <v>0.92894736842105263</v>
      </c>
      <c r="T9" s="172">
        <f>R9*PRODUCT(S5:S8)*PRODUCT(S10:S19)</f>
        <v>5.0833781128933352E-2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2" t="s">
        <v>48</v>
      </c>
      <c r="X9" s="15" t="s">
        <v>49</v>
      </c>
      <c r="Y9" s="69">
        <f>COUNTIF(F6:F13,"IMP")*AI9</f>
        <v>2.5000000000000001E-2</v>
      </c>
      <c r="Z9" s="189" t="str">
        <f>P3</f>
        <v>0,6</v>
      </c>
      <c r="AA9" s="19">
        <f t="shared" si="4"/>
        <v>1.4999999999999999E-2</v>
      </c>
      <c r="AB9" s="155">
        <f t="shared" si="5"/>
        <v>1.5789473684210527E-2</v>
      </c>
      <c r="AC9" s="171">
        <f t="shared" si="6"/>
        <v>0.98421052631578942</v>
      </c>
      <c r="AD9" s="172">
        <f>AB9*PRODUCT(AC5:AC8)*PRODUCT(AC10:AC19)</f>
        <v>7.2325950547790351E-3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53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50</v>
      </c>
      <c r="B10" s="163">
        <v>7</v>
      </c>
      <c r="C10" s="164">
        <v>8</v>
      </c>
      <c r="E10" s="187" t="s">
        <v>36</v>
      </c>
      <c r="F10" s="162" t="s">
        <v>2</v>
      </c>
      <c r="G10" s="162"/>
      <c r="H10" s="10"/>
      <c r="I10" s="10"/>
      <c r="J10" s="161" t="s">
        <v>37</v>
      </c>
      <c r="K10" s="161"/>
      <c r="L10" s="10"/>
      <c r="M10" s="10"/>
      <c r="O10" s="67">
        <f>COUNTIF(F11:F18,"RAP")*AI10</f>
        <v>0.12</v>
      </c>
      <c r="P10" s="188" t="str">
        <f>R3</f>
        <v>0,72</v>
      </c>
      <c r="Q10" s="16">
        <f t="shared" si="1"/>
        <v>8.6399999999999991E-2</v>
      </c>
      <c r="R10" s="155">
        <f t="shared" si="2"/>
        <v>8.1852631578947357E-2</v>
      </c>
      <c r="S10" s="171">
        <f t="shared" si="3"/>
        <v>0.9181473684210526</v>
      </c>
      <c r="T10" s="172">
        <f>R10*PRODUCT(S5:S9)*PRODUCT(S11:S19)</f>
        <v>5.9249352525587905E-2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1" t="s">
        <v>51</v>
      </c>
      <c r="X10" s="15" t="s">
        <v>52</v>
      </c>
      <c r="Y10" s="69">
        <f>COUNTIF(J11:J18,"RAP")*AI10</f>
        <v>0.18</v>
      </c>
      <c r="Z10" s="189" t="str">
        <f>AB3</f>
        <v>0,72</v>
      </c>
      <c r="AA10" s="19">
        <f t="shared" si="4"/>
        <v>0.12959999999999999</v>
      </c>
      <c r="AB10" s="155">
        <f t="shared" si="5"/>
        <v>0.13642105263157897</v>
      </c>
      <c r="AC10" s="171">
        <f t="shared" si="6"/>
        <v>0.863578947368421</v>
      </c>
      <c r="AD10" s="172">
        <f>AB10*PRODUCT(AC5:AC9)*PRODUCT(AC11:AC19)</f>
        <v>7.1218668808540914E-2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53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53</v>
      </c>
      <c r="B11" s="163">
        <v>7</v>
      </c>
      <c r="C11" s="164">
        <v>8</v>
      </c>
      <c r="E11" s="187" t="s">
        <v>54</v>
      </c>
      <c r="F11" s="162" t="s">
        <v>37</v>
      </c>
      <c r="G11" s="162"/>
      <c r="H11" s="10"/>
      <c r="I11" s="10"/>
      <c r="J11" s="161" t="s">
        <v>1</v>
      </c>
      <c r="K11" s="161"/>
      <c r="L11" s="10"/>
      <c r="M11" s="10"/>
      <c r="O11" s="67">
        <f>COUNTIF(F11:F18,"RAP")*AI11</f>
        <v>0.12</v>
      </c>
      <c r="P11" s="188" t="str">
        <f>R3</f>
        <v>0,72</v>
      </c>
      <c r="Q11" s="16">
        <f t="shared" si="1"/>
        <v>8.6399999999999991E-2</v>
      </c>
      <c r="R11" s="155">
        <f t="shared" si="2"/>
        <v>8.1852631578947357E-2</v>
      </c>
      <c r="S11" s="171">
        <f t="shared" si="3"/>
        <v>0.9181473684210526</v>
      </c>
      <c r="T11" s="172">
        <f>R11*PRODUCT(S5:S10)*PRODUCT(S12:S19)</f>
        <v>5.9249352525587898E-2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1" t="s">
        <v>55</v>
      </c>
      <c r="X11" s="15" t="s">
        <v>56</v>
      </c>
      <c r="Y11" s="69">
        <f>COUNTIF(J11:J18,"RAP")*AI11</f>
        <v>0.18</v>
      </c>
      <c r="Z11" s="189" t="str">
        <f>AB3</f>
        <v>0,72</v>
      </c>
      <c r="AA11" s="19">
        <f t="shared" si="4"/>
        <v>0.12959999999999999</v>
      </c>
      <c r="AB11" s="155">
        <f t="shared" si="5"/>
        <v>0.13642105263157897</v>
      </c>
      <c r="AC11" s="171">
        <f t="shared" si="6"/>
        <v>0.863578947368421</v>
      </c>
      <c r="AD11" s="172">
        <f>AB11*PRODUCT(AC5:AC10)*PRODUCT(AC12:AC19)</f>
        <v>7.1218668808540914E-2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53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57</v>
      </c>
      <c r="B12" s="163">
        <v>7</v>
      </c>
      <c r="C12" s="164">
        <v>8</v>
      </c>
      <c r="E12" s="187" t="s">
        <v>54</v>
      </c>
      <c r="F12" s="162" t="s">
        <v>2</v>
      </c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>
        <f t="shared" si="2"/>
        <v>0</v>
      </c>
      <c r="S12" s="171">
        <f t="shared" si="3"/>
        <v>1</v>
      </c>
      <c r="T12" s="172">
        <f>R12*PRODUCT(S5:S11)*PRODUCT(S13:S19)</f>
        <v>0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>
        <f t="shared" si="5"/>
        <v>0</v>
      </c>
      <c r="AC12" s="171">
        <f t="shared" si="6"/>
        <v>1</v>
      </c>
      <c r="AD12" s="172">
        <f>AB12*PRODUCT(AC5:AC11)*PRODUCT(AC13:AC19)</f>
        <v>0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53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60</v>
      </c>
      <c r="B13" s="163">
        <v>11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/>
      <c r="K13" s="161"/>
      <c r="L13" s="10"/>
      <c r="M13" s="10"/>
      <c r="O13" s="67">
        <f>AI13</f>
        <v>0.125</v>
      </c>
      <c r="P13" s="188" t="str">
        <f>P2</f>
        <v>0,4</v>
      </c>
      <c r="Q13" s="16">
        <f t="shared" si="1"/>
        <v>0.05</v>
      </c>
      <c r="R13" s="155">
        <f t="shared" si="2"/>
        <v>4.736842105263158E-2</v>
      </c>
      <c r="S13" s="171">
        <f t="shared" si="3"/>
        <v>0.95263157894736838</v>
      </c>
      <c r="T13" s="172">
        <f>R13*PRODUCT(S5:S12)*PRODUCT(S14:S19)</f>
        <v>3.3046638560798293E-2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1" t="s">
        <v>61</v>
      </c>
      <c r="X13" s="15" t="s">
        <v>62</v>
      </c>
      <c r="Y13" s="69">
        <f>AI13</f>
        <v>0.125</v>
      </c>
      <c r="Z13" s="189" t="str">
        <f>Z2</f>
        <v>0,4</v>
      </c>
      <c r="AA13" s="19">
        <f t="shared" si="4"/>
        <v>0.05</v>
      </c>
      <c r="AB13" s="155">
        <f t="shared" si="5"/>
        <v>5.2631578947368432E-2</v>
      </c>
      <c r="AC13" s="171">
        <f t="shared" si="6"/>
        <v>0.94736842105263153</v>
      </c>
      <c r="AD13" s="172">
        <f>AB13*PRODUCT(AC5:AC12)*PRODUCT(AC14:AC19)</f>
        <v>2.5046208800808885E-2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53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63</v>
      </c>
      <c r="B14" s="163">
        <v>9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37</v>
      </c>
      <c r="K14" s="161"/>
      <c r="L14" s="10"/>
      <c r="M14" s="10"/>
      <c r="O14" s="67">
        <f>IF(COUNTIF(F6:F18,"CAB")&gt;0,AI14,0)</f>
        <v>0</v>
      </c>
      <c r="P14" s="188">
        <f>IF(COUNTIF(F6:F18,"CAB")-COUNTIF(J6:J18,"CAB")&gt;0,0.85,IF(COUNTIF(F6:F18,"CAB")-COUNTIF(J6:J18,"CAB")=0,0.5,0.25))</f>
        <v>0.5</v>
      </c>
      <c r="Q14" s="16">
        <f t="shared" si="1"/>
        <v>0</v>
      </c>
      <c r="R14" s="155">
        <f t="shared" si="2"/>
        <v>0</v>
      </c>
      <c r="S14" s="171">
        <f t="shared" si="3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>IF(COUNTIF(J6:J18,"CAB")&gt;0,AI14,0)</f>
        <v>0</v>
      </c>
      <c r="Z14" s="189">
        <f>IF(COUNTIF(J6:J18,"CAB")-COUNTIF(F6:F18,"CAB")&gt;0,0.85,IF(COUNTIF(J6:J18,"CAB")-COUNTIF(F6:F18,"CAB")=0,0.5,0.25))</f>
        <v>0.5</v>
      </c>
      <c r="AA14" s="19">
        <f t="shared" si="4"/>
        <v>0</v>
      </c>
      <c r="AB14" s="155">
        <f t="shared" si="5"/>
        <v>0</v>
      </c>
      <c r="AC14" s="171">
        <f t="shared" si="6"/>
        <v>1</v>
      </c>
      <c r="AD14" s="172">
        <f>AB14*PRODUCT(AC5:AC13)*PRODUCT(AC15:AC19)</f>
        <v>0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53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37</v>
      </c>
      <c r="K15" s="161"/>
      <c r="L15" s="10"/>
      <c r="M15" s="10"/>
      <c r="O15" s="67"/>
      <c r="P15" s="188">
        <v>0.5</v>
      </c>
      <c r="Q15" s="16">
        <f t="shared" si="1"/>
        <v>0</v>
      </c>
      <c r="R15" s="155">
        <f t="shared" si="2"/>
        <v>0</v>
      </c>
      <c r="S15" s="171">
        <f t="shared" si="3"/>
        <v>1</v>
      </c>
      <c r="T15" s="172">
        <f>R15*PRODUCT(S5:S14)*PRODUCT(S16:S19)</f>
        <v>0</v>
      </c>
      <c r="U15" s="172">
        <f>R15*R16*PRODUCT(S5:S14)*PRODUCT(S17:S19)+R15*R17*PRODUCT(S5:S14)*S16*PRODUCT(S18:S19)+R15*R18*PRODUCT(S5:S14)*S16*S17*S19+R15*R19*PRODUCT(S5:S14)*S16*S17*S18</f>
        <v>0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>
        <f t="shared" si="5"/>
        <v>0</v>
      </c>
      <c r="AC15" s="171">
        <f t="shared" si="6"/>
        <v>1</v>
      </c>
      <c r="AD15" s="172">
        <f>AB15*PRODUCT(AC5:AC14)*PRODUCT(AC16:AC19)</f>
        <v>0</v>
      </c>
      <c r="AE15" s="172">
        <f>AB15*AB16*PRODUCT(AC5:AC14)*PRODUCT(AC17:AC19)+AB15*AB17*PRODUCT(AC5:AC14)*AC16*PRODUCT(AC18:AC19)+AB15*AB18*PRODUCT(AC5:AC14)*AC16*AC17*AC19+AB15*AB19*PRODUCT(AC5:AC14)*AC16*AC17*AC18</f>
        <v>0</v>
      </c>
      <c r="AI15" s="153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32</v>
      </c>
      <c r="G16" s="162"/>
      <c r="H16" s="10"/>
      <c r="I16" s="10"/>
      <c r="J16" s="161" t="s">
        <v>1</v>
      </c>
      <c r="K16" s="161"/>
      <c r="L16" s="10"/>
      <c r="M16" s="10"/>
      <c r="O16" s="67"/>
      <c r="P16" s="188">
        <v>0.25</v>
      </c>
      <c r="Q16" s="16">
        <f t="shared" si="1"/>
        <v>0</v>
      </c>
      <c r="R16" s="155">
        <f t="shared" si="2"/>
        <v>0</v>
      </c>
      <c r="S16" s="171">
        <f t="shared" si="3"/>
        <v>1</v>
      </c>
      <c r="T16" s="172">
        <f>R16*PRODUCT(S5:S15)*PRODUCT(S17:S19)</f>
        <v>0</v>
      </c>
      <c r="U16" s="172">
        <f>R16*R17*PRODUCT(S5:S15)*PRODUCT(S18:S19)+R16*R18*PRODUCT(S5:S15)*S17*S19+R16*R19*PRODUCT(S5:S15)*S17*S18</f>
        <v>0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>
        <f t="shared" si="5"/>
        <v>0</v>
      </c>
      <c r="AC16" s="171">
        <f t="shared" si="6"/>
        <v>1</v>
      </c>
      <c r="AD16" s="172">
        <f>AB16*PRODUCT(AC5:AC15)*PRODUCT(AC17:AC19)</f>
        <v>0</v>
      </c>
      <c r="AE16" s="172">
        <f>AB16*AB17*PRODUCT(AC5:AC15)*PRODUCT(AC18:AC19)+AB16*AB18*PRODUCT(AC5:AC15)*AC17*AC19+AB16*AB19*PRODUCT(AC5:AC15)*AC17*AC18</f>
        <v>0</v>
      </c>
      <c r="AI16" s="153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</f>
        <v>0.08</v>
      </c>
      <c r="P17" s="188" t="str">
        <f>P3</f>
        <v>0,6</v>
      </c>
      <c r="Q17" s="16">
        <f t="shared" si="1"/>
        <v>4.8000000000000001E-2</v>
      </c>
      <c r="R17" s="155">
        <f t="shared" si="2"/>
        <v>4.5473684210526312E-2</v>
      </c>
      <c r="S17" s="171">
        <f t="shared" si="3"/>
        <v>0.95452631578947367</v>
      </c>
      <c r="T17" s="172">
        <f>R17*PRODUCT(S5:S16)*PRODUCT(S18:S19)</f>
        <v>3.1661799273954072E-2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>(AI17*2)*IF(COUNTBLANK(J14:J15)&lt;&gt;0,(2-COUNTBLANK(J14:J15))/2,1)</f>
        <v>0.08</v>
      </c>
      <c r="Z17" s="189" t="str">
        <f>Z3</f>
        <v>0,6</v>
      </c>
      <c r="AA17" s="19">
        <f t="shared" si="4"/>
        <v>4.8000000000000001E-2</v>
      </c>
      <c r="AB17" s="155">
        <f t="shared" si="5"/>
        <v>5.052631578947369E-2</v>
      </c>
      <c r="AC17" s="171">
        <f t="shared" si="6"/>
        <v>0.94947368421052636</v>
      </c>
      <c r="AD17" s="172">
        <f>AB17*PRODUCT(AC5:AC16)*PRODUCT(AC18:AC19)</f>
        <v>2.3991047010974358E-2</v>
      </c>
      <c r="AE17" s="172">
        <f>AB17*AB18*PRODUCT(AC5:AC16)*AC19+AB17*AB19*PRODUCT(AC5:AC16)*AC18</f>
        <v>0</v>
      </c>
      <c r="AI17" s="153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>IF(COUNTIF(F14:F18,"CAB")&gt;0,(AI18*2)*IF(COUNTBLANK(F14:F15)&lt;&gt;0,(2-COUNTBLANK(F14:F15))/2,1),0)</f>
        <v>0</v>
      </c>
      <c r="P18" s="188">
        <v>0.95</v>
      </c>
      <c r="Q18" s="16">
        <f t="shared" si="1"/>
        <v>0</v>
      </c>
      <c r="R18" s="155">
        <f t="shared" si="2"/>
        <v>0</v>
      </c>
      <c r="S18" s="171">
        <f t="shared" si="3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>IF(COUNTIF(J14:J18,"CAB")&gt;0,(AI18*2)*IF(COUNTBLANK(J14:J15)&lt;&gt;0,(2-COUNTBLANK(J14:J15))/2,1),0)</f>
        <v>0</v>
      </c>
      <c r="Z18" s="189">
        <v>0.95</v>
      </c>
      <c r="AA18" s="19">
        <f t="shared" si="4"/>
        <v>0</v>
      </c>
      <c r="AB18" s="155">
        <f t="shared" si="5"/>
        <v>0</v>
      </c>
      <c r="AC18" s="171">
        <f t="shared" si="6"/>
        <v>1</v>
      </c>
      <c r="AD18" s="172">
        <f>AB18*PRODUCT(AC5:AC17)*PRODUCT(AC19)</f>
        <v>0</v>
      </c>
      <c r="AE18" s="172">
        <f>AB18*AB19*PRODUCT(AC5:AC17)</f>
        <v>0</v>
      </c>
      <c r="AI18" s="153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156</v>
      </c>
      <c r="L19" s="13" t="s">
        <v>156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88" t="str">
        <f>P3</f>
        <v>0,6</v>
      </c>
      <c r="Q19" s="16">
        <f t="shared" si="1"/>
        <v>0</v>
      </c>
      <c r="R19" s="155">
        <f t="shared" si="2"/>
        <v>0</v>
      </c>
      <c r="S19" s="173">
        <f t="shared" si="3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89" t="str">
        <f>Z3</f>
        <v>0,6</v>
      </c>
      <c r="AA19" s="19">
        <f t="shared" si="4"/>
        <v>0</v>
      </c>
      <c r="AB19" s="155">
        <f t="shared" si="5"/>
        <v>0</v>
      </c>
      <c r="AC19" s="173">
        <f t="shared" si="6"/>
        <v>1</v>
      </c>
      <c r="AD19" s="174">
        <f>AB19*PRODUCT(AC5:AC18)</f>
        <v>0</v>
      </c>
      <c r="AE19" s="174">
        <v>0</v>
      </c>
      <c r="AF19" s="1" t="s">
        <v>82</v>
      </c>
      <c r="AI19" s="153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0.66460461994494335</v>
      </c>
      <c r="T20" s="176">
        <f>SUM(T5:T19)</f>
        <v>0.28042866569132896</v>
      </c>
      <c r="U20" s="176">
        <f>SUM(U5:U19)</f>
        <v>4.9821627517118099E-2</v>
      </c>
      <c r="V20" s="176">
        <f>1-S20-T20-U20</f>
        <v>5.1450868466095881E-3</v>
      </c>
      <c r="W20" s="21"/>
      <c r="X20" s="22"/>
      <c r="Y20" s="22"/>
      <c r="Z20" s="22"/>
      <c r="AA20" s="22"/>
      <c r="AB20" s="23"/>
      <c r="AC20" s="179">
        <f>PRODUCT(AC5:AC19)</f>
        <v>0.4508317584145598</v>
      </c>
      <c r="AD20" s="176">
        <f>SUM(AD5:AD19)</f>
        <v>0.38473261229021288</v>
      </c>
      <c r="AE20" s="176">
        <f>SUM(AE5:AE19)</f>
        <v>0.13576577967955661</v>
      </c>
      <c r="AF20" s="176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>
        <f>1-T21-U21-V21</f>
        <v>0.66460461994494335</v>
      </c>
      <c r="T21" s="178">
        <f>T20*U2</f>
        <v>0.28042866569132896</v>
      </c>
      <c r="U21" s="178">
        <f>U20*U2</f>
        <v>4.9821627517118099E-2</v>
      </c>
      <c r="V21" s="178">
        <f>V20*U2</f>
        <v>5.1450868466095881E-3</v>
      </c>
      <c r="W21" s="21"/>
      <c r="X21" s="22"/>
      <c r="Y21" s="22"/>
      <c r="Z21" s="22"/>
      <c r="AA21" s="22"/>
      <c r="AB21" s="23"/>
      <c r="AC21" s="180">
        <f>1-AD21-AE21-AF21</f>
        <v>0.45083175841455986</v>
      </c>
      <c r="AD21" s="178">
        <f>AD20*AE2</f>
        <v>0.38473261229021288</v>
      </c>
      <c r="AE21" s="178">
        <f>AE20*AE2</f>
        <v>0.13576577967955661</v>
      </c>
      <c r="AF21" s="178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87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x14ac:dyDescent="0.25">
      <c r="A23" s="40" t="s">
        <v>88</v>
      </c>
      <c r="B23" s="56">
        <f>((B22^2.8)/((B22^2.8)+(C22^2.8)))*B21</f>
        <v>2.1338895849549826</v>
      </c>
      <c r="C23" s="57">
        <f>B21-B23</f>
        <v>2.8661104150450174</v>
      </c>
      <c r="D23" s="149">
        <f>SUM(D25:D30)</f>
        <v>1</v>
      </c>
      <c r="E23" s="149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x14ac:dyDescent="0.25">
      <c r="A24" s="26" t="s">
        <v>89</v>
      </c>
      <c r="B24" s="64">
        <f>B23/B21</f>
        <v>0.42677791699099654</v>
      </c>
      <c r="C24" s="65">
        <f>C23/B21</f>
        <v>0.57322208300900346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114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 t="shared" ref="P25:P30" si="12"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3">
        <f>(1-$B$33)^(INT(C23*2*(1-C31)))</f>
        <v>0.98507487500000002</v>
      </c>
      <c r="U25" s="138">
        <v>0</v>
      </c>
      <c r="V25" s="86">
        <f>R25*T25</f>
        <v>3.7731004883405344E-3</v>
      </c>
      <c r="W25" s="134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115</v>
      </c>
      <c r="B26" s="119">
        <f>1/(1+EXP(-3.1416*4*((B10/(B10+C9))-(3.1416/6))))</f>
        <v>0.32839636256027932</v>
      </c>
      <c r="C26" s="118">
        <f>1/(1+EXP(-3.1416*4*((C10/(C10+B9))-(3.1416/6))))</f>
        <v>0.33935563523733447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si="12"/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3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5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116</v>
      </c>
      <c r="B27" s="119">
        <f>1/(1+EXP(-3.1416*4*((B12/(B12+C7))-(3.1416/6))))</f>
        <v>0.32839636256027932</v>
      </c>
      <c r="C27" s="118">
        <f>1/(1+EXP(-3.1416*4*((C12/(C12+B7))-(3.1416/6))))</f>
        <v>0.33935563523733447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3">
        <f t="shared" si="13"/>
        <v>7.4625000000000011E-5</v>
      </c>
      <c r="U27" s="93">
        <v>2</v>
      </c>
      <c r="V27" s="86">
        <f>R27*T25+T26*R26+R25*T27</f>
        <v>9.454096521102523E-2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3">
        <f t="shared" si="13"/>
        <v>1.2500000000000002E-7</v>
      </c>
      <c r="U28" s="93">
        <v>3</v>
      </c>
      <c r="V28" s="86">
        <f>R28*T25+R27*T26+R26*T27+R25*T28</f>
        <v>0.18828113238782934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118</v>
      </c>
      <c r="B29" s="119">
        <f>1/(1+EXP(-3.1416*4*((B14/(B14+C13))-(3.1416/6))))</f>
        <v>0.21091587975125142</v>
      </c>
      <c r="C29" s="118">
        <f>1/(1+EXP(-3.1416*4*((C14/(C14+B13))-(3.1416/6))))</f>
        <v>0.40883398126688669</v>
      </c>
      <c r="D29" s="151">
        <v>0.04</v>
      </c>
      <c r="E29" s="151">
        <v>0.04</v>
      </c>
      <c r="G29" s="87">
        <v>4</v>
      </c>
      <c r="H29" s="126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3">
        <f t="shared" si="13"/>
        <v>0</v>
      </c>
      <c r="U29" s="93">
        <v>4</v>
      </c>
      <c r="V29" s="86">
        <f>T29*R25+T28*R26+T27*R27+T26*R28+T25*R29</f>
        <v>0.24628757091290557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3">
        <f t="shared" si="13"/>
        <v>0</v>
      </c>
      <c r="U30" s="93">
        <v>5</v>
      </c>
      <c r="V30" s="86">
        <f>T30*R25+T29*R26+T28*R27+T27*R28+T26*R29+T25*R30</f>
        <v>0.22120189162163786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6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3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3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3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123</v>
      </c>
      <c r="B34" s="56">
        <f>B23*2</f>
        <v>4.2677791699099652</v>
      </c>
      <c r="C34" s="57">
        <f>C23*2</f>
        <v>5.7322208300900348</v>
      </c>
      <c r="G34" s="87">
        <v>9</v>
      </c>
      <c r="H34" s="126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3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x14ac:dyDescent="0.25">
      <c r="G35" s="88">
        <v>10</v>
      </c>
      <c r="H35" s="127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3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x14ac:dyDescent="0.25">
      <c r="A37" s="109" t="s">
        <v>124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x14ac:dyDescent="0.25">
      <c r="A38" s="110" t="s">
        <v>125</v>
      </c>
      <c r="B38" s="107">
        <f>SUM(BJ4:BJ59)</f>
        <v>0.59597225178515745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>
        <f t="shared" ref="BJ38:BJ43" si="21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126</v>
      </c>
      <c r="B39" s="107">
        <f>SUM(BR4:BR47)</f>
        <v>0.227419831552787</v>
      </c>
      <c r="G39" s="128">
        <v>0</v>
      </c>
      <c r="H39" s="129">
        <f>L39*J39</f>
        <v>3.5891216279918037E-2</v>
      </c>
      <c r="I39" s="97">
        <v>0</v>
      </c>
      <c r="J39" s="98">
        <f t="shared" ref="J39:J49" si="22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 t="shared" ref="P39:P44" si="23"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1.9845660399471149E-4</v>
      </c>
      <c r="W39" s="134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>
        <f t="shared" si="21"/>
        <v>3.6812540367067081E-3</v>
      </c>
      <c r="BP39">
        <f t="shared" ref="BP39:BP46" si="24">BP31+1</f>
        <v>9</v>
      </c>
      <c r="BQ39">
        <v>0</v>
      </c>
      <c r="BR39" s="107">
        <f t="shared" ref="BR39:BR47" si="25">$H$34*H39</f>
        <v>8.1346751988050509E-7</v>
      </c>
    </row>
    <row r="40" spans="1:70" x14ac:dyDescent="0.25">
      <c r="G40" s="91">
        <v>1</v>
      </c>
      <c r="H40" s="130">
        <f>L39*J40+L40*J39</f>
        <v>0.13394167206785365</v>
      </c>
      <c r="I40" s="93">
        <v>1</v>
      </c>
      <c r="J40" s="86">
        <f t="shared" si="22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si="23"/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3">
        <f t="shared" ref="T40:T49" si="26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5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>
        <f t="shared" si="21"/>
        <v>1.1543421363129406E-3</v>
      </c>
      <c r="BP40">
        <f t="shared" si="24"/>
        <v>9</v>
      </c>
      <c r="BQ40">
        <v>1</v>
      </c>
      <c r="BR40" s="107">
        <f t="shared" si="25"/>
        <v>3.0357622582617492E-6</v>
      </c>
    </row>
    <row r="41" spans="1:70" x14ac:dyDescent="0.25">
      <c r="G41" s="91">
        <v>2</v>
      </c>
      <c r="H41" s="130">
        <f>L39*J41+J40*L40+J39*L41</f>
        <v>0.23283735761668781</v>
      </c>
      <c r="I41" s="93">
        <v>2</v>
      </c>
      <c r="J41" s="86">
        <f t="shared" si="22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23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3">
        <f t="shared" si="26"/>
        <v>2.5000000000000001E-5</v>
      </c>
      <c r="U41" s="93">
        <v>2</v>
      </c>
      <c r="V41" s="86">
        <f>R41*T39+T40*R40+R39*T41</f>
        <v>1.6137702390179705E-2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>
        <f t="shared" si="21"/>
        <v>2.7573362781856131E-4</v>
      </c>
      <c r="BP41">
        <f t="shared" si="24"/>
        <v>9</v>
      </c>
      <c r="BQ41">
        <v>2</v>
      </c>
      <c r="BR41" s="107">
        <f t="shared" si="25"/>
        <v>5.2772139667485739E-6</v>
      </c>
    </row>
    <row r="42" spans="1:70" ht="15" customHeight="1" x14ac:dyDescent="0.25">
      <c r="G42" s="91">
        <v>3</v>
      </c>
      <c r="H42" s="130">
        <f>J42*L39+J41*L40+L42*J39+L41*J40</f>
        <v>0.25045819541552683</v>
      </c>
      <c r="I42" s="93">
        <v>3</v>
      </c>
      <c r="J42" s="86">
        <f t="shared" si="22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23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3">
        <f t="shared" si="26"/>
        <v>0</v>
      </c>
      <c r="U42" s="93">
        <v>3</v>
      </c>
      <c r="V42" s="86">
        <f>R42*T39+R41*T40+R40*T41+R39*T42</f>
        <v>5.7866491280477626E-2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>
        <f t="shared" si="21"/>
        <v>4.945484674607559E-5</v>
      </c>
      <c r="BP42">
        <f t="shared" si="24"/>
        <v>9</v>
      </c>
      <c r="BQ42">
        <v>3</v>
      </c>
      <c r="BR42" s="107">
        <f t="shared" si="25"/>
        <v>5.6765868693174524E-6</v>
      </c>
    </row>
    <row r="43" spans="1:70" ht="15" customHeight="1" x14ac:dyDescent="0.25">
      <c r="G43" s="91">
        <v>4</v>
      </c>
      <c r="H43" s="130">
        <f>J43*L39+J42*L40+J41*L41+J40*L42</f>
        <v>0.18649765693945197</v>
      </c>
      <c r="I43" s="93">
        <v>4</v>
      </c>
      <c r="J43" s="86">
        <f t="shared" si="22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23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3">
        <f t="shared" si="26"/>
        <v>0</v>
      </c>
      <c r="U43" s="93">
        <v>4</v>
      </c>
      <c r="V43" s="86">
        <f>T43*R39+T42*R40+T41*R41+T40*R42+T39*R43</f>
        <v>0.13621440614823141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>
        <f t="shared" si="21"/>
        <v>6.4607136100902139E-6</v>
      </c>
      <c r="BP43">
        <f t="shared" si="24"/>
        <v>9</v>
      </c>
      <c r="BQ43">
        <v>4</v>
      </c>
      <c r="BR43" s="107">
        <f t="shared" si="25"/>
        <v>4.226933555855737E-6</v>
      </c>
    </row>
    <row r="44" spans="1:70" ht="15" customHeight="1" x14ac:dyDescent="0.25">
      <c r="G44" s="91">
        <v>5</v>
      </c>
      <c r="H44" s="130">
        <f>J44*L39+J43*L40+J42*L41+J41*L42</f>
        <v>0.10169269462425716</v>
      </c>
      <c r="I44" s="93">
        <v>5</v>
      </c>
      <c r="J44" s="86">
        <f t="shared" si="22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23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3">
        <f t="shared" si="26"/>
        <v>0</v>
      </c>
      <c r="U44" s="93">
        <v>5</v>
      </c>
      <c r="V44" s="86">
        <f>T44*R39+T43*R40+T42*R41+T41*R42+T40*R43+T39*R44</f>
        <v>0.21997508653438405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24"/>
        <v>9</v>
      </c>
      <c r="BQ44">
        <v>5</v>
      </c>
      <c r="BR44" s="107">
        <f t="shared" si="25"/>
        <v>2.3048453816887188E-6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4.1800753514072017E-2</v>
      </c>
      <c r="I45" s="93">
        <v>6</v>
      </c>
      <c r="J45" s="86">
        <f t="shared" si="22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3">
        <f t="shared" si="26"/>
        <v>0</v>
      </c>
      <c r="U45" s="93">
        <v>6</v>
      </c>
      <c r="V45" s="86">
        <f>T45*R39+T44*R40+T43*R41+T42*R42+T41*R43+T40*R44+T39*R45</f>
        <v>0.24688739984683838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24"/>
        <v>9</v>
      </c>
      <c r="BQ45">
        <v>6</v>
      </c>
      <c r="BR45" s="107">
        <f t="shared" si="25"/>
        <v>9.4740604567514321E-7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1.3107590682356623E-2</v>
      </c>
      <c r="I46" s="93">
        <v>7</v>
      </c>
      <c r="J46" s="86">
        <f t="shared" si="22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3">
        <f t="shared" si="26"/>
        <v>0</v>
      </c>
      <c r="U46" s="93">
        <v>7</v>
      </c>
      <c r="V46" s="86">
        <f>T46*R39+T45*R40+T44*R41+T43*R42+T42*R43+T41*R44+T40*R45+T39*R46</f>
        <v>0.19026383247544018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24"/>
        <v>9</v>
      </c>
      <c r="BQ46">
        <v>7</v>
      </c>
      <c r="BR46" s="107">
        <f t="shared" si="25"/>
        <v>2.9708102397052031E-7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3.1309638772704018E-3</v>
      </c>
      <c r="I47" s="93">
        <v>8</v>
      </c>
      <c r="J47" s="86">
        <f t="shared" si="22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3">
        <f t="shared" si="26"/>
        <v>0</v>
      </c>
      <c r="U47" s="93">
        <v>8</v>
      </c>
      <c r="V47" s="86">
        <f>T47*R39+T46*R40+T45*R41+T44*R42+T43*R43+T42*R44+T41*R45+T40*R46+T39*R47</f>
        <v>9.6483745132614707E-2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25"/>
        <v>7.0962694610705461E-8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5.6156131532783256E-4</v>
      </c>
      <c r="I48" s="93">
        <v>9</v>
      </c>
      <c r="J48" s="86">
        <f t="shared" si="22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3">
        <f t="shared" si="26"/>
        <v>0</v>
      </c>
      <c r="U48" s="93">
        <v>9</v>
      </c>
      <c r="V48" s="86">
        <f>T48*R39+T47*R40+T46*R41+T45*R42+T44*R43+T43*R44+T42*R45+T41*R46+T40*R47+T39*R48</f>
        <v>2.9188220720316679E-2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7.336160298841875E-5</v>
      </c>
      <c r="I49" s="94">
        <v>10</v>
      </c>
      <c r="J49" s="89">
        <f t="shared" si="22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3">
        <f t="shared" si="26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R59"/>
  <sheetViews>
    <sheetView zoomScale="80" workbookViewId="0">
      <selection activeCell="O16" sqref="O1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94" t="s">
        <v>157</v>
      </c>
      <c r="Q1" s="294"/>
      <c r="R1" s="150">
        <v>-0.12364059050405626</v>
      </c>
      <c r="S1" s="151">
        <f>1+R1</f>
        <v>0.87635940949594371</v>
      </c>
      <c r="U1" s="156" t="s">
        <v>154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3" t="s">
        <v>146</v>
      </c>
      <c r="B2" t="s">
        <v>0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58" t="str">
        <f>IF(M1&lt;&gt;0,"SI","NO")</f>
        <v>NO</v>
      </c>
      <c r="O2" t="s">
        <v>3</v>
      </c>
      <c r="P2" s="160" t="s">
        <v>148</v>
      </c>
      <c r="R2" s="150">
        <v>7.3959748117051499E-2</v>
      </c>
      <c r="S2" s="151">
        <f>1+R2</f>
        <v>1.0739597481170515</v>
      </c>
      <c r="Y2" t="s">
        <v>3</v>
      </c>
      <c r="Z2" s="159" t="s">
        <v>148</v>
      </c>
    </row>
    <row r="3" spans="1:70" x14ac:dyDescent="0.25">
      <c r="A3" s="157" t="s">
        <v>4</v>
      </c>
      <c r="B3" s="295" t="s">
        <v>130</v>
      </c>
      <c r="C3" s="295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0" t="s">
        <v>149</v>
      </c>
      <c r="Q3" t="s">
        <v>8</v>
      </c>
      <c r="R3" s="160" t="s">
        <v>150</v>
      </c>
      <c r="Y3" t="s">
        <v>7</v>
      </c>
      <c r="Z3" s="159" t="s">
        <v>149</v>
      </c>
      <c r="AA3" t="s">
        <v>8</v>
      </c>
      <c r="AB3" s="159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159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3" t="s">
        <v>160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COUNTIF(J5:J18,"IMP")*0.017</f>
        <v>0</v>
      </c>
      <c r="Z5" s="144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COUNTIF(F14:F18,"IMP")*0.017</f>
        <v>0</v>
      </c>
      <c r="P6" s="16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COUNTIF(J14:J18,"IMP")*0.017</f>
        <v>0</v>
      </c>
      <c r="Z6" s="144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v>0</v>
      </c>
      <c r="P7" s="142">
        <v>0.5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152</v>
      </c>
      <c r="X7" s="15" t="s">
        <v>153</v>
      </c>
      <c r="Y7" s="69">
        <v>0</v>
      </c>
      <c r="Z7" s="144">
        <v>0.5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COUNTIF(J6:J18,"IMP")*0.01</f>
        <v>0</v>
      </c>
      <c r="Z8" s="144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COUNTIF(J6:J13,"IMP")*0.025</f>
        <v>0</v>
      </c>
      <c r="P9" s="142">
        <v>0.5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COUNTIF(F6:F13,"IMP")*0.025</f>
        <v>0</v>
      </c>
      <c r="Z9" s="144">
        <v>0.5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COUNTIF(J14:J18,"RAP")*0.085</f>
        <v>8.5000000000000006E-2</v>
      </c>
      <c r="Z10" s="144" t="str">
        <f>AB3</f>
        <v>0,72</v>
      </c>
      <c r="AA10" s="19">
        <f t="shared" si="4"/>
        <v>6.1200000000000004E-2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IF(COUNTA(F16:F18)=0,0,COUNTIF(F14:F15,"RAP")*0.085)+IF(COUNTA(F17:F18)=0,0,COUNTIF(F16,"RAP")*0.085)+IF(COUNTA(F16:F17)=0,0,COUNTIF(F18,"RAP")*0.085)+IF(COUNTA(F16,F18)=0,0,COUNTIF(F17,"RAP")*0.085)</f>
        <v>0</v>
      </c>
      <c r="P11" s="16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IF(COUNTA(J16:J18)=0,0,COUNTIF(J14:J15,"RAP")*0.085)+IF(COUNTA(J17:J18)=0,0,COUNTIF(J16,"RAP")*0.085)+IF(COUNTA(J16:J17)=0,0,COUNTIF(J18,"RAP")*0.085)+IF(COUNTA(J16,J18)=0,0,COUNTIF(J17,"RAP")*0.085)</f>
        <v>0</v>
      </c>
      <c r="Z11" s="144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42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44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11.75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>
        <v>0.125</v>
      </c>
      <c r="Z13" s="19" t="str">
        <f>Z2</f>
        <v>0,4</v>
      </c>
      <c r="AA13" s="19">
        <f t="shared" si="4"/>
        <v>0.05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9.25</v>
      </c>
      <c r="C14" s="164">
        <v>10.75</v>
      </c>
      <c r="E14" s="187" t="s">
        <v>64</v>
      </c>
      <c r="F14" s="162"/>
      <c r="G14" s="162"/>
      <c r="H14" s="10"/>
      <c r="I14" s="10"/>
      <c r="J14" s="161" t="s">
        <v>161</v>
      </c>
      <c r="K14" s="161"/>
      <c r="L14" s="10"/>
      <c r="M14" s="10"/>
      <c r="O14" s="67">
        <f>COUNTIF(F6:F18,"CAB")*0.095</f>
        <v>0</v>
      </c>
      <c r="P14" s="142">
        <v>0.95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COUNTIF(J6:J18,"CAB")*0.095</f>
        <v>0</v>
      </c>
      <c r="Z14" s="145">
        <v>0.95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42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44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>COUNTA(L6:L13)*0.03</f>
        <v>0</v>
      </c>
      <c r="P16" s="142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>
        <f>COUNTA(H6:H13)*0.03</f>
        <v>0</v>
      </c>
      <c r="Z16" s="144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(0.02*2)*IF(COUNTBLANK(F14:F15)&lt;&gt;0,(2-COUNTBLANK(F14:F15))/2,1)</f>
        <v>0</v>
      </c>
      <c r="P17" s="16" t="str">
        <f>P3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(0.02*2)*IF(COUNTBLANK(J14:J15)&lt;&gt;0,(2-COUNTBLANK(J14:J15))/2,1)</f>
        <v>0.02</v>
      </c>
      <c r="Z17" s="144" t="str">
        <f>Z3</f>
        <v>0,6</v>
      </c>
      <c r="AA17" s="19">
        <f t="shared" si="4"/>
        <v>1.2E-2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>
        <v>0</v>
      </c>
      <c r="P18" s="142">
        <v>0.5</v>
      </c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>
        <v>0</v>
      </c>
      <c r="Z18" s="144">
        <v>0.5</v>
      </c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156</v>
      </c>
      <c r="L19" s="13" t="s">
        <v>156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COUNTIF(J14:J18,"TEC")*0.06*IF(COUNTIF(F6:F13,"CAB")&lt;&gt;0,1,0)</f>
        <v>0</v>
      </c>
      <c r="Z19" s="144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 t="e">
        <f>1-T21-U21-V21</f>
        <v>#DIV/0!</v>
      </c>
      <c r="T21" s="178" t="e">
        <f>T20*V1</f>
        <v>#DIV/0!</v>
      </c>
      <c r="U21" s="178" t="e">
        <f>U20*V1</f>
        <v>#DIV/0!</v>
      </c>
      <c r="V21" s="178" t="e">
        <f>V20*V1</f>
        <v>#DIV/0!</v>
      </c>
      <c r="W21" s="21"/>
      <c r="X21" s="22"/>
      <c r="Y21" s="22"/>
      <c r="Z21" s="22"/>
      <c r="AA21" s="22"/>
      <c r="AB21" s="23"/>
      <c r="AC21" s="180" t="e">
        <f>1-AD21-AE21-AF21</f>
        <v>#DIV/0!</v>
      </c>
      <c r="AD21" s="178" t="e">
        <f>AD20*V1</f>
        <v>#DIV/0!</v>
      </c>
      <c r="AE21" s="178" t="e">
        <f>AE20*V1</f>
        <v>#DIV/0!</v>
      </c>
      <c r="AF21" s="178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0.22523141403777475</v>
      </c>
      <c r="C29" s="118">
        <f>1/(1+EXP(-3.1416*4*((C14/(C14+B13))-(3.1416/6))))</f>
        <v>0.35989489168508015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94" t="s">
        <v>157</v>
      </c>
      <c r="Q1" s="294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146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96" t="s">
        <v>162</v>
      </c>
      <c r="C3" s="296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149</v>
      </c>
      <c r="Q3" t="s">
        <v>8</v>
      </c>
      <c r="R3" s="16" t="s">
        <v>150</v>
      </c>
      <c r="Y3" t="s">
        <v>7</v>
      </c>
      <c r="Z3" s="19" t="s">
        <v>149</v>
      </c>
      <c r="AA3" t="s">
        <v>8</v>
      </c>
      <c r="AB3" s="19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159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160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152</v>
      </c>
      <c r="X7" s="15" t="s">
        <v>153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156</v>
      </c>
      <c r="L19" s="13" t="s">
        <v>156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13" priority="1" operator="greaterThan">
      <formula>0.15</formula>
    </cfRule>
  </conditionalFormatting>
  <conditionalFormatting sqref="H38:H48">
    <cfRule type="cellIs" dxfId="12" priority="2" operator="greaterThan">
      <formula>0.15</formula>
    </cfRule>
  </conditionalFormatting>
  <conditionalFormatting sqref="H48">
    <cfRule type="cellIs" dxfId="11" priority="3" operator="greaterThan">
      <formula>0.15</formula>
    </cfRule>
  </conditionalFormatting>
  <conditionalFormatting sqref="H38:H48">
    <cfRule type="cellIs" dxfId="10" priority="4" operator="greaterThan">
      <formula>0.15</formula>
    </cfRule>
  </conditionalFormatting>
  <conditionalFormatting sqref="H34">
    <cfRule type="cellIs" dxfId="9" priority="5" operator="greaterThan">
      <formula>0.15</formula>
    </cfRule>
  </conditionalFormatting>
  <conditionalFormatting sqref="H24:H34">
    <cfRule type="cellIs" dxfId="8" priority="6" operator="greaterThan">
      <formula>0.15</formula>
    </cfRule>
  </conditionalFormatting>
  <conditionalFormatting sqref="H34">
    <cfRule type="cellIs" dxfId="7" priority="7" operator="greaterThan">
      <formula>0.15</formula>
    </cfRule>
  </conditionalFormatting>
  <conditionalFormatting sqref="H24:H34">
    <cfRule type="cellIs" dxfId="6" priority="8" operator="greaterThan">
      <formula>0.15</formula>
    </cfRule>
  </conditionalFormatting>
  <conditionalFormatting sqref="V48">
    <cfRule type="cellIs" dxfId="5" priority="9" operator="greaterThan">
      <formula>0.15</formula>
    </cfRule>
  </conditionalFormatting>
  <conditionalFormatting sqref="V34">
    <cfRule type="cellIs" dxfId="4" priority="10" operator="greaterThan">
      <formula>0.15</formula>
    </cfRule>
  </conditionalFormatting>
  <conditionalFormatting sqref="V24:V34 V38:V48">
    <cfRule type="cellIs" dxfId="3" priority="11" operator="greaterThan">
      <formula>0.15</formula>
    </cfRule>
  </conditionalFormatting>
  <conditionalFormatting sqref="V48">
    <cfRule type="cellIs" dxfId="2" priority="12" operator="greaterThan">
      <formula>0.15</formula>
    </cfRule>
  </conditionalFormatting>
  <conditionalFormatting sqref="V34">
    <cfRule type="cellIs" dxfId="1" priority="13" operator="greaterThan">
      <formula>0.15</formula>
    </cfRule>
  </conditionalFormatting>
  <conditionalFormatting sqref="V24:V34 V38:V48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Badajoz-VADER</vt:lpstr>
      <vt:lpstr>SIMULADOR_v4</vt:lpstr>
      <vt:lpstr>SIMULADOR_v3</vt:lpstr>
      <vt:lpstr>SIMULADOR&gt;22-12-17_v2</vt:lpstr>
      <vt:lpstr>SIMULADOR&gt;22-12-17</vt:lpstr>
      <vt:lpstr>SIMULADOR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2020-08-28T15:08:52Z</dcterms:modified>
</cp:coreProperties>
</file>