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9C7A7BFA-20CE-4DE4-A658-0C3B49868CFD}" xr6:coauthVersionLast="33" xr6:coauthVersionMax="33" xr10:uidLastSave="{00000000-0000-0000-0000-000000000000}"/>
  <bookViews>
    <workbookView xWindow="1680" yWindow="300" windowWidth="14880" windowHeight="7815" activeTab="1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Calculadora_Tactica" sheetId="83" r:id="rId8"/>
    <sheet name="Capitan" sheetId="76" r:id="rId9"/>
    <sheet name="Entrenador" sheetId="85" r:id="rId10"/>
    <sheet name="Entrenamiento" sheetId="86" r:id="rId11"/>
    <sheet name="Resumen_Rend" sheetId="96" r:id="rId12"/>
    <sheet name="352" sheetId="105" r:id="rId13"/>
    <sheet name="541" sheetId="106" r:id="rId14"/>
    <sheet name="DEF" sheetId="108" r:id="rId15"/>
    <sheet name="JUG" sheetId="107" r:id="rId16"/>
    <sheet name="PAS" sheetId="110" r:id="rId17"/>
    <sheet name="LAT" sheetId="111" r:id="rId18"/>
    <sheet name="El Desierto de Tattoine" sheetId="3" r:id="rId19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T21" i="118" l="1"/>
  <c r="U21" i="118"/>
  <c r="W32" i="118"/>
  <c r="W31" i="118"/>
  <c r="W30" i="118"/>
  <c r="W28" i="118"/>
  <c r="W24" i="118"/>
  <c r="W23" i="118"/>
  <c r="W22" i="118"/>
  <c r="T28" i="118" l="1"/>
  <c r="T29" i="118"/>
  <c r="U29" i="118"/>
  <c r="T30" i="118"/>
  <c r="T31" i="118"/>
  <c r="T32" i="118"/>
  <c r="U24" i="118"/>
  <c r="T23" i="118"/>
  <c r="T24" i="118"/>
  <c r="T27" i="118"/>
  <c r="T22" i="118"/>
  <c r="N23" i="118"/>
  <c r="N24" i="118"/>
  <c r="N22" i="118"/>
  <c r="O21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T15" i="118"/>
  <c r="E32" i="118" s="1"/>
  <c r="U15" i="118"/>
  <c r="F32" i="118" s="1"/>
  <c r="T14" i="118"/>
  <c r="U14" i="118"/>
  <c r="T11" i="118"/>
  <c r="E28" i="118" s="1"/>
  <c r="U11" i="118"/>
  <c r="F28" i="118"/>
  <c r="U12" i="118"/>
  <c r="F29" i="118" s="1"/>
  <c r="U13" i="118"/>
  <c r="T12" i="118"/>
  <c r="E29" i="118" s="1"/>
  <c r="T13" i="118"/>
  <c r="T10" i="118"/>
  <c r="E27" i="118" s="1"/>
  <c r="U10" i="118"/>
  <c r="F27" i="118"/>
  <c r="F31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AC10" i="118"/>
  <c r="N27" i="118" s="1"/>
  <c r="AD10" i="118"/>
  <c r="AC11" i="118"/>
  <c r="AD11" i="118"/>
  <c r="O28" i="118" s="1"/>
  <c r="AC12" i="118"/>
  <c r="AD12" i="118" s="1"/>
  <c r="O29" i="118" s="1"/>
  <c r="AC13" i="118"/>
  <c r="AD13" i="118"/>
  <c r="AC14" i="118"/>
  <c r="N31" i="118" s="1"/>
  <c r="AD14" i="118"/>
  <c r="O31" i="118" s="1"/>
  <c r="AC15" i="118"/>
  <c r="N32" i="118" s="1"/>
  <c r="AD15" i="118"/>
  <c r="AA10" i="118"/>
  <c r="AA11" i="118"/>
  <c r="AA12" i="118"/>
  <c r="AA13" i="118"/>
  <c r="AA14" i="118"/>
  <c r="AA15" i="118"/>
  <c r="L32" i="118" s="1"/>
  <c r="AA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G25" i="118" s="1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S17" i="118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S16" i="118"/>
  <c r="R16" i="118"/>
  <c r="S15" i="118"/>
  <c r="R15" i="118"/>
  <c r="N15" i="118"/>
  <c r="O15" i="118" s="1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AA31" i="118" s="1"/>
  <c r="I31" i="118"/>
  <c r="X31" i="118" s="1"/>
  <c r="R14" i="118"/>
  <c r="N14" i="118"/>
  <c r="O14" i="118" s="1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AA30" i="118" s="1"/>
  <c r="F30" i="118"/>
  <c r="E30" i="118"/>
  <c r="S13" i="118"/>
  <c r="R13" i="118"/>
  <c r="N13" i="118"/>
  <c r="O13" i="118" s="1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AA29" i="118" s="1"/>
  <c r="Z12" i="118"/>
  <c r="K29" i="118" s="1"/>
  <c r="Z29" i="118" s="1"/>
  <c r="S12" i="118"/>
  <c r="R12" i="118"/>
  <c r="N12" i="118"/>
  <c r="O12" i="118" s="1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AA28" i="118" s="1"/>
  <c r="R11" i="118"/>
  <c r="N11" i="118"/>
  <c r="O11" i="118" s="1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AA27" i="118" s="1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S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S8" i="118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S7" i="118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S6" i="118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S5" i="118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U23" i="118" l="1"/>
  <c r="U32" i="118"/>
  <c r="U28" i="118"/>
  <c r="U31" i="118"/>
  <c r="U22" i="118"/>
  <c r="U30" i="118"/>
  <c r="U27" i="118"/>
  <c r="V33" i="118"/>
  <c r="O27" i="118"/>
  <c r="AC19" i="118"/>
  <c r="AC2" i="118"/>
  <c r="S14" i="118"/>
  <c r="AD5" i="118"/>
  <c r="AD19" i="118"/>
  <c r="O2" i="118"/>
  <c r="N28" i="118"/>
  <c r="S10" i="118"/>
  <c r="S11" i="118"/>
  <c r="N29" i="118"/>
  <c r="O32" i="118"/>
  <c r="AD23" i="118"/>
  <c r="O30" i="118"/>
  <c r="O19" i="118" s="1"/>
  <c r="BI21" i="32"/>
  <c r="N19" i="118" l="1"/>
  <c r="AD2" i="118"/>
  <c r="Z11" i="32"/>
  <c r="Z13" i="32"/>
  <c r="Z15" i="32"/>
  <c r="Z12" i="32"/>
  <c r="Z16" i="32"/>
  <c r="Z14" i="32"/>
  <c r="Z17" i="32"/>
  <c r="Z18" i="32"/>
  <c r="Z20" i="32"/>
  <c r="Z19" i="32"/>
  <c r="F27" i="116" l="1"/>
  <c r="F26" i="116"/>
  <c r="F25" i="116"/>
  <c r="H13" i="117" l="1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4" i="116" l="1"/>
  <c r="F23" i="116"/>
  <c r="F22" i="116"/>
  <c r="F21" i="116"/>
  <c r="F20" i="116"/>
  <c r="F13" i="116"/>
  <c r="R6" i="117" l="1"/>
  <c r="L47" i="49" l="1"/>
  <c r="Q6" i="117" l="1"/>
  <c r="W8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X7" i="117" s="1"/>
  <c r="Y7" i="117" s="1"/>
  <c r="Z7" i="117" s="1"/>
  <c r="AA7" i="117" s="1"/>
  <c r="AB7" i="117" s="1"/>
  <c r="AC7" i="117" s="1"/>
  <c r="AD7" i="117" s="1"/>
  <c r="W20" i="116" l="1"/>
  <c r="W21" i="116"/>
  <c r="W22" i="116"/>
  <c r="W23" i="116"/>
  <c r="W24" i="116"/>
  <c r="W25" i="116"/>
  <c r="W26" i="116"/>
  <c r="W27" i="116"/>
  <c r="W18" i="116"/>
  <c r="W12" i="116"/>
  <c r="W7" i="116"/>
  <c r="W28" i="116"/>
  <c r="W13" i="116"/>
  <c r="W19" i="116"/>
  <c r="W6" i="116"/>
  <c r="W17" i="116"/>
  <c r="E19" i="117" l="1"/>
  <c r="E18" i="117"/>
  <c r="O20" i="117"/>
  <c r="P17" i="32"/>
  <c r="U20" i="32" l="1"/>
  <c r="U17" i="32" l="1"/>
  <c r="O6" i="117" l="1"/>
  <c r="T15" i="117" l="1"/>
  <c r="U15" i="117" s="1"/>
  <c r="V15" i="117" s="1"/>
  <c r="W15" i="117" s="1"/>
  <c r="X15" i="117" s="1"/>
  <c r="Y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H14" i="117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Y20" i="117" s="1"/>
  <c r="Z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U10" i="117"/>
  <c r="V10" i="117" s="1"/>
  <c r="W10" i="117" s="1"/>
  <c r="X10" i="117" s="1"/>
  <c r="Y10" i="117" s="1"/>
  <c r="Z10" i="117" s="1"/>
  <c r="AA10" i="117" s="1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T22" i="117" s="1"/>
  <c r="U22" i="117" s="1"/>
  <c r="V22" i="117" s="1"/>
  <c r="W22" i="117" s="1"/>
  <c r="X22" i="117" s="1"/>
  <c r="Y22" i="117" s="1"/>
  <c r="Z22" i="117" s="1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2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C6" i="116" l="1"/>
  <c r="C27" i="116"/>
  <c r="C8" i="116"/>
  <c r="C23" i="116"/>
  <c r="C25" i="116"/>
  <c r="C7" i="116"/>
  <c r="C22" i="116"/>
  <c r="Y9" i="83"/>
  <c r="C21" i="116"/>
  <c r="C12" i="116"/>
  <c r="E8" i="116"/>
  <c r="W8" i="83"/>
  <c r="Y12" i="83"/>
  <c r="C20" i="116"/>
  <c r="C17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12" i="116"/>
  <c r="E28" i="116"/>
  <c r="E7" i="116"/>
  <c r="E6" i="116"/>
  <c r="E17" i="116"/>
  <c r="C18" i="116"/>
  <c r="C26" i="116"/>
  <c r="C24" i="116"/>
  <c r="C19" i="116"/>
  <c r="C13" i="116"/>
  <c r="C28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T3" i="117" s="1"/>
  <c r="U3" i="117" s="1"/>
  <c r="V3" i="117" s="1"/>
  <c r="W3" i="117" s="1"/>
  <c r="X3" i="117" s="1"/>
  <c r="Y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s="1"/>
  <c r="AB14" i="117" l="1"/>
  <c r="AD18" i="117"/>
  <c r="AC25" i="117"/>
  <c r="Z26" i="117"/>
  <c r="AA5" i="117" s="1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X4" i="32"/>
  <c r="B26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6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23" i="32" s="1"/>
  <c r="F15" i="32" l="1"/>
  <c r="E21" i="86" s="1"/>
  <c r="F22" i="32"/>
  <c r="E24" i="86" s="1"/>
  <c r="F11" i="32"/>
  <c r="F13" i="32"/>
  <c r="F14" i="32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9" i="32"/>
  <c r="F5" i="32"/>
  <c r="F6" i="32"/>
  <c r="F16" i="32"/>
  <c r="F9" i="32"/>
  <c r="E25" i="86"/>
  <c r="F21" i="32"/>
  <c r="E23" i="86" s="1"/>
  <c r="F7" i="32"/>
  <c r="D15" i="111"/>
  <c r="E17" i="86" l="1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1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<sst xmlns="http://schemas.openxmlformats.org/spreadsheetml/2006/main" count="2172" uniqueCount="673">
  <si>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</si>
  <si>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</si>
  <si>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</si>
  <si>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</si>
  <si>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</si>
  <si>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</si>
  <si>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</si>
  <si>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</si>
  <si>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</si>
  <si>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</si>
  <si>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</si>
  <si>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</si>
  <si>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</si>
  <si>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</si>
  <si>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</si>
  <si>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</si>
  <si>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</si>
  <si>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</si>
  <si>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</si>
  <si>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</si>
  <si>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</si>
  <si>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</si>
  <si>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</si>
  <si>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</si>
  <si>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</si>
  <si>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</si>
  <si>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</si>
  <si>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</si>
  <si>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</si>
  <si>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</si>
  <si>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</si>
  <si>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</si>
  <si>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</si>
  <si>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</si>
  <si>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</si>
  <si>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</si>
  <si>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</si>
  <si>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</si>
  <si>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</si>
  <si>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</si>
  <si>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</si>
  <si>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</si>
  <si>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</si>
  <si>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</si>
  <si>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</si>
  <si>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</si>
  <si>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</si>
  <si>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</si>
  <si>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</si>
  <si>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</si>
  <si>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</si>
  <si>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</si>
  <si>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</si>
  <si>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</si>
  <si>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</si>
  <si>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</si>
  <si>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</si>
  <si>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</si>
  <si>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</si>
  <si>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</si>
  <si>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</si>
  <si>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</si>
  <si>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</si>
  <si>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</si>
  <si>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</si>
  <si>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</si>
  <si>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</si>
  <si>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</si>
  <si>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</si>
  <si>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</si>
  <si>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</si>
  <si>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</si>
  <si>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</si>
  <si>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</si>
  <si>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</si>
  <si>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</si>
  <si>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</si>
  <si>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</si>
  <si>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</si>
  <si>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</si>
  <si>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</si>
  <si>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</si>
  <si>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</si>
  <si>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</si>
  <si>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</si>
  <si>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</si>
  <si>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</si>
  <si>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</si>
  <si>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</si>
  <si>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</si>
  <si>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</si>
  <si>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</si>
  <si>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</si>
  <si>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</si>
  <si>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</si>
  <si>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</si>
  <si>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</si>
  <si>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</si>
  <si>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</si>
  <si>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</si>
  <si>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</si>
  <si>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</si>
  <si>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</si>
  <si>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</si>
  <si>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</si>
  <si>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</si>
  <si>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</si>
  <si>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</si>
  <si>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</si>
  <si>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</si>
  <si>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</si>
  <si>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</si>
  <si>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</si>
  <si>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</si>
  <si>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</si>
  <si>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</si>
  <si>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</si>
  <si>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</si>
  <si>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</si>
  <si>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</si>
  <si>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</si>
  <si>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</si>
  <si>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</si>
  <si>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</si>
  <si>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</si>
  <si>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</si>
  <si>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</si>
  <si>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</si>
  <si>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</si>
  <si>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</si>
  <si>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</si>
  <si>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</si>
  <si>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</si>
  <si>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</si>
  <si>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</si>
  <si>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</si>
  <si>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</si>
  <si>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</si>
  <si>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</si>
  <si>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</si>
  <si>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</si>
  <si>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</si>
  <si>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</si>
  <si>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</si>
  <si>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</si>
  <si>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</si>
  <si>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</si>
  <si>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</si>
  <si>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</si>
  <si>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</si>
  <si>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</si>
  <si>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</si>
  <si>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</si>
  <si>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</si>
  <si>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</si>
  <si>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</si>
  <si>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</si>
  <si>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</si>
  <si>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</si>
  <si>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</si>
  <si>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</si>
  <si>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</si>
  <si>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</si>
  <si>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</si>
  <si>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</si>
  <si>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</si>
  <si>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</si>
  <si>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</si>
  <si>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</si>
  <si>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</si>
  <si>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</si>
  <si>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</si>
  <si>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</si>
  <si>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</si>
  <si>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</si>
  <si>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</si>
  <si>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</si>
  <si>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</si>
  <si>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</si>
  <si>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</si>
  <si>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</si>
  <si>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</si>
  <si>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</si>
  <si>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</si>
  <si>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</si>
  <si>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</si>
  <si>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</si>
  <si>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</si>
  <si>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</si>
  <si>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</si>
  <si>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</si>
  <si>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</si>
  <si>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</si>
  <si>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</si>
  <si>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</si>
  <si>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</si>
  <si>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</si>
  <si>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</si>
  <si>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</si>
  <si>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</si>
  <si>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</si>
  <si>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</si>
  <si>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</si>
  <si>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</si>
  <si>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</si>
  <si>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</si>
  <si>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</si>
  <si>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</si>
  <si>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</si>
  <si>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</si>
  <si>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</si>
  <si>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</si>
  <si>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</si>
  <si>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</si>
  <si>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</si>
  <si>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</si>
  <si>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</si>
  <si>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</si>
  <si>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</si>
  <si>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</si>
  <si>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</si>
  <si>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</si>
  <si>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</si>
  <si>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</si>
  <si>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</si>
  <si>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</si>
  <si>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</si>
  <si>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</si>
  <si>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</si>
  <si>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</si>
  <si>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</si>
  <si>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</si>
  <si>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</si>
  <si>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</si>
  <si>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</si>
  <si>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</si>
  <si>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</si>
  <si>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</si>
  <si>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</si>
  <si>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</si>
  <si>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</si>
  <si>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</si>
  <si>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</si>
  <si>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</si>
  <si>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</si>
  <si>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</si>
  <si>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</si>
  <si>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</si>
  <si>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</si>
  <si>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</si>
  <si>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</si>
  <si>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</si>
  <si>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</si>
  <si>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</si>
  <si>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</si>
  <si>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</si>
  <si>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</si>
  <si>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</si>
  <si>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</si>
  <si>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</si>
  <si>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</si>
  <si>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</si>
  <si>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</si>
  <si>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</si>
  <si>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</si>
  <si>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</si>
  <si>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</si>
  <si>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</si>
  <si>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</si>
  <si>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</si>
  <si>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</si>
  <si>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</si>
  <si>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</si>
  <si>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</si>
  <si>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</si>
  <si>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</si>
  <si>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</si>
  <si>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</si>
  <si>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</si>
  <si>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</si>
  <si>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</si>
  <si>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</si>
  <si>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</si>
  <si>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</si>
  <si>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</si>
  <si>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</si>
  <si>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</si>
  <si>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</si>
  <si>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</si>
  <si>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</si>
  <si>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</si>
  <si>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</si>
  <si>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</si>
  <si>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</si>
  <si>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</si>
  <si>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</si>
  <si>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</si>
  <si>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</si>
  <si>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</si>
  <si>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</si>
  <si>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</si>
  <si>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</si>
  <si>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</si>
  <si>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</si>
  <si>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</si>
  <si>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</si>
  <si>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</si>
  <si>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</si>
  <si>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</si>
  <si>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</si>
  <si>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</si>
  <si>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</si>
  <si>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</si>
  <si>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</si>
  <si>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</si>
  <si>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</si>
  <si>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</si>
  <si>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</si>
  <si>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</si>
  <si>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</si>
  <si>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</si>
  <si>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</si>
  <si>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</si>
  <si>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</si>
  <si>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</si>
  <si>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</si>
  <si>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</si>
  <si>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</si>
  <si>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</si>
  <si>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</si>
  <si>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</si>
  <si>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</si>
  <si>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</si>
  <si>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</si>
  <si>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</si>
  <si>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</si>
  <si>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</si>
  <si>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</si>
  <si>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</si>
  <si>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</si>
  <si>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</si>
  <si>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</si>
  <si>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</si>
  <si>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</si>
  <si>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</si>
  <si>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</si>
  <si>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</si>
  <si>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</si>
  <si>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</si>
  <si>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</si>
  <si>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</si>
  <si>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</si>
  <si>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</si>
  <si>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</si>
  <si>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</si>
  <si>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</si>
  <si>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</si>
  <si>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</si>
  <si>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</si>
  <si>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</si>
  <si>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</si>
  <si>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</si>
  <si>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</si>
  <si>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</si>
  <si>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</si>
  <si>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</si>
  <si>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</si>
  <si>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</si>
  <si>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</si>
  <si>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</si>
  <si>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</si>
  <si>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</si>
  <si>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</si>
  <si>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</si>
  <si>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</si>
  <si>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</si>
  <si>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</si>
  <si>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</si>
  <si>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</si>
  <si>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</si>
  <si>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</si>
  <si>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</si>
  <si>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</si>
  <si>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</si>
  <si>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</si>
  <si>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</si>
  <si>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</si>
  <si>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</si>
  <si>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</si>
  <si>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</si>
  <si>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</si>
  <si>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</si>
  <si>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</si>
  <si>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</si>
  <si>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</si>
  <si>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</si>
  <si>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</si>
  <si>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</si>
  <si>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</si>
  <si>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</si>
  <si>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</si>
  <si>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</si>
  <si>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</si>
  <si>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</si>
  <si>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</si>
  <si>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</si>
  <si>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</si>
  <si>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</si>
  <si>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</si>
  <si>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</si>
  <si>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</si>
  <si>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</si>
  <si>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</si>
  <si>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</si>
  <si>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</si>
  <si>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</si>
  <si>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</si>
  <si>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</si>
  <si>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</si>
  <si>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</si>
  <si>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</si>
  <si>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J. Vartiainen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</si>
  <si>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</si>
  <si>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</si>
  <si>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</si>
  <si>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</si>
  <si>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</si>
  <si>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</si>
  <si>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</si>
  <si>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</si>
  <si>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</si>
  <si>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</si>
  <si>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</si>
  <si>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</si>
  <si>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</si>
  <si>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</si>
  <si>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</si>
  <si>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</si>
  <si>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</si>
  <si>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</si>
  <si>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</si>
  <si>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</si>
  <si>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</si>
  <si>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</si>
  <si>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</si>
  <si>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</si>
  <si>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</si>
  <si>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</si>
  <si>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</si>
  <si>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</si>
  <si>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</si>
  <si>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</si>
  <si>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</si>
  <si>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</si>
  <si>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</si>
  <si>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</si>
  <si>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</si>
  <si>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</si>
  <si>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</si>
  <si>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</si>
  <si>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</si>
  <si>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</si>
  <si>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</si>
  <si>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</si>
  <si>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</si>
  <si>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</si>
  <si>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</si>
  <si>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</si>
  <si>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</si>
  <si>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</si>
  <si>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</si>
  <si>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</si>
  <si>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</si>
  <si>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</si>
  <si>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</si>
  <si>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</si>
  <si>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</si>
  <si>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</si>
  <si>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</si>
  <si>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</si>
  <si>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</si>
  <si>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</si>
  <si>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</si>
  <si>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</si>
  <si>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</si>
  <si>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</si>
  <si>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</si>
  <si>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</si>
  <si>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</si>
  <si>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</si>
  <si>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</si>
  <si>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</si>
  <si>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</si>
  <si>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</si>
  <si>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</si>
  <si>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</si>
  <si>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</si>
  <si>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</si>
  <si>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</si>
  <si>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</si>
  <si>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</si>
  <si>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</si>
  <si>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</si>
  <si>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</si>
  <si>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</si>
  <si>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</si>
  <si>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</si>
  <si>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</si>
  <si>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</si>
  <si>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</si>
  <si>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</si>
  <si>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</si>
  <si>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</si>
  <si>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</si>
  <si>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</si>
  <si>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</si>
  <si>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</si>
  <si>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</si>
  <si>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</si>
  <si>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</si>
  <si>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</si>
  <si>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</si>
  <si>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</si>
  <si>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</si>
  <si>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</si>
  <si>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</si>
  <si>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</si>
  <si>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</si>
  <si>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</si>
  <si>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</si>
  <si>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</si>
  <si>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</si>
  <si>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</si>
  <si>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</si>
  <si>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</si>
  <si>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</si>
  <si>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</si>
  <si>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</si>
  <si>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</si>
  <si>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</si>
  <si>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</si>
  <si>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</si>
  <si>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</si>
  <si>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</si>
  <si>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</si>
  <si>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</si>
  <si>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</si>
  <si>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</si>
  <si>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</si>
  <si>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</si>
  <si>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</si>
  <si>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</si>
  <si>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</si>
  <si>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</si>
  <si>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</si>
  <si>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</si>
  <si>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</si>
  <si>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</si>
  <si>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</si>
  <si>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</si>
  <si>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</si>
  <si>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</si>
  <si>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</si>
  <si>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</si>
  <si>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</si>
  <si>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</si>
  <si>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</si>
  <si>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</si>
  <si>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</si>
  <si>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</si>
  <si>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</si>
  <si>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</si>
  <si>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</si>
  <si>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</si>
  <si>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</si>
  <si>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</si>
  <si>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</si>
  <si>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</si>
  <si>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</si>
  <si>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</si>
  <si>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</si>
  <si>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</si>
  <si>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</si>
  <si>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</si>
  <si>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</si>
  <si>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</si>
  <si>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</si>
  <si>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</si>
  <si>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</si>
  <si>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</si>
  <si>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</si>
  <si>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</si>
  <si>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</si>
  <si>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</si>
  <si>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</si>
  <si>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</si>
  <si>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</si>
  <si>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</si>
  <si>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</si>
  <si>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</si>
  <si>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</si>
  <si>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</si>
  <si>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</si>
  <si>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</si>
  <si>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</si>
  <si>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</si>
  <si>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</si>
  <si>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</si>
  <si>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</si>
  <si>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</si>
  <si>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</si>
  <si>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</si>
  <si>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</si>
  <si>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</si>
  <si>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</si>
  <si>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</si>
  <si>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</si>
  <si>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</si>
  <si>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</si>
  <si>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</si>
  <si>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</si>
  <si>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</si>
  <si>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</si>
  <si>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</si>
  <si>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</si>
  <si>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</si>
  <si>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</si>
  <si>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</si>
  <si>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</si>
  <si>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</si>
  <si>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</si>
  <si>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</si>
  <si>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</si>
  <si>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</si>
  <si>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</si>
  <si>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</si>
  <si>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</si>
  <si>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</si>
  <si>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</si>
  <si>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</si>
  <si>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</si>
  <si>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</si>
  <si>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</si>
  <si>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</si>
  <si>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</si>
  <si>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</si>
  <si>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</si>
  <si>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</si>
  <si>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</si>
  <si>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</si>
  <si>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</si>
  <si>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</si>
  <si>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</si>
  <si>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</si>
  <si>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</si>
  <si>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</si>
  <si>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</si>
  <si>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</si>
  <si>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</si>
  <si>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</si>
  <si>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</si>
  <si>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</si>
  <si>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</si>
  <si>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</si>
  <si>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</si>
  <si>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</si>
  <si>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</si>
  <si>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Jarkko Vartiainen</t>
  </si>
  <si>
    <t>Valério Godoi</t>
  </si>
  <si>
    <t>27(90)</t>
  </si>
  <si>
    <t>Brendon Hackler</t>
  </si>
  <si>
    <t>Coby Shaw</t>
  </si>
  <si>
    <t>CAB/IMP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</si>
</sst>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0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42" fillId="44" borderId="0" xfId="4" applyFont="1" applyFill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5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6" borderId="0" xfId="5" applyFill="1" applyBorder="1"/>
    <xf numFmtId="0" fontId="55" fillId="50" borderId="0" xfId="4" applyFont="1" applyFill="1" applyBorder="1" applyAlignment="1">
      <alignment horizontal="left"/>
    </xf>
    <xf numFmtId="0" fontId="55" fillId="50" borderId="0" xfId="4" applyFont="1" applyFill="1" applyBorder="1" applyAlignment="1">
      <alignment horizontal="center"/>
    </xf>
    <xf numFmtId="0" fontId="56" fillId="50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58" fillId="50" borderId="0" xfId="4" applyFont="1" applyFill="1" applyBorder="1" applyAlignment="1">
      <alignment horizontal="center"/>
    </xf>
    <xf numFmtId="0" fontId="59" fillId="50" borderId="0" xfId="4" applyFont="1" applyFill="1" applyBorder="1" applyAlignment="1">
      <alignment horizontal="center"/>
    </xf>
    <xf numFmtId="0" fontId="58" fillId="51" borderId="0" xfId="4" applyFont="1" applyFill="1" applyBorder="1" applyAlignment="1">
      <alignment horizontal="left"/>
    </xf>
    <xf numFmtId="0" fontId="37" fillId="52" borderId="0" xfId="4" applyFont="1" applyFill="1" applyBorder="1" applyAlignment="1">
      <alignment horizontal="right"/>
    </xf>
    <xf numFmtId="0" fontId="15" fillId="52" borderId="0" xfId="4" applyFill="1" applyAlignment="1">
      <alignment horizontal="right"/>
    </xf>
    <xf numFmtId="0" fontId="23" fillId="52" borderId="0" xfId="4" applyFont="1" applyFill="1" applyBorder="1" applyAlignment="1">
      <alignment horizontal="right"/>
    </xf>
    <xf numFmtId="0" fontId="51" fillId="52" borderId="0" xfId="4" applyFont="1" applyFill="1" applyBorder="1" applyAlignment="1">
      <alignment horizontal="right"/>
    </xf>
    <xf numFmtId="0" fontId="68" fillId="52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2" fontId="65" fillId="47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8" borderId="1" xfId="4" applyNumberFormat="1" applyFont="1" applyFill="1" applyBorder="1" applyAlignment="1">
      <alignment horizontal="center"/>
    </xf>
    <xf numFmtId="2" fontId="65" fillId="49" borderId="1" xfId="4" applyNumberFormat="1" applyFont="1" applyFill="1" applyBorder="1" applyAlignment="1">
      <alignment horizontal="right"/>
    </xf>
    <xf numFmtId="2" fontId="64" fillId="48" borderId="1" xfId="4" applyNumberFormat="1" applyFont="1" applyFill="1" applyBorder="1" applyAlignment="1">
      <alignment horizontal="right"/>
    </xf>
    <xf numFmtId="0" fontId="37" fillId="53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4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4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6" borderId="28" xfId="0" applyFont="1" applyFill="1" applyBorder="1"/>
    <xf numFmtId="175" fontId="81" fillId="56" borderId="28" xfId="0" applyNumberFormat="1" applyFont="1" applyFill="1" applyBorder="1"/>
    <xf numFmtId="175" fontId="81" fillId="56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8" borderId="27" xfId="0" applyFont="1" applyFill="1" applyBorder="1" applyAlignment="1">
      <alignment wrapText="1"/>
    </xf>
    <xf numFmtId="164" fontId="77" fillId="57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9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9" borderId="27" xfId="0" applyNumberFormat="1" applyFont="1" applyFill="1" applyBorder="1"/>
    <xf numFmtId="0" fontId="84" fillId="0" borderId="0" xfId="0" applyFont="1"/>
    <xf numFmtId="0" fontId="77" fillId="60" borderId="27" xfId="0" applyFont="1" applyFill="1" applyBorder="1"/>
    <xf numFmtId="164" fontId="77" fillId="59" borderId="27" xfId="2" applyNumberFormat="1" applyFont="1" applyFill="1" applyBorder="1" applyAlignment="1" applyProtection="1"/>
    <xf numFmtId="0" fontId="81" fillId="56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1" borderId="27" xfId="0" applyFont="1" applyFill="1" applyBorder="1" applyAlignment="1">
      <alignment horizontal="center"/>
    </xf>
    <xf numFmtId="177" fontId="77" fillId="61" borderId="27" xfId="3" applyNumberFormat="1" applyFont="1" applyFill="1" applyBorder="1" applyAlignment="1" applyProtection="1">
      <alignment horizontal="center" wrapText="1"/>
    </xf>
    <xf numFmtId="0" fontId="77" fillId="61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1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1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2" borderId="27" xfId="0" applyFont="1" applyFill="1" applyBorder="1" applyAlignment="1">
      <alignment wrapText="1"/>
    </xf>
    <xf numFmtId="175" fontId="0" fillId="62" borderId="27" xfId="0" applyNumberFormat="1" applyFill="1" applyBorder="1"/>
    <xf numFmtId="175" fontId="0" fillId="62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3" borderId="27" xfId="0" applyNumberFormat="1" applyFont="1" applyFill="1" applyBorder="1" applyAlignment="1">
      <alignment horizontal="center" wrapText="1"/>
    </xf>
    <xf numFmtId="175" fontId="0" fillId="64" borderId="27" xfId="0" applyNumberFormat="1" applyFill="1" applyBorder="1"/>
    <xf numFmtId="175" fontId="84" fillId="64" borderId="27" xfId="0" applyNumberFormat="1" applyFont="1" applyFill="1" applyBorder="1"/>
    <xf numFmtId="0" fontId="77" fillId="64" borderId="27" xfId="0" applyFont="1" applyFill="1" applyBorder="1" applyAlignment="1">
      <alignment wrapText="1"/>
    </xf>
    <xf numFmtId="0" fontId="77" fillId="64" borderId="27" xfId="0" applyFont="1" applyFill="1" applyBorder="1"/>
    <xf numFmtId="0" fontId="84" fillId="64" borderId="27" xfId="0" applyFont="1" applyFill="1" applyBorder="1" applyAlignment="1">
      <alignment wrapText="1"/>
    </xf>
    <xf numFmtId="0" fontId="84" fillId="64" borderId="27" xfId="0" applyFont="1" applyFill="1" applyBorder="1"/>
    <xf numFmtId="0" fontId="86" fillId="62" borderId="27" xfId="0" applyFont="1" applyFill="1" applyBorder="1"/>
    <xf numFmtId="0" fontId="86" fillId="62" borderId="27" xfId="0" applyFont="1" applyFill="1" applyBorder="1" applyAlignment="1">
      <alignment wrapText="1"/>
    </xf>
    <xf numFmtId="175" fontId="86" fillId="62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5" borderId="27" xfId="0" applyNumberFormat="1" applyFont="1" applyFill="1" applyBorder="1"/>
    <xf numFmtId="175" fontId="86" fillId="65" borderId="27" xfId="0" applyNumberFormat="1" applyFont="1" applyFill="1" applyBorder="1"/>
    <xf numFmtId="0" fontId="77" fillId="63" borderId="27" xfId="0" applyFont="1" applyFill="1" applyBorder="1" applyAlignment="1">
      <alignment horizontal="center" wrapText="1"/>
    </xf>
    <xf numFmtId="0" fontId="81" fillId="66" borderId="28" xfId="0" applyFont="1" applyFill="1" applyBorder="1"/>
    <xf numFmtId="175" fontId="81" fillId="66" borderId="28" xfId="0" applyNumberFormat="1" applyFont="1" applyFill="1" applyBorder="1"/>
    <xf numFmtId="175" fontId="81" fillId="66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8" borderId="0" xfId="4" applyNumberFormat="1" applyFont="1" applyFill="1" applyBorder="1" applyAlignment="1">
      <alignment horizontal="center"/>
    </xf>
    <xf numFmtId="2" fontId="63" fillId="48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7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169" fontId="88" fillId="48" borderId="0" xfId="4" applyNumberFormat="1" applyFont="1" applyFill="1" applyBorder="1" applyAlignment="1">
      <alignment horizontal="center"/>
    </xf>
    <xf numFmtId="2" fontId="88" fillId="48" borderId="0" xfId="4" applyNumberFormat="1" applyFont="1" applyFill="1" applyBorder="1" applyAlignment="1">
      <alignment horizontal="righ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8" borderId="1" xfId="4" applyNumberFormat="1" applyFont="1" applyFill="1" applyBorder="1" applyAlignment="1">
      <alignment horizontal="center"/>
    </xf>
    <xf numFmtId="2" fontId="68" fillId="49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2" borderId="27" xfId="0" applyNumberFormat="1" applyFont="1" applyFill="1" applyBorder="1"/>
    <xf numFmtId="175" fontId="2" fillId="62" borderId="27" xfId="0" applyNumberFormat="1" applyFont="1" applyFill="1" applyBorder="1" applyAlignment="1">
      <alignment horizontal="center"/>
    </xf>
    <xf numFmtId="175" fontId="2" fillId="64" borderId="27" xfId="0" applyNumberFormat="1" applyFont="1" applyFill="1" applyBorder="1"/>
    <xf numFmtId="2" fontId="64" fillId="48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50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5" borderId="34" xfId="0" applyFont="1" applyFill="1" applyBorder="1" applyAlignment="1">
      <alignment horizontal="center"/>
    </xf>
    <xf numFmtId="0" fontId="10" fillId="55" borderId="30" xfId="0" applyFont="1" applyFill="1" applyBorder="1" applyAlignment="1">
      <alignment horizontal="center"/>
    </xf>
    <xf numFmtId="175" fontId="83" fillId="57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2" borderId="31" xfId="0" applyFont="1" applyFill="1" applyBorder="1" applyAlignment="1">
      <alignment horizontal="center" vertical="top" wrapText="1"/>
    </xf>
    <xf numFmtId="0" fontId="77" fillId="62" borderId="13" xfId="0" applyFont="1" applyFill="1" applyBorder="1" applyAlignment="1">
      <alignment horizontal="center" vertical="top" wrapText="1"/>
    </xf>
    <xf numFmtId="0" fontId="77" fillId="62" borderId="28" xfId="0" applyFont="1" applyFill="1" applyBorder="1" applyAlignment="1">
      <alignment horizontal="center" vertical="top" wrapText="1"/>
    </xf>
    <xf numFmtId="0" fontId="77" fillId="64" borderId="31" xfId="0" applyFont="1" applyFill="1" applyBorder="1" applyAlignment="1">
      <alignment horizontal="center" vertical="top" wrapText="1"/>
    </xf>
    <xf numFmtId="0" fontId="77" fillId="64" borderId="13" xfId="0" applyFont="1" applyFill="1" applyBorder="1" applyAlignment="1">
      <alignment horizontal="center" vertical="top" wrapText="1"/>
    </xf>
    <xf numFmtId="0" fontId="77" fillId="64" borderId="28" xfId="0" applyFont="1" applyFill="1" applyBorder="1" applyAlignment="1">
      <alignment horizontal="center" vertical="top" wrapText="1"/>
    </xf>
    <xf numFmtId="0" fontId="77" fillId="61" borderId="16" xfId="0" applyFont="1" applyFill="1" applyBorder="1" applyAlignment="1">
      <alignment horizontal="center" vertical="top" wrapText="1"/>
    </xf>
    <xf numFmtId="175" fontId="84" fillId="59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7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7"/>
  <sheetViews>
    <sheetView zoomScaleNormal="100" workbookViewId="0">
      <selection activeCell="F5" sqref="F5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2" t="s">
        <v>186</v>
      </c>
      <c r="B1" s="662"/>
      <c r="C1" s="662"/>
      <c r="E1" s="661" t="s">
        <v>184</v>
      </c>
      <c r="F1" s="661"/>
      <c r="G1" s="661"/>
      <c r="H1" s="661"/>
    </row>
    <row r="2" spans="1:21" x14ac:dyDescent="0.25">
      <c r="A2" s="663">
        <v>43671</v>
      </c>
      <c r="B2" s="663"/>
      <c r="C2" s="66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654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0" t="s">
        <v>187</v>
      </c>
      <c r="C5" s="660"/>
      <c r="D5"/>
      <c r="G5" s="660" t="s">
        <v>387</v>
      </c>
      <c r="H5" s="660"/>
      <c r="I5" s="660"/>
      <c r="J5" s="103"/>
      <c r="K5" s="103"/>
      <c r="L5" s="660" t="s">
        <v>189</v>
      </c>
      <c r="M5" s="660"/>
      <c r="N5"/>
      <c r="O5" s="2" t="s">
        <v>392</v>
      </c>
      <c r="S5" s="660" t="s">
        <v>386</v>
      </c>
      <c r="T5" s="660"/>
    </row>
    <row r="6" spans="1:21" x14ac:dyDescent="0.25">
      <c r="A6" s="3">
        <v>1</v>
      </c>
      <c r="B6" s="359">
        <v>102</v>
      </c>
      <c r="C6" s="360" t="s">
        <v>345</v>
      </c>
      <c r="D6" s="360" t="s">
        <v>1</v>
      </c>
      <c r="F6" s="77">
        <v>1</v>
      </c>
      <c r="G6" s="359">
        <v>392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0.88118811881188119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382</v>
      </c>
      <c r="H7" s="360" t="s">
        <v>199</v>
      </c>
      <c r="I7" s="360" t="s">
        <v>198</v>
      </c>
      <c r="K7" s="77">
        <v>2</v>
      </c>
      <c r="L7" s="359">
        <v>127</v>
      </c>
      <c r="M7" s="360" t="s">
        <v>199</v>
      </c>
      <c r="N7" s="360" t="s">
        <v>198</v>
      </c>
      <c r="O7" s="367">
        <f>L7/G7</f>
        <v>0.33246073298429318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324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0.4306049822064057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3" t="s">
        <v>192</v>
      </c>
      <c r="I9" s="624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303</v>
      </c>
      <c r="H10" s="351" t="s">
        <v>217</v>
      </c>
      <c r="I10" s="352" t="s">
        <v>91</v>
      </c>
      <c r="K10" s="308">
        <v>5</v>
      </c>
      <c r="L10" s="350">
        <v>91</v>
      </c>
      <c r="M10" s="351" t="s">
        <v>219</v>
      </c>
      <c r="N10" s="352" t="s">
        <v>62</v>
      </c>
      <c r="O10" s="357">
        <f>L10/G8</f>
        <v>0.28086419753086422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6">
        <v>6</v>
      </c>
      <c r="G11" s="350">
        <v>295</v>
      </c>
      <c r="H11" s="351" t="s">
        <v>196</v>
      </c>
      <c r="I11" s="352" t="s">
        <v>62</v>
      </c>
      <c r="K11" s="626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6"/>
      <c r="F12" s="626">
        <v>7</v>
      </c>
      <c r="G12" s="353">
        <v>281</v>
      </c>
      <c r="H12" s="351" t="s">
        <v>253</v>
      </c>
      <c r="I12" s="351" t="s">
        <v>63</v>
      </c>
      <c r="K12" s="626">
        <v>7</v>
      </c>
      <c r="L12" s="350">
        <v>85</v>
      </c>
      <c r="M12" s="351" t="s">
        <v>218</v>
      </c>
      <c r="N12" s="352" t="s">
        <v>63</v>
      </c>
      <c r="O12" s="357">
        <f>L12/G13</f>
        <v>0.30357142857142855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7" t="s">
        <v>188</v>
      </c>
      <c r="C13" s="627"/>
      <c r="E13" s="88"/>
      <c r="F13" s="626">
        <v>8</v>
      </c>
      <c r="G13" s="350">
        <v>280</v>
      </c>
      <c r="H13" s="351" t="s">
        <v>218</v>
      </c>
      <c r="I13" s="352" t="s">
        <v>63</v>
      </c>
      <c r="J13" s="88"/>
      <c r="K13" s="626">
        <v>8</v>
      </c>
      <c r="L13" s="350">
        <v>84</v>
      </c>
      <c r="M13" s="351" t="s">
        <v>211</v>
      </c>
      <c r="N13" s="352" t="s">
        <v>62</v>
      </c>
      <c r="O13" s="357">
        <f>L13/G15</f>
        <v>0.3146067415730337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221</v>
      </c>
      <c r="C14" s="360" t="s">
        <v>345</v>
      </c>
      <c r="D14" s="360" t="s">
        <v>1</v>
      </c>
      <c r="F14" s="626">
        <v>9</v>
      </c>
      <c r="G14" s="350">
        <v>272</v>
      </c>
      <c r="H14" s="351" t="s">
        <v>200</v>
      </c>
      <c r="I14" s="352" t="s">
        <v>183</v>
      </c>
      <c r="K14" s="626">
        <v>9</v>
      </c>
      <c r="L14" s="354">
        <v>83</v>
      </c>
      <c r="M14" s="351" t="s">
        <v>210</v>
      </c>
      <c r="N14" s="352" t="s">
        <v>183</v>
      </c>
      <c r="O14" s="357">
        <f>L14/G6</f>
        <v>0.21173469387755103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6">
        <v>10</v>
      </c>
      <c r="G15" s="350">
        <v>267</v>
      </c>
      <c r="H15" s="351" t="s">
        <v>211</v>
      </c>
      <c r="I15" s="352" t="s">
        <v>62</v>
      </c>
      <c r="K15" s="626">
        <v>10</v>
      </c>
      <c r="L15" s="354">
        <v>68</v>
      </c>
      <c r="M15" s="351" t="s">
        <v>200</v>
      </c>
      <c r="N15" s="352" t="s">
        <v>183</v>
      </c>
      <c r="O15" s="357">
        <f>L15/G14</f>
        <v>0.25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6">
        <v>11</v>
      </c>
      <c r="G16" s="353">
        <v>241</v>
      </c>
      <c r="H16" s="351" t="s">
        <v>345</v>
      </c>
      <c r="I16" s="351" t="s">
        <v>1</v>
      </c>
      <c r="K16" s="626">
        <v>11</v>
      </c>
      <c r="L16" s="354">
        <v>61</v>
      </c>
      <c r="M16" s="351" t="s">
        <v>196</v>
      </c>
      <c r="N16" s="351" t="s">
        <v>62</v>
      </c>
      <c r="O16" s="357">
        <f>L16/G11</f>
        <v>0.20677966101694914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6">
        <v>12</v>
      </c>
      <c r="G17" s="344">
        <v>202</v>
      </c>
      <c r="H17" s="347" t="s">
        <v>191</v>
      </c>
      <c r="I17" s="348" t="s">
        <v>183</v>
      </c>
      <c r="K17" s="626">
        <v>11</v>
      </c>
      <c r="L17" s="350">
        <v>61</v>
      </c>
      <c r="M17" s="351" t="s">
        <v>255</v>
      </c>
      <c r="N17" s="352" t="s">
        <v>91</v>
      </c>
      <c r="O17" s="357">
        <f>L17/G22</f>
        <v>0.48412698412698413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6">
        <v>13</v>
      </c>
      <c r="G18" s="354">
        <v>199</v>
      </c>
      <c r="H18" s="351" t="s">
        <v>89</v>
      </c>
      <c r="I18" s="352" t="s">
        <v>1</v>
      </c>
      <c r="K18" s="626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6">
        <v>14</v>
      </c>
      <c r="G19" s="344">
        <v>172</v>
      </c>
      <c r="H19" s="347" t="s">
        <v>382</v>
      </c>
      <c r="I19" s="347" t="s">
        <v>2</v>
      </c>
      <c r="K19" s="626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6">
        <v>15</v>
      </c>
      <c r="G20" s="344">
        <v>146</v>
      </c>
      <c r="H20" s="347" t="s">
        <v>87</v>
      </c>
      <c r="I20" s="348" t="s">
        <v>1</v>
      </c>
      <c r="K20" s="626">
        <v>15</v>
      </c>
      <c r="L20" s="344">
        <v>32</v>
      </c>
      <c r="M20" s="347" t="s">
        <v>395</v>
      </c>
      <c r="N20" s="347" t="s">
        <v>64</v>
      </c>
      <c r="O20" s="349">
        <f>L20/G24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6">
        <v>15</v>
      </c>
      <c r="G21" s="344">
        <v>146</v>
      </c>
      <c r="H21" s="347" t="s">
        <v>385</v>
      </c>
      <c r="I21" s="347" t="s">
        <v>64</v>
      </c>
      <c r="K21" s="626">
        <v>16</v>
      </c>
      <c r="L21" s="350">
        <v>27</v>
      </c>
      <c r="M21" s="351" t="s">
        <v>230</v>
      </c>
      <c r="N21" s="351" t="s">
        <v>62</v>
      </c>
      <c r="O21" s="357">
        <f>L21/G23</f>
        <v>0.24545454545454545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6">
        <v>17</v>
      </c>
      <c r="G22" s="353">
        <v>126</v>
      </c>
      <c r="H22" s="355" t="s">
        <v>294</v>
      </c>
      <c r="I22" s="356" t="s">
        <v>91</v>
      </c>
      <c r="K22" s="626">
        <v>17</v>
      </c>
      <c r="L22" s="350">
        <v>24</v>
      </c>
      <c r="M22" s="351" t="s">
        <v>295</v>
      </c>
      <c r="N22" s="351" t="s">
        <v>2</v>
      </c>
      <c r="O22" s="357">
        <f>L22/G25</f>
        <v>0.26373626373626374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44">
        <v>1</v>
      </c>
      <c r="C23" s="347" t="s">
        <v>88</v>
      </c>
      <c r="D23" s="348" t="s">
        <v>91</v>
      </c>
      <c r="F23" s="626">
        <v>18</v>
      </c>
      <c r="G23" s="353">
        <v>110</v>
      </c>
      <c r="H23" s="351" t="s">
        <v>230</v>
      </c>
      <c r="I23" s="351" t="s">
        <v>62</v>
      </c>
      <c r="K23" s="626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191</v>
      </c>
      <c r="D24" s="347" t="s">
        <v>2</v>
      </c>
      <c r="F24" s="626">
        <v>19</v>
      </c>
      <c r="G24" s="344">
        <v>96</v>
      </c>
      <c r="H24" s="347" t="s">
        <v>395</v>
      </c>
      <c r="I24" s="347" t="s">
        <v>64</v>
      </c>
      <c r="K24" s="626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403</v>
      </c>
      <c r="D25" s="348" t="s">
        <v>2</v>
      </c>
      <c r="F25" s="626">
        <v>20</v>
      </c>
      <c r="G25" s="350">
        <v>91</v>
      </c>
      <c r="H25" s="351" t="s">
        <v>295</v>
      </c>
      <c r="I25" s="351" t="s">
        <v>183</v>
      </c>
      <c r="K25" s="626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B26" s="296">
        <f>SUM(B14:B25)</f>
        <v>438</v>
      </c>
      <c r="F26" s="626">
        <v>21</v>
      </c>
      <c r="G26" s="344">
        <v>89</v>
      </c>
      <c r="H26" s="347" t="s">
        <v>201</v>
      </c>
      <c r="I26" s="348" t="s">
        <v>183</v>
      </c>
      <c r="K26" s="626">
        <v>21</v>
      </c>
      <c r="L26" s="354">
        <v>11</v>
      </c>
      <c r="M26" s="351" t="s">
        <v>89</v>
      </c>
      <c r="N26" s="352" t="s">
        <v>1</v>
      </c>
      <c r="O26" s="357">
        <f>L26/G18</f>
        <v>5.5276381909547742E-2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626"/>
      <c r="F27" s="626">
        <v>22</v>
      </c>
      <c r="G27" s="344">
        <v>55</v>
      </c>
      <c r="H27" s="347" t="s">
        <v>88</v>
      </c>
      <c r="I27" s="348" t="s">
        <v>91</v>
      </c>
      <c r="K27" s="626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6"/>
      <c r="F28" s="645">
        <v>23</v>
      </c>
      <c r="G28" s="344">
        <v>38</v>
      </c>
      <c r="H28" s="347" t="s">
        <v>83</v>
      </c>
      <c r="I28" s="348" t="s">
        <v>2</v>
      </c>
      <c r="K28" s="626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44" t="s">
        <v>384</v>
      </c>
      <c r="T28" s="347" t="s">
        <v>347</v>
      </c>
      <c r="U28" s="347" t="s">
        <v>64</v>
      </c>
    </row>
    <row r="29" spans="1:21" x14ac:dyDescent="0.25">
      <c r="B29" s="626"/>
      <c r="F29" s="645">
        <v>24</v>
      </c>
      <c r="G29" s="344">
        <v>34</v>
      </c>
      <c r="H29" s="347" t="s">
        <v>85</v>
      </c>
      <c r="I29" s="348" t="s">
        <v>260</v>
      </c>
      <c r="K29" s="626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24</v>
      </c>
      <c r="S29" s="344" t="s">
        <v>229</v>
      </c>
      <c r="T29" s="347" t="s">
        <v>254</v>
      </c>
      <c r="U29" s="348" t="s">
        <v>91</v>
      </c>
    </row>
    <row r="30" spans="1:21" x14ac:dyDescent="0.25">
      <c r="B30" s="626"/>
      <c r="F30" s="645">
        <v>25</v>
      </c>
      <c r="G30" s="344">
        <v>32</v>
      </c>
      <c r="H30" s="347" t="s">
        <v>248</v>
      </c>
      <c r="I30" s="348" t="s">
        <v>64</v>
      </c>
      <c r="K30" s="626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24</v>
      </c>
      <c r="S30" s="344" t="s">
        <v>229</v>
      </c>
      <c r="T30" s="347" t="s">
        <v>248</v>
      </c>
      <c r="U30" s="347" t="s">
        <v>91</v>
      </c>
    </row>
    <row r="31" spans="1:21" x14ac:dyDescent="0.25">
      <c r="B31" s="626"/>
      <c r="G31"/>
      <c r="K31" s="626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/>
    </row>
    <row r="32" spans="1:21" x14ac:dyDescent="0.25">
      <c r="B32" s="626"/>
      <c r="G32"/>
      <c r="K32" s="626">
        <v>27</v>
      </c>
      <c r="L32" s="344">
        <v>6</v>
      </c>
      <c r="M32" s="347" t="s">
        <v>87</v>
      </c>
      <c r="N32" s="348" t="s">
        <v>1</v>
      </c>
      <c r="O32" s="349"/>
      <c r="P32" s="347"/>
    </row>
    <row r="33" spans="2:16" x14ac:dyDescent="0.25">
      <c r="B33" s="626"/>
      <c r="G33"/>
      <c r="K33" s="626">
        <v>28</v>
      </c>
      <c r="L33" s="344">
        <v>3</v>
      </c>
      <c r="M33" s="347" t="s">
        <v>347</v>
      </c>
      <c r="N33" s="347" t="s">
        <v>64</v>
      </c>
      <c r="O33" s="349"/>
      <c r="P33" s="347"/>
    </row>
    <row r="34" spans="2:16" x14ac:dyDescent="0.25">
      <c r="B34" s="626"/>
      <c r="G34"/>
      <c r="K34" s="626">
        <v>28</v>
      </c>
      <c r="L34" s="344">
        <v>3</v>
      </c>
      <c r="M34" s="347" t="s">
        <v>297</v>
      </c>
      <c r="N34" s="347" t="s">
        <v>62</v>
      </c>
      <c r="O34" s="349"/>
      <c r="P34" s="347"/>
    </row>
    <row r="35" spans="2:16" x14ac:dyDescent="0.25">
      <c r="B35" s="626"/>
      <c r="G35"/>
      <c r="K35" s="626">
        <v>28</v>
      </c>
      <c r="L35" s="344">
        <v>3</v>
      </c>
      <c r="M35" s="347" t="s">
        <v>403</v>
      </c>
      <c r="N35" s="347" t="s">
        <v>183</v>
      </c>
      <c r="O35" s="349"/>
      <c r="P35" s="347">
        <v>49</v>
      </c>
    </row>
    <row r="36" spans="2:16" x14ac:dyDescent="0.25">
      <c r="B36" s="626"/>
      <c r="G36"/>
      <c r="K36" s="626">
        <v>31</v>
      </c>
      <c r="L36" s="353">
        <v>2</v>
      </c>
      <c r="M36" s="351" t="s">
        <v>345</v>
      </c>
      <c r="N36" s="355" t="s">
        <v>1</v>
      </c>
      <c r="O36" s="357">
        <f>L36/G16</f>
        <v>8.2987551867219917E-3</v>
      </c>
      <c r="P36" s="355">
        <v>3</v>
      </c>
    </row>
    <row r="37" spans="2:16" x14ac:dyDescent="0.25">
      <c r="B37" s="645"/>
      <c r="G37"/>
      <c r="K37" s="645">
        <v>32</v>
      </c>
      <c r="L37" s="353">
        <v>2</v>
      </c>
      <c r="M37" s="351" t="s">
        <v>661</v>
      </c>
      <c r="N37" s="355" t="s">
        <v>62</v>
      </c>
      <c r="O37" s="357"/>
      <c r="P37" s="355"/>
    </row>
    <row r="38" spans="2:16" x14ac:dyDescent="0.25">
      <c r="B38" s="645"/>
      <c r="G38"/>
      <c r="K38" s="645">
        <v>33</v>
      </c>
      <c r="L38" s="353">
        <v>2</v>
      </c>
      <c r="M38" s="351" t="s">
        <v>663</v>
      </c>
      <c r="N38" s="355" t="s">
        <v>62</v>
      </c>
      <c r="O38" s="357"/>
      <c r="P38" s="355"/>
    </row>
    <row r="39" spans="2:16" x14ac:dyDescent="0.25">
      <c r="B39" s="645"/>
      <c r="G39"/>
      <c r="K39" s="645">
        <v>34</v>
      </c>
      <c r="L39" s="353">
        <v>2</v>
      </c>
      <c r="M39" s="351" t="s">
        <v>664</v>
      </c>
      <c r="N39" s="355" t="s">
        <v>62</v>
      </c>
      <c r="O39" s="357"/>
      <c r="P39" s="355"/>
    </row>
    <row r="40" spans="2:16" x14ac:dyDescent="0.25">
      <c r="B40" s="645"/>
      <c r="G40"/>
      <c r="K40" s="645">
        <v>35</v>
      </c>
      <c r="L40" s="353">
        <v>2</v>
      </c>
      <c r="M40" s="351" t="s">
        <v>668</v>
      </c>
      <c r="N40" s="355" t="s">
        <v>63</v>
      </c>
      <c r="O40" s="357"/>
      <c r="P40" s="355"/>
    </row>
    <row r="41" spans="2:16" x14ac:dyDescent="0.25">
      <c r="B41" s="645"/>
      <c r="G41"/>
      <c r="K41" s="645">
        <v>36</v>
      </c>
      <c r="L41" s="353">
        <v>1</v>
      </c>
      <c r="M41" s="351" t="s">
        <v>666</v>
      </c>
      <c r="N41" s="355" t="s">
        <v>62</v>
      </c>
      <c r="O41" s="357"/>
      <c r="P41" s="355"/>
    </row>
    <row r="42" spans="2:16" x14ac:dyDescent="0.25">
      <c r="B42" s="645"/>
      <c r="G42"/>
      <c r="K42" s="645">
        <v>37</v>
      </c>
      <c r="L42" s="353">
        <v>0</v>
      </c>
      <c r="M42" s="351" t="s">
        <v>667</v>
      </c>
      <c r="N42" s="355" t="s">
        <v>62</v>
      </c>
      <c r="O42" s="357"/>
      <c r="P42" s="355"/>
    </row>
    <row r="43" spans="2:16" x14ac:dyDescent="0.25">
      <c r="B43" s="645"/>
      <c r="G43"/>
      <c r="K43" s="645">
        <v>38</v>
      </c>
      <c r="L43" s="353">
        <v>0</v>
      </c>
      <c r="M43" s="351" t="s">
        <v>665</v>
      </c>
      <c r="N43" s="355" t="s">
        <v>63</v>
      </c>
      <c r="O43" s="357"/>
      <c r="P43" s="355"/>
    </row>
    <row r="44" spans="2:16" x14ac:dyDescent="0.25">
      <c r="B44" s="645"/>
      <c r="G44"/>
      <c r="K44" s="645">
        <v>39</v>
      </c>
      <c r="L44" s="353">
        <v>0</v>
      </c>
      <c r="M44" s="351" t="s">
        <v>662</v>
      </c>
      <c r="N44" s="355" t="s">
        <v>62</v>
      </c>
      <c r="O44" s="357"/>
      <c r="P44" s="355"/>
    </row>
    <row r="45" spans="2:16" x14ac:dyDescent="0.25">
      <c r="B45" s="645"/>
      <c r="G45"/>
      <c r="K45" s="645">
        <v>40</v>
      </c>
      <c r="L45" s="353">
        <v>0</v>
      </c>
      <c r="M45" s="351" t="s">
        <v>660</v>
      </c>
      <c r="N45" s="355" t="s">
        <v>63</v>
      </c>
      <c r="O45" s="357"/>
      <c r="P45" s="355"/>
    </row>
    <row r="46" spans="2:16" x14ac:dyDescent="0.25">
      <c r="B46" s="645"/>
      <c r="G46"/>
      <c r="K46" s="645">
        <v>41</v>
      </c>
      <c r="L46" s="353">
        <v>0</v>
      </c>
      <c r="M46" s="351" t="s">
        <v>659</v>
      </c>
      <c r="N46" s="355" t="s">
        <v>62</v>
      </c>
      <c r="O46" s="357"/>
      <c r="P46" s="355"/>
    </row>
    <row r="47" spans="2:16" x14ac:dyDescent="0.25">
      <c r="B47" s="626"/>
      <c r="G47"/>
      <c r="L47" s="297">
        <f>SUM(L6:L37)</f>
        <v>1529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84557.142857142855</v>
      </c>
      <c r="S2" s="63">
        <v>2068800</v>
      </c>
      <c r="T2" s="63">
        <f ca="1">S2+Q2+P2+R2</f>
        <v>2932000</v>
      </c>
      <c r="U2" s="67">
        <f ca="1">T2/((O2-N2)/112)</f>
        <v>572097.56097560981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59957.142857142855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12.491071428571429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43704</v>
      </c>
    </row>
    <row r="8" spans="1:22" x14ac:dyDescent="0.25">
      <c r="A8" s="53">
        <v>41757</v>
      </c>
    </row>
    <row r="9" spans="1:22" x14ac:dyDescent="0.25">
      <c r="A9" s="55">
        <f ca="1">A7-A8</f>
        <v>1947</v>
      </c>
    </row>
    <row r="10" spans="1:22" x14ac:dyDescent="0.25">
      <c r="A10" s="149">
        <f ca="1">A9/112</f>
        <v>17.383928571428573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43704</v>
      </c>
      <c r="P13" s="267">
        <v>1800000</v>
      </c>
      <c r="Q13" s="63">
        <v>372</v>
      </c>
      <c r="R13" s="63">
        <f t="shared" ref="R13" ca="1" si="4">((TODAY()-N13)/7)*L13</f>
        <v>98249.142857142855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612534.7537688443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43704</v>
      </c>
      <c r="B18" s="87"/>
      <c r="C18">
        <v>400</v>
      </c>
      <c r="D18">
        <v>1</v>
      </c>
    </row>
    <row r="19" spans="1:22" x14ac:dyDescent="0.25">
      <c r="A19">
        <f ca="1">A18-A17</f>
        <v>796</v>
      </c>
      <c r="C19">
        <f>C18-C17</f>
        <v>288</v>
      </c>
      <c r="D19" s="254">
        <f ca="1">(A19-C17)/C19</f>
        <v>2.375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6" t="s">
        <v>108</v>
      </c>
      <c r="B28" s="696"/>
      <c r="C28" s="696"/>
      <c r="D28" s="696"/>
    </row>
    <row r="29" spans="1:22" x14ac:dyDescent="0.25">
      <c r="A29" s="697" t="s">
        <v>92</v>
      </c>
      <c r="B29" s="698" t="s">
        <v>109</v>
      </c>
      <c r="C29" s="698" t="s">
        <v>110</v>
      </c>
      <c r="D29" s="698" t="s">
        <v>111</v>
      </c>
    </row>
    <row r="30" spans="1:22" x14ac:dyDescent="0.25">
      <c r="A30" s="697"/>
      <c r="B30" s="698"/>
      <c r="C30" s="698"/>
      <c r="D30" s="69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699" t="s">
        <v>278</v>
      </c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43704</v>
      </c>
      <c r="D2" s="664">
        <v>41471</v>
      </c>
      <c r="E2" s="664"/>
      <c r="F2" s="66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0">
        <v>451</v>
      </c>
      <c r="AI3" s="70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66</v>
      </c>
      <c r="F4" s="134"/>
      <c r="G4" s="327">
        <f>Plantilla!H4</f>
        <v>6</v>
      </c>
      <c r="H4" s="102">
        <f>Plantilla!I4</f>
        <v>24</v>
      </c>
      <c r="I4" s="184">
        <f>Plantilla!X4</f>
        <v>16.666666666666668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73</v>
      </c>
      <c r="R4" s="92">
        <f t="shared" ref="R4:R27" si="5">H4+$R$2</f>
        <v>24</v>
      </c>
      <c r="S4" s="200">
        <f>I4</f>
        <v>16.666666666666668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75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7.95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82</v>
      </c>
      <c r="R5" s="92">
        <f t="shared" si="5"/>
        <v>8.4</v>
      </c>
      <c r="S5" s="200">
        <f t="shared" ref="S5:S12" si="14">I5</f>
        <v>7.95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77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84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85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92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39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11.95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46</v>
      </c>
      <c r="R9" s="92">
        <f t="shared" si="5"/>
        <v>17.399999999999999</v>
      </c>
      <c r="S9" s="200">
        <f t="shared" si="14"/>
        <v>0</v>
      </c>
      <c r="T9" s="200">
        <f t="shared" si="15"/>
        <v>11.95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34</v>
      </c>
      <c r="E10" s="138">
        <f ca="1">Plantilla!F9</f>
        <v>110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34</v>
      </c>
      <c r="Q10" s="147">
        <f t="shared" ca="1" si="22"/>
        <v>117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652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7.5519999999999978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63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70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31" t="s">
        <v>653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6.3100000000000005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21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9.1999999999999993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28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17.2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31" t="s">
        <v>653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76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83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31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37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44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37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44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J. Vartiainen</v>
      </c>
      <c r="D17" s="133">
        <f>Plantilla!E19</f>
        <v>19</v>
      </c>
      <c r="E17" s="138">
        <f ca="1">Plantilla!F19</f>
        <v>83</v>
      </c>
      <c r="F17" s="134" t="str">
        <f>Plantilla!G19</f>
        <v>CAB</v>
      </c>
      <c r="G17" s="327">
        <f>Plantilla!H19</f>
        <v>4</v>
      </c>
      <c r="H17" s="102">
        <f>Plantilla!I19</f>
        <v>0.4</v>
      </c>
      <c r="I17" s="184">
        <f>Plantilla!X19</f>
        <v>0</v>
      </c>
      <c r="J17" s="184">
        <f>Plantilla!Y19</f>
        <v>7</v>
      </c>
      <c r="K17" s="184">
        <f>Plantilla!Z19</f>
        <v>8.6999999999999993</v>
      </c>
      <c r="L17" s="184">
        <f>Plantilla!AA19</f>
        <v>1</v>
      </c>
      <c r="M17" s="184">
        <f>Plantilla!AB19</f>
        <v>1</v>
      </c>
      <c r="N17" s="184">
        <f>Plantilla!AC19</f>
        <v>6</v>
      </c>
      <c r="O17" s="184">
        <f>Plantilla!AD19</f>
        <v>1</v>
      </c>
      <c r="P17" s="146">
        <f t="shared" si="21"/>
        <v>19</v>
      </c>
      <c r="Q17" s="147">
        <f t="shared" ca="1" si="22"/>
        <v>90</v>
      </c>
      <c r="R17" s="92">
        <f t="shared" si="5"/>
        <v>0.4</v>
      </c>
      <c r="S17" s="200">
        <f t="shared" si="23"/>
        <v>0</v>
      </c>
      <c r="T17" s="200">
        <f>J17+T$2/5</f>
        <v>7</v>
      </c>
      <c r="U17" s="200">
        <f>K17+U$2/5</f>
        <v>16.7</v>
      </c>
      <c r="V17" s="200">
        <f t="shared" si="24"/>
        <v>1</v>
      </c>
      <c r="W17" s="200">
        <f t="shared" si="25"/>
        <v>1</v>
      </c>
      <c r="X17" s="200">
        <f>N17+X$2/4</f>
        <v>10.25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0">
        <v>550</v>
      </c>
      <c r="AI17" s="70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78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9.4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85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17.399999999999999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7.9999999999999982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36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9.3333333333333339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43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19.333333333333336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10.000000000000002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42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9.6923076923076916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49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17.692307692307693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8.0000000000000018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23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30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38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8.6363636363636367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45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18.636363636363637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35</v>
      </c>
      <c r="E23" s="138">
        <f ca="1">Plantilla!F21</f>
        <v>98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35</v>
      </c>
      <c r="Q23" s="147">
        <f t="shared" ca="1" si="22"/>
        <v>105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1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8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1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8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652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7.5519999999999978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38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9.9499999999999993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45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9.9499999999999993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69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76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31" t="s">
        <v>653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6.3100000000000005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31" t="s">
        <v>653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16.666666666666668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15.727765885352309</v>
      </c>
      <c r="P3" s="244">
        <f ca="1">Evaluacion!Y3</f>
        <v>23.17888695073291</v>
      </c>
      <c r="Q3" s="244">
        <f ca="1">Evaluacion!Z3</f>
        <v>15.727765885352309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1.8502789528069794</v>
      </c>
      <c r="P5" s="244">
        <f ca="1">Evaluacion!AB14</f>
        <v>4.7810825653927109</v>
      </c>
      <c r="Q5" s="244">
        <f ca="1">O5</f>
        <v>1.8502789528069794</v>
      </c>
      <c r="R5" s="244">
        <f ca="1">Evaluacion!AD14</f>
        <v>2.565897650563465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9.1999999999999993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0.95822263685897868</v>
      </c>
      <c r="P7" s="244">
        <f ca="1">Evaluacion!BF12*N7</f>
        <v>1.1459157306767169</v>
      </c>
      <c r="Q7" s="244">
        <v>0</v>
      </c>
      <c r="R7" s="244">
        <f ca="1">Evaluacion!BG12*N7</f>
        <v>6.6805008009373195</v>
      </c>
      <c r="S7" s="244">
        <f ca="1">Evaluacion!BH12*N7</f>
        <v>2.453803691297705</v>
      </c>
      <c r="T7" s="244">
        <f ca="1">Evaluacion!BI12*N7</f>
        <v>0.79357957210657681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0.32637408773760018</v>
      </c>
      <c r="P8" s="244">
        <f ca="1">Evaluacion!AY15*N8</f>
        <v>0.92098508003555624</v>
      </c>
      <c r="Q8" s="244">
        <f ca="1">O8</f>
        <v>0.32637408773760018</v>
      </c>
      <c r="R8" s="244">
        <f ca="1">Evaluacion!BA15*N8</f>
        <v>8.9024627000888898</v>
      </c>
      <c r="S8" s="244">
        <f ca="1">((Evaluacion!BB15+Evaluacion!BD15)/2)*N8</f>
        <v>0.74997979734186704</v>
      </c>
      <c r="T8" s="244">
        <f ca="1">Evaluacion!BC15*N8</f>
        <v>2.8708069477489784</v>
      </c>
      <c r="U8" s="244">
        <f ca="1">S8</f>
        <v>0.74997979734186704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1.0234028203834344</v>
      </c>
      <c r="Q9" s="244">
        <f ca="1">Evaluacion!BE13*N9</f>
        <v>0.85577649635511321</v>
      </c>
      <c r="R9" s="244">
        <f ca="1">Evaluacion!BG13*N9</f>
        <v>6.22498099068335</v>
      </c>
      <c r="S9" s="244">
        <v>0</v>
      </c>
      <c r="T9" s="244">
        <f ca="1">Evaluacion!BI13*N9</f>
        <v>1.3052108612425508</v>
      </c>
      <c r="U9" s="244">
        <f ca="1">Evaluacion!BH13*N9</f>
        <v>2.92045749230136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9.3333333333333339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2.3587349298050904</v>
      </c>
      <c r="S12" s="244">
        <f ca="1">N12*Evaluacion!CH18</f>
        <v>3.9743953907488341</v>
      </c>
      <c r="T12" s="244">
        <f ca="1">N12*Evaluacion!CI18</f>
        <v>5.7690824756126728</v>
      </c>
      <c r="U12" s="244">
        <f ca="1">S12</f>
        <v>3.9743953907488341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9.6923076923076916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4.191768475066481</v>
      </c>
      <c r="S13" s="244">
        <f ca="1">N13*Evaluacion!CE19</f>
        <v>3.613177827136278</v>
      </c>
      <c r="T13" s="244">
        <f ca="1">N13*Evaluacion!CF19</f>
        <v>6.6325027127743743</v>
      </c>
      <c r="U13" s="244">
        <f ca="1">S13</f>
        <v>3.613177827136278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16.666666666666668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15.727765885352309</v>
      </c>
      <c r="O2" s="244">
        <f ca="1">Evaluacion!Y3</f>
        <v>23.17888695073291</v>
      </c>
      <c r="P2" s="244">
        <f ca="1">Evaluacion!Z3</f>
        <v>15.727765885352309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0.96988002920246186</v>
      </c>
      <c r="O8" s="244">
        <f ca="1">M8*Evaluacion!BF13</f>
        <v>1.1598565297678924</v>
      </c>
      <c r="P8" s="244">
        <v>0</v>
      </c>
      <c r="Q8" s="244">
        <f ca="1">Evaluacion!BG13*M8</f>
        <v>7.0549784561077971</v>
      </c>
      <c r="R8" s="244">
        <f ca="1">Evaluacion!BH13*M8</f>
        <v>3.309851824608208</v>
      </c>
      <c r="S8" s="244">
        <f ca="1">Evaluacion!BI13*M8</f>
        <v>1.479238976074891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9.1999999999999993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1.2987044947669459</v>
      </c>
      <c r="P9" s="244">
        <f ca="1">M9*Evaluacion!BE12</f>
        <v>1.0859856551068428</v>
      </c>
      <c r="Q9" s="244">
        <f ca="1">Evaluacion!BG12*M9</f>
        <v>7.5712342410622968</v>
      </c>
      <c r="R9" s="244">
        <v>0</v>
      </c>
      <c r="S9" s="244">
        <f ca="1">Evaluacion!BI12*M9</f>
        <v>0.89939018172078722</v>
      </c>
      <c r="T9" s="244">
        <f ca="1">Evaluacion!BH12*M9</f>
        <v>2.7809775168040658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9.6923076923076916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4.4357338360491863</v>
      </c>
      <c r="R12" s="244">
        <f ca="1">M12*Evaluacion!CE19</f>
        <v>3.8234686001442095</v>
      </c>
      <c r="S12" s="244">
        <f ca="1">M12*Evaluacion!CF19</f>
        <v>7.0185213891792326</v>
      </c>
      <c r="T12" s="244">
        <f ca="1">R12</f>
        <v>3.8234686001442095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77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39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66</v>
      </c>
      <c r="E11" s="49">
        <f>Plantilla!X4</f>
        <v>16.666666666666668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1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35</v>
      </c>
      <c r="D13" s="3">
        <f ca="1">Plantilla!F21</f>
        <v>98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1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34</v>
      </c>
      <c r="D15" s="3">
        <f ca="1">Plantilla!F9</f>
        <v>110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38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9.9499999999999993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69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85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63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75</v>
      </c>
      <c r="E22" s="49">
        <f>Plantilla!X5</f>
        <v>7.95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34</v>
      </c>
      <c r="D4" s="86">
        <f ca="1">Plantilla!F9</f>
        <v>110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1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38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9.9499999999999993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35</v>
      </c>
      <c r="D8" s="86">
        <f ca="1">Plantilla!F21</f>
        <v>98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1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39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77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69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66</v>
      </c>
      <c r="E19" s="49">
        <f>Plantilla!X4</f>
        <v>16.666666666666668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75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38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9.9499999999999993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1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34</v>
      </c>
      <c r="D6" s="86">
        <f ca="1">Plantilla!F9</f>
        <v>110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35</v>
      </c>
      <c r="D9" s="86">
        <f ca="1">Plantilla!F21</f>
        <v>98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1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39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69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66</v>
      </c>
      <c r="E14" s="49">
        <f>Plantilla!X4</f>
        <v>16.666666666666668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77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75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1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77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39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35</v>
      </c>
      <c r="D9" s="86">
        <f ca="1">Plantilla!F21</f>
        <v>98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34</v>
      </c>
      <c r="D11" s="86">
        <f ca="1">Plantilla!F9</f>
        <v>110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1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38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9.9499999999999993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69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66</v>
      </c>
      <c r="E18" s="49">
        <f>Plantilla!X4</f>
        <v>16.666666666666668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75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85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63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6" t="s">
        <v>11</v>
      </c>
      <c r="E2" s="706"/>
      <c r="F2" s="707" t="s">
        <v>12</v>
      </c>
      <c r="G2" s="707"/>
      <c r="H2" s="708" t="s">
        <v>13</v>
      </c>
      <c r="I2" s="70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tabSelected="1"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D4" sqref="D4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40" bestFit="1" customWidth="1"/>
    <col min="34" max="34" width="6.5703125" style="640" bestFit="1" customWidth="1"/>
    <col min="35" max="36" width="7.5703125" style="640" bestFit="1" customWidth="1"/>
    <col min="37" max="39" width="6.5703125" style="640" bestFit="1" customWidth="1"/>
    <col min="40" max="40" width="7" style="640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43704</v>
      </c>
      <c r="E1" s="664">
        <v>41471</v>
      </c>
      <c r="F1" s="664"/>
      <c r="G1" s="66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3"/>
      <c r="AG1" s="633"/>
      <c r="AH1" s="634"/>
      <c r="AI1" s="634"/>
      <c r="AJ1" s="635"/>
      <c r="AK1" s="634"/>
      <c r="AL1" s="634"/>
      <c r="AM1" s="634"/>
      <c r="AN1" s="634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7.8863636363636367</v>
      </c>
      <c r="J2" s="336"/>
      <c r="K2" s="336"/>
      <c r="M2" s="337">
        <f>AVERAGE(M4:M25)</f>
        <v>4.754545454545454</v>
      </c>
      <c r="N2" s="336"/>
      <c r="O2" s="336"/>
      <c r="P2" s="336"/>
      <c r="Q2" s="337">
        <f t="shared" ref="Q2:V2" si="0">AVERAGE(Q4:Q25)</f>
        <v>4.9545454545454541</v>
      </c>
      <c r="R2" s="338">
        <f t="shared" si="0"/>
        <v>0.82849995393313192</v>
      </c>
      <c r="S2" s="338">
        <f t="shared" si="0"/>
        <v>0.90320730916750125</v>
      </c>
      <c r="T2" s="339">
        <f t="shared" si="0"/>
        <v>16023.181818181818</v>
      </c>
      <c r="U2" s="339">
        <f t="shared" si="0"/>
        <v>-487.72727272727275</v>
      </c>
      <c r="V2" s="339">
        <f t="shared" si="0"/>
        <v>3566.6363636363635</v>
      </c>
      <c r="W2" s="340"/>
      <c r="X2" s="341">
        <f>(X4+X5)/2</f>
        <v>12.308333333333334</v>
      </c>
      <c r="Y2" s="341">
        <f>AVERAGE(Y4:Y10)</f>
        <v>9.6228412698412704</v>
      </c>
      <c r="Z2" s="341">
        <f>AVERAGE(Z11:Z16)</f>
        <v>9.1</v>
      </c>
      <c r="AA2" s="341">
        <f>AVERAGE(AA17:AA20)</f>
        <v>7</v>
      </c>
      <c r="AB2" s="341">
        <f>AVERAGE(AB5:AB25)</f>
        <v>6.5073015873015878</v>
      </c>
      <c r="AC2" s="341">
        <f>AVERAGE(AC21:AC25)</f>
        <v>6.15</v>
      </c>
      <c r="AD2" s="341">
        <f>AVERAGE(AD4:AD25)</f>
        <v>10.224595959595957</v>
      </c>
      <c r="AE2" s="340"/>
      <c r="AF2" s="636"/>
      <c r="AG2" s="636"/>
      <c r="AH2" s="637"/>
      <c r="AI2" s="637"/>
      <c r="AJ2" s="637"/>
      <c r="AK2" s="637"/>
      <c r="AL2" s="637"/>
      <c r="AM2" s="637"/>
      <c r="AN2" s="637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422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-1.5892857142857142</v>
      </c>
      <c r="D4" s="630" t="s">
        <v>344</v>
      </c>
      <c r="E4" s="133">
        <v>35</v>
      </c>
      <c r="F4" s="138">
        <f ca="1">-42406+$D$1-112-112-112-112-112-112-112-112-112-112-112</f>
        <v>66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4.0999999999999996</v>
      </c>
      <c r="N4" s="178">
        <f>M4*10+19</f>
        <v>60</v>
      </c>
      <c r="O4" s="303">
        <v>42468</v>
      </c>
      <c r="P4" s="304">
        <f ca="1">IF((TODAY()-O4)&gt;335,1,((TODAY()-O4)^0.64)/(336^0.64))</f>
        <v>1</v>
      </c>
      <c r="Q4" s="178">
        <v>3</v>
      </c>
      <c r="R4" s="199">
        <f>(Q4/7)^0.5</f>
        <v>0.65465367070797709</v>
      </c>
      <c r="S4" s="199">
        <f>IF(Q4=7,1,((Q4+0.99)/7)^0.5)</f>
        <v>0.75498344352707503</v>
      </c>
      <c r="T4" s="111">
        <v>33310</v>
      </c>
      <c r="U4" s="268">
        <f t="shared" ref="U4:U20" si="3">T4-BG4</f>
        <v>2480</v>
      </c>
      <c r="V4" s="111">
        <v>13512</v>
      </c>
      <c r="W4" s="108">
        <f t="shared" ref="W4:W26" si="4">T4/V4</f>
        <v>2.4652161042036709</v>
      </c>
      <c r="X4" s="184">
        <f>16+12/18</f>
        <v>16.666666666666668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1379</v>
      </c>
      <c r="AF4" s="638">
        <f ca="1">(Z4+P4+J4)*(Q4/7)^0.5</f>
        <v>3.2300088465490768</v>
      </c>
      <c r="AG4" s="638">
        <f ca="1">(Z4+P4+J4)*(IF(Q4=7, (Q4/7)^0.5, ((Q4+1)/7)^0.5))</f>
        <v>3.7296929540799639</v>
      </c>
      <c r="AH4" s="108">
        <f ca="1">(((Y4+P4+J4)+(AB4+P4+J4)*2)/8)*(Q4/7)^0.5</f>
        <v>1.8364475729820222</v>
      </c>
      <c r="AI4" s="108">
        <f ca="1">(1.66*(AC4+J4+P4)+0.55*(AD4+J4+P4)-7.6)*(Q4/7)^0.5</f>
        <v>5.7211907498919032</v>
      </c>
      <c r="AJ4" s="108">
        <f ca="1">((AD4+J4+P4)*0.7+(AC4+J4+P4)*0.3)*(Q4/7)^0.5</f>
        <v>10.215163513003191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9">
        <f ca="1">(AD4+P4+(LOG(I4)*4/3))*(Q4/7)^0.5</f>
        <v>13.774097618578383</v>
      </c>
      <c r="AN4" s="639">
        <f ca="1">(AD4+P4+(LOG(I4)*4/3))*(IF(Q4=7, (Q4/7)^0.5, ((Q4+1)/7)^0.5))</f>
        <v>15.904957935860825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30830</v>
      </c>
      <c r="BH4" s="316"/>
      <c r="BJ4" s="136"/>
      <c r="BK4" s="139"/>
    </row>
    <row r="5" spans="1:63" s="81" customFormat="1" x14ac:dyDescent="0.25">
      <c r="A5" s="131" t="s">
        <v>428</v>
      </c>
      <c r="B5" s="131" t="s">
        <v>1</v>
      </c>
      <c r="C5" s="132">
        <f ca="1">((34*112)-(E5*112)-(F5))/112</f>
        <v>-5.6696428571428568</v>
      </c>
      <c r="D5" s="630" t="s">
        <v>93</v>
      </c>
      <c r="E5" s="133">
        <v>39</v>
      </c>
      <c r="F5" s="138">
        <f ca="1">82-41471+$D$1-112-112-112-112-112-112-112-112-112-112-112-112-112-112-112-112-112-112-112-112</f>
        <v>75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4</v>
      </c>
      <c r="R5" s="199">
        <f t="shared" ref="R5:R20" si="9">(Q5/7)^0.5</f>
        <v>0.7559289460184544</v>
      </c>
      <c r="S5" s="199">
        <f t="shared" ref="S5:S20" si="10">IF(Q5=7,1,((Q5+0.99)/7)^0.5)</f>
        <v>0.84430867747355465</v>
      </c>
      <c r="T5" s="111">
        <v>470</v>
      </c>
      <c r="U5" s="268">
        <f t="shared" si="3"/>
        <v>10</v>
      </c>
      <c r="V5" s="111">
        <v>450</v>
      </c>
      <c r="W5" s="108">
        <f t="shared" si="4"/>
        <v>1.0444444444444445</v>
      </c>
      <c r="X5" s="184">
        <v>7.95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413</v>
      </c>
      <c r="AF5" s="638">
        <f t="shared" ref="AF5:AF20" si="11">(Z5+P5+J5)*(Q5/7)^0.5</f>
        <v>2.1147141026447764</v>
      </c>
      <c r="AG5" s="638">
        <f t="shared" ref="AG5:AG20" si="12">(Z5+P5+J5)*(IF(Q5=7, (Q5/7)^0.5, ((Q5+1)/7)^0.5))</f>
        <v>2.3643222432455939</v>
      </c>
      <c r="AH5" s="108">
        <f t="shared" ref="AH5:AH20" si="13">(((Y5+P5+J5)+(AB5+P5+J5)*2)/8)*(Q5/7)^0.5</f>
        <v>1.6292641850247063</v>
      </c>
      <c r="AI5" s="108">
        <f t="shared" ref="AI5:AI20" si="14">(1.66*(AC5+J5+P5)+0.55*(AD5+J5+P5)-7.6)*(Q5/7)^0.5</f>
        <v>4.7283230154312932</v>
      </c>
      <c r="AJ5" s="108">
        <f t="shared" ref="AJ5:AJ20" si="15">((AD5+J5+P5)*0.7+(AC5+J5+P5)*0.3)*(Q5/7)^0.5</f>
        <v>9.4963602605149848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9">
        <f t="shared" ref="AM5:AM20" si="18">(AD5+P5+(LOG(I5)*4/3))*(Q5/7)^0.5</f>
        <v>12.61068817137105</v>
      </c>
      <c r="AN5" s="639">
        <f t="shared" ref="AN5:AN20" si="19">(AD5+P5+(LOG(I5)*4/3))*(IF(Q5=7, (Q5/7)^0.5, ((Q5+1)/7)^0.5))</f>
        <v>14.099177997119094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460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-2.6875</v>
      </c>
      <c r="D6" s="630" t="s">
        <v>95</v>
      </c>
      <c r="E6" s="133">
        <v>36</v>
      </c>
      <c r="F6" s="138">
        <f ca="1">84-41471+$D$1-112-112-112-112-112-112-112-112-112-112-112-112-112-112-112-112-112-112-112-112</f>
        <v>77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10600</v>
      </c>
      <c r="U6" s="268">
        <f t="shared" si="3"/>
        <v>60</v>
      </c>
      <c r="V6" s="111">
        <v>2980</v>
      </c>
      <c r="W6" s="108">
        <f t="shared" si="4"/>
        <v>3.5570469798657718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1444</v>
      </c>
      <c r="AF6" s="638">
        <f t="shared" si="11"/>
        <v>13.85404271677152</v>
      </c>
      <c r="AG6" s="638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9">
        <f t="shared" si="18"/>
        <v>18.850665544221354</v>
      </c>
      <c r="AN6" s="639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10540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1.2410714285714286</v>
      </c>
      <c r="D7" s="630" t="s">
        <v>258</v>
      </c>
      <c r="E7" s="57">
        <v>32</v>
      </c>
      <c r="F7" s="58">
        <f ca="1">75-41471+$D$1-24-112-10-112-112+6-112-112-112+45-112-112-112-112-112-112-112-112-112-112-112-112-112-112</f>
        <v>85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5.2</v>
      </c>
      <c r="N7" s="178">
        <f t="shared" si="8"/>
        <v>71</v>
      </c>
      <c r="O7" s="178" t="s">
        <v>256</v>
      </c>
      <c r="P7" s="304">
        <v>1.5</v>
      </c>
      <c r="Q7" s="179">
        <v>6</v>
      </c>
      <c r="R7" s="199">
        <f t="shared" si="9"/>
        <v>0.92582009977255142</v>
      </c>
      <c r="S7" s="199">
        <f t="shared" si="10"/>
        <v>0.99928545900129484</v>
      </c>
      <c r="T7" s="269">
        <v>11770</v>
      </c>
      <c r="U7" s="268">
        <f t="shared" si="3"/>
        <v>130</v>
      </c>
      <c r="V7" s="269">
        <v>1710</v>
      </c>
      <c r="W7" s="108">
        <f t="shared" si="4"/>
        <v>6.8830409356725148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8">
        <f t="shared" si="11"/>
        <v>9.8682938778216371</v>
      </c>
      <c r="AG7" s="638">
        <f t="shared" si="12"/>
        <v>10.658975626307969</v>
      </c>
      <c r="AH7" s="108">
        <f t="shared" si="13"/>
        <v>4.0861371240634003</v>
      </c>
      <c r="AI7" s="108">
        <f t="shared" si="14"/>
        <v>9.7287002220285981</v>
      </c>
      <c r="AJ7" s="108">
        <f t="shared" si="15"/>
        <v>11.923871671566637</v>
      </c>
      <c r="AK7" s="108">
        <f t="shared" si="16"/>
        <v>0.76030138343797071</v>
      </c>
      <c r="AL7" s="108">
        <f t="shared" si="17"/>
        <v>0.97039829384155785</v>
      </c>
      <c r="AM7" s="639">
        <f t="shared" si="18"/>
        <v>14.730740034390074</v>
      </c>
      <c r="AN7" s="639">
        <f t="shared" si="19"/>
        <v>15.911017743089626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11640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-2.3482142857142856</v>
      </c>
      <c r="D8" s="630" t="s">
        <v>364</v>
      </c>
      <c r="E8" s="133">
        <v>36</v>
      </c>
      <c r="F8" s="58">
        <f ca="1">46-41471+$D$1-112-112-112-112-112-112-112-112-112-112-112-112-112-112-112-112-112-112-112-112</f>
        <v>39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3.6</v>
      </c>
      <c r="N8" s="178">
        <f t="shared" si="8"/>
        <v>55</v>
      </c>
      <c r="O8" s="178" t="s">
        <v>256</v>
      </c>
      <c r="P8" s="304">
        <v>1.5</v>
      </c>
      <c r="Q8" s="178">
        <v>4</v>
      </c>
      <c r="R8" s="199">
        <f t="shared" si="9"/>
        <v>0.7559289460184544</v>
      </c>
      <c r="S8" s="199">
        <f t="shared" si="10"/>
        <v>0.84430867747355465</v>
      </c>
      <c r="T8" s="111">
        <v>15240</v>
      </c>
      <c r="U8" s="268">
        <f t="shared" si="3"/>
        <v>-620</v>
      </c>
      <c r="V8" s="111">
        <v>5520</v>
      </c>
      <c r="W8" s="108">
        <f t="shared" si="4"/>
        <v>2.7608695652173911</v>
      </c>
      <c r="X8" s="184">
        <v>0</v>
      </c>
      <c r="Y8" s="185">
        <v>11.95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1740</v>
      </c>
      <c r="AF8" s="638">
        <f t="shared" si="11"/>
        <v>11.442060862418819</v>
      </c>
      <c r="AG8" s="638">
        <f t="shared" si="12"/>
        <v>12.792612945529173</v>
      </c>
      <c r="AH8" s="108">
        <f t="shared" si="13"/>
        <v>3.912808350397829</v>
      </c>
      <c r="AI8" s="108">
        <f t="shared" si="14"/>
        <v>13.077946098801531</v>
      </c>
      <c r="AJ8" s="108">
        <f t="shared" si="15"/>
        <v>12.807268538928145</v>
      </c>
      <c r="AK8" s="108">
        <f t="shared" si="16"/>
        <v>1.0283139011210172</v>
      </c>
      <c r="AL8" s="108">
        <f t="shared" si="17"/>
        <v>1.2269496634808901</v>
      </c>
      <c r="AM8" s="639">
        <f t="shared" si="18"/>
        <v>15.635683957048853</v>
      </c>
      <c r="AN8" s="639">
        <f t="shared" si="19"/>
        <v>17.481226101332069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15860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-0.9821428571428571</v>
      </c>
      <c r="D9" s="630" t="s">
        <v>291</v>
      </c>
      <c r="E9" s="57">
        <v>34</v>
      </c>
      <c r="F9" s="58">
        <f ca="1">7-41471+$D$1-112-111-3-112-112-112-112-112-112-112-112-112-112-112-112-112-112-112-112-112</f>
        <v>110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4.2</v>
      </c>
      <c r="N9" s="178">
        <f t="shared" si="8"/>
        <v>61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24620</v>
      </c>
      <c r="U9" s="268">
        <f t="shared" si="3"/>
        <v>-200</v>
      </c>
      <c r="V9" s="269">
        <v>12280</v>
      </c>
      <c r="W9" s="108">
        <f t="shared" si="4"/>
        <v>2.0048859934853418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8">
        <f t="shared" si="11"/>
        <v>15.83660952311539</v>
      </c>
      <c r="AG9" s="638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9">
        <f t="shared" si="18"/>
        <v>17.653650315087059</v>
      </c>
      <c r="AN9" s="639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24820</v>
      </c>
      <c r="BH9" s="316"/>
      <c r="BJ9" s="136"/>
      <c r="BK9" s="139"/>
    </row>
    <row r="10" spans="1:63" s="82" customFormat="1" ht="14.25" customHeight="1" x14ac:dyDescent="0.25">
      <c r="A10" s="100" t="s">
        <v>427</v>
      </c>
      <c r="B10" s="79" t="s">
        <v>2</v>
      </c>
      <c r="C10" s="132">
        <f t="shared" ca="1" si="21"/>
        <v>-0.5625</v>
      </c>
      <c r="D10" s="630" t="s">
        <v>181</v>
      </c>
      <c r="E10" s="57">
        <v>34</v>
      </c>
      <c r="F10" s="58">
        <f ca="1">59-41471+$D$1-325-112-112-112-112-112-112-112-112-112-112-112-112-112-112-112-112-112</f>
        <v>63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-280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8">
        <f t="shared" si="11"/>
        <v>4.3417346916240671</v>
      </c>
      <c r="AG10" s="638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9">
        <f t="shared" si="18"/>
        <v>5.7519284510780038</v>
      </c>
      <c r="AN10" s="639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1550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14.8125</v>
      </c>
      <c r="D11" s="314" t="s">
        <v>404</v>
      </c>
      <c r="E11" s="133">
        <v>19</v>
      </c>
      <c r="F11" s="58">
        <f ca="1">-43571+$D$1-112</f>
        <v>21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5.5</v>
      </c>
      <c r="N11" s="178">
        <f t="shared" si="8"/>
        <v>74</v>
      </c>
      <c r="O11" s="303">
        <v>43626</v>
      </c>
      <c r="P11" s="304">
        <f t="shared" ref="P11:P20" ca="1" si="22">IF((TODAY()-O11)&gt;335,1,((TODAY()-O11)^0.64)/(336^0.64))</f>
        <v>0.39272035185262583</v>
      </c>
      <c r="Q11" s="178">
        <v>5</v>
      </c>
      <c r="R11" s="199">
        <f t="shared" si="9"/>
        <v>0.84515425472851657</v>
      </c>
      <c r="S11" s="199">
        <f t="shared" si="10"/>
        <v>0.92504826128926143</v>
      </c>
      <c r="T11" s="111">
        <v>10880</v>
      </c>
      <c r="U11" s="268">
        <f t="shared" si="3"/>
        <v>630</v>
      </c>
      <c r="V11" s="111">
        <v>1884</v>
      </c>
      <c r="W11" s="108">
        <f t="shared" si="4"/>
        <v>5.7749469214437363</v>
      </c>
      <c r="X11" s="184">
        <v>0</v>
      </c>
      <c r="Y11" s="185">
        <v>4</v>
      </c>
      <c r="Z11" s="184">
        <f>9+1/5</f>
        <v>9.1999999999999993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8">
        <f t="shared" ca="1" si="11"/>
        <v>8.305760788870959</v>
      </c>
      <c r="AG11" s="638">
        <f t="shared" ca="1" si="12"/>
        <v>9.0985050826130554</v>
      </c>
      <c r="AH11" s="108">
        <f t="shared" ca="1" si="13"/>
        <v>1.4666094991060026</v>
      </c>
      <c r="AI11" s="108">
        <f t="shared" ca="1" si="14"/>
        <v>7.3585841808773633</v>
      </c>
      <c r="AJ11" s="108">
        <f t="shared" ca="1" si="15"/>
        <v>5.8548134501582609</v>
      </c>
      <c r="AK11" s="108">
        <f t="shared" ca="1" si="16"/>
        <v>0.58020069578081601</v>
      </c>
      <c r="AL11" s="108">
        <f t="shared" ca="1" si="17"/>
        <v>0.38392560880821403</v>
      </c>
      <c r="AM11" s="639">
        <f t="shared" ca="1" si="18"/>
        <v>5.063612429142732</v>
      </c>
      <c r="AN11" s="639">
        <f t="shared" ca="1" si="19"/>
        <v>5.546909499810007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27</v>
      </c>
      <c r="AT11" s="320">
        <v>16</v>
      </c>
      <c r="AU11" s="320">
        <v>5</v>
      </c>
      <c r="AV11" s="320">
        <f>AR11*1+AS11*0.066</f>
        <v>7.782</v>
      </c>
      <c r="AW11" s="320">
        <f>AR11*0.919+AS11*0.167</f>
        <v>10.023</v>
      </c>
      <c r="AX11" s="320">
        <f>AR11*1+AS11*0.236</f>
        <v>12.372</v>
      </c>
      <c r="AY11" s="320">
        <f>AR11*0.75+AS11*0.165</f>
        <v>8.9550000000000001</v>
      </c>
      <c r="AZ11" s="320">
        <f>AR11*0.73+AS11*0.38</f>
        <v>14.64</v>
      </c>
      <c r="BA11" s="320">
        <f>AR11*0.45+AS11*1</f>
        <v>29.7</v>
      </c>
      <c r="BB11" s="320">
        <f>AR11*0.65+AS11*0.95</f>
        <v>29.549999999999997</v>
      </c>
      <c r="BC11" s="320">
        <f>AR11*0.3+AS11*0.53</f>
        <v>16.11</v>
      </c>
      <c r="BD11" s="320">
        <f>AR11*0.4+AS11*0.44</f>
        <v>14.280000000000001</v>
      </c>
      <c r="BE11" s="320">
        <f>AR11*0.25+AS11*0.73</f>
        <v>21.21</v>
      </c>
      <c r="BF11" s="320">
        <f>AS11*0.46</f>
        <v>12.42</v>
      </c>
      <c r="BG11" s="111">
        <v>10250</v>
      </c>
      <c r="BH11" s="316">
        <v>2327</v>
      </c>
      <c r="BI11" s="644">
        <f>AU11+AT11+AS11+AR11</f>
        <v>54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15.321428571428571</v>
      </c>
      <c r="D12" s="314" t="s">
        <v>424</v>
      </c>
      <c r="E12" s="133">
        <v>18</v>
      </c>
      <c r="F12" s="58">
        <f ca="1">-43628+$D$1</f>
        <v>76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4.5999999999999996</v>
      </c>
      <c r="N12" s="178">
        <f t="shared" si="8"/>
        <v>65</v>
      </c>
      <c r="O12" s="303">
        <v>43633</v>
      </c>
      <c r="P12" s="304">
        <f t="shared" ca="1" si="22"/>
        <v>0.36978407636992311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15860</v>
      </c>
      <c r="U12" s="268">
        <f t="shared" si="3"/>
        <v>1220</v>
      </c>
      <c r="V12" s="111">
        <v>1490</v>
      </c>
      <c r="W12" s="108">
        <f t="shared" si="4"/>
        <v>10.644295302013424</v>
      </c>
      <c r="X12" s="184">
        <v>0</v>
      </c>
      <c r="Y12" s="185">
        <v>3</v>
      </c>
      <c r="Z12" s="184">
        <f>8+0/5</f>
        <v>8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8">
        <f t="shared" ref="AF12" ca="1" si="23">(Z12+P12+J12)*(Q12/7)^0.5</f>
        <v>8.2182572749742935</v>
      </c>
      <c r="AG12" s="638">
        <f t="shared" ref="AG12" ca="1" si="24">(Z12+P12+J12)*(IF(Q12=7, (Q12/7)^0.5, ((Q12+1)/7)^0.5))</f>
        <v>8.8767323986520648</v>
      </c>
      <c r="AH12" s="108">
        <f t="shared" ca="1" si="13"/>
        <v>2.04029886587124</v>
      </c>
      <c r="AI12" s="108">
        <f t="shared" ca="1" si="14"/>
        <v>9.6077708557948149</v>
      </c>
      <c r="AJ12" s="108">
        <f t="shared" ca="1" si="15"/>
        <v>4.6075588858613434</v>
      </c>
      <c r="AK12" s="108">
        <f t="shared" ca="1" si="16"/>
        <v>0.5801385918921651</v>
      </c>
      <c r="AL12" s="108">
        <f t="shared" ca="1" si="17"/>
        <v>0.2413712679056445</v>
      </c>
      <c r="AM12" s="639">
        <f t="shared" ca="1" si="18"/>
        <v>2.3743780934524636</v>
      </c>
      <c r="AN12" s="639">
        <f t="shared" ca="1" si="19"/>
        <v>2.5646214572742405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20</v>
      </c>
      <c r="AT12" s="320">
        <v>27</v>
      </c>
      <c r="AU12" s="320">
        <v>1</v>
      </c>
      <c r="AV12" s="320">
        <f t="shared" ref="AV12:AV20" si="25">AR12*1+AS12*0.066</f>
        <v>4.32</v>
      </c>
      <c r="AW12" s="320">
        <f t="shared" ref="AW12:AW20" si="26">AR12*0.919+AS12*0.167</f>
        <v>6.0970000000000004</v>
      </c>
      <c r="AX12" s="320">
        <f t="shared" ref="AX12:AX20" si="27">AR12*1+AS12*0.236</f>
        <v>7.72</v>
      </c>
      <c r="AY12" s="320">
        <f t="shared" ref="AY12:AY20" si="28">AR12*0.75+AS12*0.165</f>
        <v>5.5500000000000007</v>
      </c>
      <c r="AZ12" s="320">
        <f t="shared" ref="AZ12:AZ20" si="29">AR12*0.73+AS12*0.38</f>
        <v>9.7899999999999991</v>
      </c>
      <c r="BA12" s="320">
        <f t="shared" ref="BA12:BA20" si="30">AR12*0.45+AS12*1</f>
        <v>21.35</v>
      </c>
      <c r="BB12" s="320">
        <f t="shared" ref="BB12:BB20" si="31">AR12*0.65+AS12*0.95</f>
        <v>20.95</v>
      </c>
      <c r="BC12" s="320">
        <f t="shared" ref="BC12:BC20" si="32">AR12*0.3+AS12*0.53</f>
        <v>11.500000000000002</v>
      </c>
      <c r="BD12" s="320">
        <f t="shared" ref="BD12:BD20" si="33">AR12*0.4+AS12*0.44</f>
        <v>10</v>
      </c>
      <c r="BE12" s="320">
        <f t="shared" ref="BE12:BE20" si="34">AR12*0.25+AS12*0.73</f>
        <v>15.35</v>
      </c>
      <c r="BF12" s="320">
        <f t="shared" ref="BF12:BF20" si="35">AS12*0.46</f>
        <v>9.2000000000000011</v>
      </c>
      <c r="BG12" s="111">
        <v>14640</v>
      </c>
      <c r="BH12" s="316">
        <v>4689</v>
      </c>
      <c r="BI12" s="644">
        <f t="shared" ref="BI12:BI21" si="36">AU12+AT12+AS12+AR12</f>
        <v>51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14.669642857142858</v>
      </c>
      <c r="D13" s="314" t="s">
        <v>423</v>
      </c>
      <c r="E13" s="133">
        <v>19</v>
      </c>
      <c r="F13" s="58">
        <f ca="1">-43569+$D$1+14-112</f>
        <v>37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4.7</v>
      </c>
      <c r="N13" s="178">
        <f>M13*10+19</f>
        <v>66</v>
      </c>
      <c r="O13" s="303">
        <v>43630</v>
      </c>
      <c r="P13" s="304">
        <f ca="1">IF((TODAY()-O13)&gt;335,1,((TODAY()-O13)^0.64)/(336^0.64))</f>
        <v>0.37970923784073518</v>
      </c>
      <c r="Q13" s="178">
        <v>5</v>
      </c>
      <c r="R13" s="199">
        <f>(Q13/7)^0.5</f>
        <v>0.84515425472851657</v>
      </c>
      <c r="S13" s="199">
        <f>IF(Q13=7,1,((Q13+0.99)/7)^0.5)</f>
        <v>0.92504826128926143</v>
      </c>
      <c r="T13" s="111">
        <v>15690</v>
      </c>
      <c r="U13" s="268">
        <f>T13-BG13</f>
        <v>700</v>
      </c>
      <c r="V13" s="111">
        <v>2436</v>
      </c>
      <c r="W13" s="108">
        <f>T13/V13</f>
        <v>6.4408866995073888</v>
      </c>
      <c r="X13" s="184">
        <v>0</v>
      </c>
      <c r="Y13" s="185">
        <v>4</v>
      </c>
      <c r="Z13" s="184">
        <f>10+0/6</f>
        <v>10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8">
        <f ca="1">(Z13+P13+J13)*(Q13/7)^0.5</f>
        <v>9.3101101698029609</v>
      </c>
      <c r="AG13" s="638">
        <f ca="1">(Z13+P13+J13)*(IF(Q13=7, (Q13/7)^0.5, ((Q13+1)/7)^0.5))</f>
        <v>10.198714705718668</v>
      </c>
      <c r="AH13" s="108">
        <f ca="1">(((Y13+P13+J13)+(AB13+P13+J13)*2)/8)*(Q13/7)^0.5</f>
        <v>1.1671171131726894</v>
      </c>
      <c r="AI13" s="108">
        <f ca="1">(1.66*(AC13+J13+P13)+0.55*(AD13+J13+P13)-7.6)*(Q13/7)^0.5</f>
        <v>6.6979106126222998</v>
      </c>
      <c r="AJ13" s="108">
        <f ca="1">((AD13+J13+P13)*0.7+(AC13+J13+P13)*0.3)*(Q13/7)^0.5</f>
        <v>2.8869378338662339</v>
      </c>
      <c r="AK13" s="108">
        <f ca="1">(0.5*(AC13+P13+J13)+ 0.3*(AD13+P13+J13))/10</f>
        <v>0.48126967286402289</v>
      </c>
      <c r="AL13" s="108">
        <f ca="1">(0.4*(Y13+P13+J13)+0.3*(AD13+P13+J13))/10</f>
        <v>0.23111096375601994</v>
      </c>
      <c r="AM13" s="639">
        <f ca="1">(AD13+P13+(LOG(I13)*4/3))*(Q13/7)^0.5</f>
        <v>0.66013525343591362</v>
      </c>
      <c r="AN13" s="639">
        <f ca="1">(AD13+P13+(LOG(I13)*4/3))*(IF(Q13=7, (Q13/7)^0.5, ((Q13+1)/7)^0.5))</f>
        <v>0.72314193862247922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33</v>
      </c>
      <c r="AT13" s="320">
        <v>21</v>
      </c>
      <c r="AU13" s="320">
        <v>-1</v>
      </c>
      <c r="AV13" s="320">
        <f>AR13*1+AS13*0.066</f>
        <v>8.1780000000000008</v>
      </c>
      <c r="AW13" s="320">
        <f>AR13*0.919+AS13*0.167</f>
        <v>11.025</v>
      </c>
      <c r="AX13" s="320">
        <f>AR13*1+AS13*0.236</f>
        <v>13.788</v>
      </c>
      <c r="AY13" s="320">
        <f>AR13*0.75+AS13*0.165</f>
        <v>9.9450000000000003</v>
      </c>
      <c r="AZ13" s="320">
        <f>AR13*0.73+AS13*0.38</f>
        <v>16.920000000000002</v>
      </c>
      <c r="BA13" s="320">
        <f>AR13*0.45+AS13*1</f>
        <v>35.700000000000003</v>
      </c>
      <c r="BB13" s="320">
        <f>AR13*0.65+AS13*0.95</f>
        <v>35.25</v>
      </c>
      <c r="BC13" s="320">
        <f>AR13*0.3+AS13*0.53</f>
        <v>19.290000000000003</v>
      </c>
      <c r="BD13" s="320">
        <f>AR13*0.4+AS13*0.44</f>
        <v>16.920000000000002</v>
      </c>
      <c r="BE13" s="320">
        <f>AR13*0.25+AS13*0.73</f>
        <v>25.59</v>
      </c>
      <c r="BF13" s="320">
        <f>AS13*0.46</f>
        <v>15.180000000000001</v>
      </c>
      <c r="BG13" s="111">
        <v>14990</v>
      </c>
      <c r="BH13" s="316">
        <v>1887</v>
      </c>
      <c r="BI13" s="644">
        <f t="shared" si="36"/>
        <v>59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14.669642857142858</v>
      </c>
      <c r="D14" s="314" t="s">
        <v>418</v>
      </c>
      <c r="E14" s="133">
        <v>19</v>
      </c>
      <c r="F14" s="58">
        <f ca="1">-43569+$D$1+14-112</f>
        <v>37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0.38949055134365018</v>
      </c>
      <c r="Q14" s="178">
        <v>6</v>
      </c>
      <c r="R14" s="199">
        <f>(Q14/7)^0.5</f>
        <v>0.92582009977255142</v>
      </c>
      <c r="S14" s="199">
        <f>IF(Q14=7,1,((Q14+0.99)/7)^0.5)</f>
        <v>0.99928545900129484</v>
      </c>
      <c r="T14" s="111">
        <v>21300</v>
      </c>
      <c r="U14" s="268">
        <f>T14-BG14</f>
        <v>1730</v>
      </c>
      <c r="V14" s="111">
        <v>2604</v>
      </c>
      <c r="W14" s="108">
        <f>T14/V14</f>
        <v>8.1797235023041477</v>
      </c>
      <c r="X14" s="184">
        <v>0</v>
      </c>
      <c r="Y14" s="185">
        <v>2</v>
      </c>
      <c r="Z14" s="184">
        <f>10+0/6</f>
        <v>10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8">
        <f ca="1">(Z14+P14+J14)*(Q14/7)^0.5</f>
        <v>10.207770442361843</v>
      </c>
      <c r="AG14" s="638">
        <f ca="1">(Z14+P14+J14)*(IF(Q14=7, (Q14/7)^0.5, ((Q14+1)/7)^0.5))</f>
        <v>11.025652224303201</v>
      </c>
      <c r="AH14" s="108">
        <f ca="1">(((Y14+P14+J14)+(AB14+P14+J14)*2)/8)*(Q14/7)^0.5</f>
        <v>1.5133636664543122</v>
      </c>
      <c r="AI14" s="108">
        <f ca="1">(1.66*(AC14+J14+P14)+0.55*(AD14+J14+P14)-7.6)*(Q14/7)^0.5</f>
        <v>10.412412968603798</v>
      </c>
      <c r="AJ14" s="108">
        <f ca="1">((AD14+J14+P14)*0.7+(AC14+J14+P14)*0.3)*(Q14/7)^0.5</f>
        <v>7.0599821031351677</v>
      </c>
      <c r="AK14" s="108">
        <f ca="1">(0.5*(AC14+P14+J14)+ 0.3*(AD14+P14+J14))/10</f>
        <v>0.66205217794425608</v>
      </c>
      <c r="AL14" s="108">
        <f ca="1">(0.4*(Y14+P14+J14)+0.3*(AD14+P14+J14))/10</f>
        <v>0.33179565570122399</v>
      </c>
      <c r="AM14" s="639">
        <f ca="1">(AD14+P14+(LOG(I14)*4/3))*(Q14/7)^0.5</f>
        <v>6.2871182739009637</v>
      </c>
      <c r="AN14" s="639">
        <f ca="1">(AD14+P14+(LOG(I14)*4/3))*(IF(Q14=7, (Q14/7)^0.5, ((Q14+1)/7)^0.5))</f>
        <v>6.7908638788956255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33</v>
      </c>
      <c r="AT14" s="320">
        <v>21</v>
      </c>
      <c r="AU14" s="320">
        <v>5</v>
      </c>
      <c r="AV14" s="320">
        <f>AR14*1+AS14*0.066</f>
        <v>2.1779999999999999</v>
      </c>
      <c r="AW14" s="320">
        <f>AR14*0.919+AS14*0.167</f>
        <v>5.5110000000000001</v>
      </c>
      <c r="AX14" s="320">
        <f>AR14*1+AS14*0.236</f>
        <v>7.7879999999999994</v>
      </c>
      <c r="AY14" s="320">
        <f>AR14*0.75+AS14*0.165</f>
        <v>5.4450000000000003</v>
      </c>
      <c r="AZ14" s="320">
        <f>AR14*0.73+AS14*0.38</f>
        <v>12.540000000000001</v>
      </c>
      <c r="BA14" s="320">
        <f>AR14*0.45+AS14*1</f>
        <v>33</v>
      </c>
      <c r="BB14" s="320">
        <f>AR14*0.65+AS14*0.95</f>
        <v>31.349999999999998</v>
      </c>
      <c r="BC14" s="320">
        <f>AR14*0.3+AS14*0.53</f>
        <v>17.490000000000002</v>
      </c>
      <c r="BD14" s="320">
        <f>AR14*0.4+AS14*0.44</f>
        <v>14.52</v>
      </c>
      <c r="BE14" s="320">
        <f>AR14*0.25+AS14*0.73</f>
        <v>24.09</v>
      </c>
      <c r="BF14" s="320">
        <f>AS14*0.46</f>
        <v>15.180000000000001</v>
      </c>
      <c r="BG14" s="111">
        <v>19570</v>
      </c>
      <c r="BH14" s="316">
        <v>3853</v>
      </c>
      <c r="BI14" s="644">
        <f t="shared" si="36"/>
        <v>59</v>
      </c>
      <c r="BJ14" s="136"/>
      <c r="BK14" s="139"/>
    </row>
    <row r="15" spans="1:63" s="78" customFormat="1" x14ac:dyDescent="0.25">
      <c r="A15" s="131" t="s">
        <v>425</v>
      </c>
      <c r="B15" s="131" t="s">
        <v>62</v>
      </c>
      <c r="C15" s="132">
        <f ca="1">((34*112)-(E15*112)-(F15))/112</f>
        <v>14.794642857142858</v>
      </c>
      <c r="D15" s="314" t="s">
        <v>405</v>
      </c>
      <c r="E15" s="133">
        <v>19</v>
      </c>
      <c r="F15" s="58">
        <f ca="1">-43569+$D$1-112</f>
        <v>23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5.7</v>
      </c>
      <c r="N15" s="178">
        <f>M15*10+19</f>
        <v>76</v>
      </c>
      <c r="O15" s="303">
        <v>43626</v>
      </c>
      <c r="P15" s="304">
        <f ca="1">IF((TODAY()-O15)&gt;335,1,((TODAY()-O15)^0.64)/(336^0.64))</f>
        <v>0.39272035185262583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10080</v>
      </c>
      <c r="U15" s="268">
        <f>T15-BG15</f>
        <v>740</v>
      </c>
      <c r="V15" s="111">
        <v>1020</v>
      </c>
      <c r="W15" s="108">
        <f>T15/V15</f>
        <v>9.882352941176471</v>
      </c>
      <c r="X15" s="184">
        <v>0</v>
      </c>
      <c r="Y15" s="185">
        <v>6</v>
      </c>
      <c r="Z15" s="184">
        <f>8+0/4</f>
        <v>8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8">
        <f ca="1">(Z15+P15+J15)*(Q15/7)^0.5</f>
        <v>8.192844927546254</v>
      </c>
      <c r="AG15" s="638">
        <f ca="1">(Z15+P15+J15)*(IF(Q15=7, (Q15/7)^0.5, ((Q15+1)/7)^0.5))</f>
        <v>8.8492839262822347</v>
      </c>
      <c r="AH15" s="108">
        <f ca="1">(((Y15+P15+J15)+(AB15+P15+J15)*2)/8)*(Q15/7)^0.5</f>
        <v>1.6835866981710179</v>
      </c>
      <c r="AI15" s="108">
        <f ca="1">(1.66*(AC15+J15+P15)+0.55*(AD15+J15+P15)-7.6)*(Q15/7)^0.5</f>
        <v>7.9962318003609578</v>
      </c>
      <c r="AJ15" s="108">
        <f ca="1">((AD15+J15+P15)*0.7+(AC15+J15+P15)*0.3)*(Q15/7)^0.5</f>
        <v>7.6373528676827238</v>
      </c>
      <c r="AK15" s="108">
        <f ca="1">(0.5*(AC15+P15+J15)+ 0.3*(AD15+P15+J15))/10</f>
        <v>0.60794271410257872</v>
      </c>
      <c r="AL15" s="108">
        <f ca="1">(0.4*(Y15+P15+J15)+0.3*(AD15+P15+J15))/10</f>
        <v>0.53944987483975648</v>
      </c>
      <c r="AM15" s="639">
        <f ca="1">(AD15+P15+(LOG(I15)*4/3))*(Q15/7)^0.5</f>
        <v>7.8678926456698894</v>
      </c>
      <c r="AN15" s="639">
        <f ca="1">(AD15+P15+(LOG(I15)*4/3))*(IF(Q15=7, (Q15/7)^0.5, ((Q15+1)/7)^0.5))</f>
        <v>8.4982953465827915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21</v>
      </c>
      <c r="AT15" s="320">
        <v>12</v>
      </c>
      <c r="AU15" s="320">
        <v>8</v>
      </c>
      <c r="AV15" s="320">
        <f>AR15*1+AS15*0.066</f>
        <v>15.385999999999999</v>
      </c>
      <c r="AW15" s="320">
        <f>AR15*0.919+AS15*0.167</f>
        <v>16.373000000000001</v>
      </c>
      <c r="AX15" s="320">
        <f>AR15*1+AS15*0.236</f>
        <v>18.956</v>
      </c>
      <c r="AY15" s="320">
        <f>AR15*0.75+AS15*0.165</f>
        <v>13.965</v>
      </c>
      <c r="AZ15" s="320">
        <f>AR15*0.73+AS15*0.38</f>
        <v>18.2</v>
      </c>
      <c r="BA15" s="320">
        <f>AR15*0.45+AS15*1</f>
        <v>27.3</v>
      </c>
      <c r="BB15" s="320">
        <f>AR15*0.65+AS15*0.95</f>
        <v>29.049999999999997</v>
      </c>
      <c r="BC15" s="320">
        <f>AR15*0.3+AS15*0.53</f>
        <v>15.330000000000002</v>
      </c>
      <c r="BD15" s="320">
        <f>AR15*0.4+AS15*0.44</f>
        <v>14.84</v>
      </c>
      <c r="BE15" s="320">
        <f>AR15*0.25+AS15*0.73</f>
        <v>18.829999999999998</v>
      </c>
      <c r="BF15" s="320">
        <f>AS15*0.46</f>
        <v>9.66</v>
      </c>
      <c r="BG15" s="111">
        <v>9340</v>
      </c>
      <c r="BH15" s="316">
        <v>1548</v>
      </c>
      <c r="BI15" s="644">
        <f>AU15+AT15+AS15+AR15</f>
        <v>55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14.303571428571429</v>
      </c>
      <c r="D16" s="314" t="s">
        <v>406</v>
      </c>
      <c r="E16" s="133">
        <v>19</v>
      </c>
      <c r="F16" s="58">
        <f ca="1">-43626+$D$1</f>
        <v>78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4.0999999999999996</v>
      </c>
      <c r="N16" s="178">
        <f>M16*10+19</f>
        <v>60</v>
      </c>
      <c r="O16" s="303">
        <v>43626</v>
      </c>
      <c r="P16" s="304">
        <f ca="1">IF((TODAY()-O16)&gt;335,1,((TODAY()-O16)^0.64)/(336^0.64))</f>
        <v>0.39272035185262583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11550</v>
      </c>
      <c r="U16" s="268">
        <f>T16-BG16</f>
        <v>0</v>
      </c>
      <c r="V16" s="111">
        <v>870</v>
      </c>
      <c r="W16" s="108">
        <f>T16/V16</f>
        <v>13.275862068965518</v>
      </c>
      <c r="X16" s="184">
        <v>0</v>
      </c>
      <c r="Y16" s="185">
        <v>7</v>
      </c>
      <c r="Z16" s="184">
        <f>9+2/5</f>
        <v>9.4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8">
        <f ca="1">(Z16+P16+J16)*(Q16/7)^0.5</f>
        <v>6.8397359732422292</v>
      </c>
      <c r="AG16" s="638">
        <f ca="1">(Z16+P16+J16)*(IF(Q16=7, (Q16/7)^0.5, ((Q16+1)/7)^0.5))</f>
        <v>7.8978468106747366</v>
      </c>
      <c r="AH16" s="108">
        <f ca="1">(((Y16+P16+J16)+(AB16+P16+J16)*2)/8)*(Q16/7)^0.5</f>
        <v>1.4847224332976736</v>
      </c>
      <c r="AI16" s="108">
        <f ca="1">(1.66*(AC16+J16+P16)+0.55*(AD16+J16+P16)-7.6)*(Q16/7)^0.5</f>
        <v>3.7811428462274099</v>
      </c>
      <c r="AJ16" s="108">
        <f ca="1">((AD16+J16+P16)*0.7+(AC16+J16+P16)*0.3)*(Q16/7)^0.5</f>
        <v>2.7808832148527709</v>
      </c>
      <c r="AK16" s="108">
        <f ca="1">(0.5*(AC16+P16+J16)+ 0.3*(AD16+P16+J16))/10</f>
        <v>0.44382954215719916</v>
      </c>
      <c r="AL16" s="108">
        <f ca="1">(0.4*(Y16+P16+J16)+0.3*(AD16+P16+J16))/10</f>
        <v>0.41335084938754935</v>
      </c>
      <c r="AM16" s="639">
        <f ca="1">(AD16+P16+(LOG(I16)*4/3))*(Q16/7)^0.5</f>
        <v>1.8476592200786652</v>
      </c>
      <c r="AN16" s="639">
        <f ca="1">(AD16+P16+(LOG(I16)*4/3))*(IF(Q16=7, (Q16/7)^0.5, ((Q16+1)/7)^0.5))</f>
        <v>2.1334930961662226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27</v>
      </c>
      <c r="AT16" s="320">
        <v>12</v>
      </c>
      <c r="AU16" s="320">
        <v>1</v>
      </c>
      <c r="AV16" s="320">
        <f>AR16*1+AS16*0.066</f>
        <v>19.782</v>
      </c>
      <c r="AW16" s="320">
        <f>AR16*0.919+AS16*0.167</f>
        <v>21.051000000000002</v>
      </c>
      <c r="AX16" s="320">
        <f>AR16*1+AS16*0.236</f>
        <v>24.372</v>
      </c>
      <c r="AY16" s="320">
        <f>AR16*0.75+AS16*0.165</f>
        <v>17.954999999999998</v>
      </c>
      <c r="AZ16" s="320">
        <f>AR16*0.73+AS16*0.38</f>
        <v>23.4</v>
      </c>
      <c r="BA16" s="320">
        <f>AR16*0.45+AS16*1</f>
        <v>35.1</v>
      </c>
      <c r="BB16" s="320">
        <f>AR16*0.65+AS16*0.95</f>
        <v>37.35</v>
      </c>
      <c r="BC16" s="320">
        <f>AR16*0.3+AS16*0.53</f>
        <v>19.71</v>
      </c>
      <c r="BD16" s="320">
        <f>AR16*0.4+AS16*0.44</f>
        <v>19.080000000000002</v>
      </c>
      <c r="BE16" s="320">
        <f>AR16*0.25+AS16*0.73</f>
        <v>24.21</v>
      </c>
      <c r="BF16" s="320">
        <f>AS16*0.46</f>
        <v>12.42</v>
      </c>
      <c r="BG16" s="111">
        <v>11550</v>
      </c>
      <c r="BH16" s="316">
        <v>1308</v>
      </c>
      <c r="BI16" s="644">
        <f t="shared" si="36"/>
        <v>58</v>
      </c>
      <c r="BJ16" s="136"/>
      <c r="BK16" s="139"/>
    </row>
    <row r="17" spans="1:63" s="78" customFormat="1" x14ac:dyDescent="0.25">
      <c r="A17" s="131" t="s">
        <v>426</v>
      </c>
      <c r="B17" s="131" t="s">
        <v>63</v>
      </c>
      <c r="C17" s="132">
        <f t="shared" ca="1" si="21"/>
        <v>10.678571428571429</v>
      </c>
      <c r="D17" s="342" t="s">
        <v>650</v>
      </c>
      <c r="E17" s="133">
        <v>23</v>
      </c>
      <c r="F17" s="58">
        <f ca="1">-43571+$D$1+15-112</f>
        <v>36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6.8</v>
      </c>
      <c r="N17" s="178">
        <f t="shared" si="8"/>
        <v>87</v>
      </c>
      <c r="O17" s="303">
        <v>43650</v>
      </c>
      <c r="P17" s="304">
        <f ca="1">IF((TODAY()-O17)&gt;335,1,((TODAY()-O17)^0.64)/(336^0.64))</f>
        <v>0.31036652147110561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643">
        <v>18660</v>
      </c>
      <c r="U17" s="268">
        <f>T17-BG17</f>
        <v>1760</v>
      </c>
      <c r="V17" s="111">
        <v>2316</v>
      </c>
      <c r="W17" s="108">
        <f t="shared" si="4"/>
        <v>8.0569948186528499</v>
      </c>
      <c r="X17" s="184">
        <v>0</v>
      </c>
      <c r="Y17" s="185">
        <v>3</v>
      </c>
      <c r="Z17" s="184">
        <f>9+4/12</f>
        <v>9.3333333333333339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8">
        <f t="shared" ca="1" si="11"/>
        <v>8.6543039805792894</v>
      </c>
      <c r="AG17" s="638">
        <f t="shared" ca="1" si="12"/>
        <v>9.4803150193400541</v>
      </c>
      <c r="AH17" s="108">
        <f t="shared" ca="1" si="13"/>
        <v>1.8719883287833934</v>
      </c>
      <c r="AI17" s="108">
        <f t="shared" ca="1" si="14"/>
        <v>0.87349707579336366</v>
      </c>
      <c r="AJ17" s="108">
        <f t="shared" ca="1" si="15"/>
        <v>3.3016603672986826</v>
      </c>
      <c r="AK17" s="108">
        <f t="shared" ca="1" si="16"/>
        <v>0.31252617839419183</v>
      </c>
      <c r="AL17" s="108">
        <f t="shared" ca="1" si="17"/>
        <v>0.27346040609491784</v>
      </c>
      <c r="AM17" s="639">
        <f t="shared" ca="1" si="18"/>
        <v>3.0854298754031655</v>
      </c>
      <c r="AN17" s="639">
        <f t="shared" ca="1" si="19"/>
        <v>3.3799190847173355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27</v>
      </c>
      <c r="AT17" s="320">
        <v>2</v>
      </c>
      <c r="AU17" s="320">
        <v>1</v>
      </c>
      <c r="AV17" s="320">
        <f t="shared" si="25"/>
        <v>4.782</v>
      </c>
      <c r="AW17" s="320">
        <f t="shared" si="26"/>
        <v>7.266</v>
      </c>
      <c r="AX17" s="320">
        <f t="shared" si="27"/>
        <v>9.3719999999999999</v>
      </c>
      <c r="AY17" s="320">
        <f t="shared" si="28"/>
        <v>6.7050000000000001</v>
      </c>
      <c r="AZ17" s="320">
        <f t="shared" si="29"/>
        <v>12.45</v>
      </c>
      <c r="BA17" s="320">
        <f t="shared" si="30"/>
        <v>28.35</v>
      </c>
      <c r="BB17" s="320">
        <f t="shared" si="31"/>
        <v>27.599999999999998</v>
      </c>
      <c r="BC17" s="320">
        <f t="shared" si="32"/>
        <v>15.21</v>
      </c>
      <c r="BD17" s="320">
        <f t="shared" si="33"/>
        <v>13.080000000000002</v>
      </c>
      <c r="BE17" s="320">
        <f t="shared" si="34"/>
        <v>20.46</v>
      </c>
      <c r="BF17" s="320">
        <f t="shared" si="35"/>
        <v>12.42</v>
      </c>
      <c r="BG17" s="643">
        <v>16900</v>
      </c>
      <c r="BH17" s="316">
        <v>2017</v>
      </c>
      <c r="BI17" s="644">
        <f t="shared" si="36"/>
        <v>33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7.625</v>
      </c>
      <c r="D18" s="342" t="s">
        <v>441</v>
      </c>
      <c r="E18" s="133">
        <v>26</v>
      </c>
      <c r="F18" s="58">
        <f ca="1">-43570+$D$1+20-112</f>
        <v>42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6.5</v>
      </c>
      <c r="N18" s="178">
        <f t="shared" si="8"/>
        <v>84</v>
      </c>
      <c r="O18" s="303">
        <v>43639</v>
      </c>
      <c r="P18" s="304">
        <f t="shared" ca="1" si="22"/>
        <v>0.34946799693424763</v>
      </c>
      <c r="Q18" s="178">
        <v>4</v>
      </c>
      <c r="R18" s="199">
        <f t="shared" si="9"/>
        <v>0.7559289460184544</v>
      </c>
      <c r="S18" s="199">
        <f t="shared" si="10"/>
        <v>0.84430867747355465</v>
      </c>
      <c r="T18" s="111">
        <v>20010</v>
      </c>
      <c r="U18" s="268">
        <f t="shared" si="3"/>
        <v>-500</v>
      </c>
      <c r="V18" s="111">
        <v>2940</v>
      </c>
      <c r="W18" s="108">
        <f t="shared" si="4"/>
        <v>6.8061224489795915</v>
      </c>
      <c r="X18" s="184">
        <v>0</v>
      </c>
      <c r="Y18" s="185">
        <v>3</v>
      </c>
      <c r="Z18" s="184">
        <f>9+9/13</f>
        <v>9.6923076923076916</v>
      </c>
      <c r="AA18" s="185">
        <v>9</v>
      </c>
      <c r="AB18" s="184">
        <v>5</v>
      </c>
      <c r="AC18" s="185">
        <v>5</v>
      </c>
      <c r="AD18" s="184">
        <v>1</v>
      </c>
      <c r="AE18" s="312">
        <v>778</v>
      </c>
      <c r="AF18" s="638">
        <f t="shared" ca="1" si="11"/>
        <v>8.3449715618269629</v>
      </c>
      <c r="AG18" s="638">
        <f t="shared" ca="1" si="12"/>
        <v>9.329961841273839</v>
      </c>
      <c r="AH18" s="108">
        <f t="shared" ca="1" si="13"/>
        <v>1.610237896090333</v>
      </c>
      <c r="AI18" s="108">
        <f t="shared" ca="1" si="14"/>
        <v>3.1953003104453654</v>
      </c>
      <c r="AJ18" s="108">
        <f t="shared" ca="1" si="15"/>
        <v>2.6813193047348514</v>
      </c>
      <c r="AK18" s="108">
        <f t="shared" ca="1" si="16"/>
        <v>0.3877641626354012</v>
      </c>
      <c r="AL18" s="108">
        <f t="shared" ca="1" si="17"/>
        <v>0.24429364230597606</v>
      </c>
      <c r="AM18" s="639">
        <f t="shared" ca="1" si="18"/>
        <v>1.6880990261661786</v>
      </c>
      <c r="AN18" s="639">
        <f t="shared" ca="1" si="19"/>
        <v>1.8873520876293859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29.5</v>
      </c>
      <c r="AT18" s="320">
        <v>8</v>
      </c>
      <c r="AU18" s="320">
        <v>0</v>
      </c>
      <c r="AV18" s="320">
        <f t="shared" si="25"/>
        <v>4.9470000000000001</v>
      </c>
      <c r="AW18" s="320">
        <f t="shared" si="26"/>
        <v>7.6835000000000004</v>
      </c>
      <c r="AX18" s="320">
        <f t="shared" si="27"/>
        <v>9.9619999999999997</v>
      </c>
      <c r="AY18" s="320">
        <f t="shared" si="28"/>
        <v>7.1175000000000006</v>
      </c>
      <c r="AZ18" s="320">
        <f t="shared" si="29"/>
        <v>13.4</v>
      </c>
      <c r="BA18" s="320">
        <f t="shared" si="30"/>
        <v>30.85</v>
      </c>
      <c r="BB18" s="320">
        <f t="shared" si="31"/>
        <v>29.974999999999998</v>
      </c>
      <c r="BC18" s="320">
        <f t="shared" si="32"/>
        <v>16.535</v>
      </c>
      <c r="BD18" s="320">
        <f t="shared" si="33"/>
        <v>14.18</v>
      </c>
      <c r="BE18" s="320">
        <f t="shared" si="34"/>
        <v>22.285</v>
      </c>
      <c r="BF18" s="320">
        <f t="shared" si="35"/>
        <v>13.57</v>
      </c>
      <c r="BG18" s="111">
        <v>20510</v>
      </c>
      <c r="BH18" s="316">
        <v>1486</v>
      </c>
      <c r="BI18" s="644">
        <f t="shared" si="36"/>
        <v>40.5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14.258928571428571</v>
      </c>
      <c r="D19" s="342" t="s">
        <v>421</v>
      </c>
      <c r="E19" s="133">
        <v>19</v>
      </c>
      <c r="F19" s="58">
        <f ca="1">-43626+$D$1+5</f>
        <v>83</v>
      </c>
      <c r="G19" s="134" t="s">
        <v>220</v>
      </c>
      <c r="H19" s="130">
        <v>4</v>
      </c>
      <c r="I19" s="102">
        <v>0.4</v>
      </c>
      <c r="J19" s="185">
        <f>LOG(I19+1)*4/3</f>
        <v>0.19483738090431735</v>
      </c>
      <c r="K19" s="98">
        <f>(H19)*(H19)*(I19)</f>
        <v>6.4</v>
      </c>
      <c r="L19" s="98">
        <f>(H19+1)*(H19+1)*I19</f>
        <v>10</v>
      </c>
      <c r="M19" s="135">
        <v>5.0999999999999996</v>
      </c>
      <c r="N19" s="178">
        <f>M19*10+19</f>
        <v>70</v>
      </c>
      <c r="O19" s="303">
        <v>43628</v>
      </c>
      <c r="P19" s="304">
        <f ca="1">IF((TODAY()-O19)&gt;335,1,((TODAY()-O19)^0.64)/(336^0.64))</f>
        <v>0.38624561461075513</v>
      </c>
      <c r="Q19" s="178">
        <v>6</v>
      </c>
      <c r="R19" s="199">
        <f>(Q19/7)^0.5</f>
        <v>0.92582009977255142</v>
      </c>
      <c r="S19" s="199">
        <f>IF(Q19=7,1,((Q19+0.99)/7)^0.5)</f>
        <v>0.99928545900129484</v>
      </c>
      <c r="T19" s="111">
        <v>12610</v>
      </c>
      <c r="U19" s="268">
        <f>T19-BG19</f>
        <v>540</v>
      </c>
      <c r="V19" s="111">
        <v>948</v>
      </c>
      <c r="W19" s="108">
        <f>T19/V19</f>
        <v>13.30168776371308</v>
      </c>
      <c r="X19" s="184">
        <v>0</v>
      </c>
      <c r="Y19" s="185">
        <v>7</v>
      </c>
      <c r="Z19" s="184">
        <f>8+1/5+5/10</f>
        <v>8.6999999999999993</v>
      </c>
      <c r="AA19" s="185">
        <v>1</v>
      </c>
      <c r="AB19" s="184">
        <v>1</v>
      </c>
      <c r="AC19" s="185">
        <v>6</v>
      </c>
      <c r="AD19" s="184">
        <v>1</v>
      </c>
      <c r="AE19" s="312">
        <v>638</v>
      </c>
      <c r="AF19" s="638">
        <f ca="1">(Z19+P19+J19)*(Q19/7)^0.5</f>
        <v>8.5926131849050957</v>
      </c>
      <c r="AG19" s="638">
        <f ca="1">(Z19+P19+J19)*(IF(Q19=7, (Q19/7)^0.5, ((Q19+1)/7)^0.5))</f>
        <v>9.2810829955150727</v>
      </c>
      <c r="AH19" s="108">
        <f ca="1">(((Y19+P19+J19)+(AB19+P19+J19)*2)/8)*(Q19/7)^0.5</f>
        <v>1.2432894810755819</v>
      </c>
      <c r="AI19" s="108">
        <f ca="1">(1.66*(AC19+J19+P19)+0.55*(AD19+J19+P19)-7.6)*(Q19/7)^0.5</f>
        <v>3.8830685706515373</v>
      </c>
      <c r="AJ19" s="108">
        <f ca="1">((AD19+J19+P19)*0.7+(AC19+J19+P19)*0.3)*(Q19/7)^0.5</f>
        <v>2.852528566315276</v>
      </c>
      <c r="AK19" s="108">
        <f ca="1">(0.5*(AC19+P19+J19)+ 0.3*(AD19+P19+J19))/10</f>
        <v>0.37648663964120577</v>
      </c>
      <c r="AL19" s="108">
        <f ca="1">(0.4*(Y19+P19+J19)+0.3*(AD19+P19+J19))/10</f>
        <v>0.35067580968605505</v>
      </c>
      <c r="AM19" s="639">
        <f ca="1">(AD19+P19+(LOG(I19)*4/3))*(Q19/7)^0.5</f>
        <v>0.7921862418518768</v>
      </c>
      <c r="AN19" s="639">
        <f ca="1">(AD19+P19+(LOG(I19)*4/3))*(IF(Q19=7, (Q19/7)^0.5, ((Q19+1)/7)^0.5))</f>
        <v>0.85565893638137169</v>
      </c>
      <c r="AO19" s="178">
        <v>4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0.157</v>
      </c>
      <c r="AR19" s="320">
        <v>18</v>
      </c>
      <c r="AS19" s="320">
        <v>24.5</v>
      </c>
      <c r="AT19" s="320">
        <v>12</v>
      </c>
      <c r="AU19" s="320">
        <v>0</v>
      </c>
      <c r="AV19" s="320">
        <f>AR19*1+AS19*0.066</f>
        <v>19.617000000000001</v>
      </c>
      <c r="AW19" s="320">
        <f>AR19*0.919+AS19*0.167</f>
        <v>20.633500000000002</v>
      </c>
      <c r="AX19" s="320">
        <f>AR19*1+AS19*0.236</f>
        <v>23.782</v>
      </c>
      <c r="AY19" s="320">
        <f>AR19*0.75+AS19*0.165</f>
        <v>17.5425</v>
      </c>
      <c r="AZ19" s="320">
        <f>AR19*0.73+AS19*0.38</f>
        <v>22.450000000000003</v>
      </c>
      <c r="BA19" s="320">
        <f>AR19*0.45+AS19*1</f>
        <v>32.6</v>
      </c>
      <c r="BB19" s="320">
        <f>AR19*0.65+AS19*0.95</f>
        <v>34.975000000000001</v>
      </c>
      <c r="BC19" s="320">
        <f>AR19*0.3+AS19*0.53</f>
        <v>18.385000000000002</v>
      </c>
      <c r="BD19" s="320">
        <f>AR19*0.4+AS19*0.44</f>
        <v>17.98</v>
      </c>
      <c r="BE19" s="320">
        <f>AR19*0.25+AS19*0.73</f>
        <v>22.384999999999998</v>
      </c>
      <c r="BF19" s="320">
        <f>AS19*0.46</f>
        <v>11.270000000000001</v>
      </c>
      <c r="BG19" s="111">
        <v>12070</v>
      </c>
      <c r="BH19" s="316">
        <v>740</v>
      </c>
      <c r="BI19" s="644">
        <f>AU19+AT19+AS19+AR19</f>
        <v>54.5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9.6607142857142865</v>
      </c>
      <c r="D20" s="342" t="s">
        <v>649</v>
      </c>
      <c r="E20" s="133">
        <v>24</v>
      </c>
      <c r="F20" s="58">
        <f ca="1">-43570+$D$1+33-17-112</f>
        <v>38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0.31036652147110561</v>
      </c>
      <c r="Q20" s="178">
        <v>7</v>
      </c>
      <c r="R20" s="199">
        <f t="shared" si="9"/>
        <v>1</v>
      </c>
      <c r="S20" s="199">
        <f t="shared" si="10"/>
        <v>1</v>
      </c>
      <c r="T20" s="111">
        <v>51700</v>
      </c>
      <c r="U20" s="268">
        <f t="shared" si="3"/>
        <v>940</v>
      </c>
      <c r="V20" s="111">
        <v>3636</v>
      </c>
      <c r="W20" s="108">
        <f t="shared" si="4"/>
        <v>14.218921892189218</v>
      </c>
      <c r="X20" s="184">
        <v>0</v>
      </c>
      <c r="Y20" s="185">
        <v>9</v>
      </c>
      <c r="Z20" s="184">
        <f>8+7/11</f>
        <v>8.6363636363636367</v>
      </c>
      <c r="AA20" s="185">
        <v>9</v>
      </c>
      <c r="AB20" s="184">
        <v>5</v>
      </c>
      <c r="AC20" s="185">
        <v>5</v>
      </c>
      <c r="AD20" s="184">
        <v>3</v>
      </c>
      <c r="AE20" s="312">
        <v>990</v>
      </c>
      <c r="AF20" s="638">
        <f t="shared" ca="1" si="11"/>
        <v>9.8428606350823671</v>
      </c>
      <c r="AG20" s="638">
        <f t="shared" ca="1" si="12"/>
        <v>9.8428606350823671</v>
      </c>
      <c r="AH20" s="108">
        <f t="shared" ca="1" si="13"/>
        <v>2.8274363745195235</v>
      </c>
      <c r="AI20" s="108">
        <f t="shared" ca="1" si="14"/>
        <v>5.016358367168392</v>
      </c>
      <c r="AJ20" s="108">
        <f t="shared" ca="1" si="15"/>
        <v>4.8064969987187292</v>
      </c>
      <c r="AK20" s="108">
        <f t="shared" ca="1" si="16"/>
        <v>0.43651975989749825</v>
      </c>
      <c r="AL20" s="108">
        <f t="shared" ca="1" si="17"/>
        <v>0.53445478991031103</v>
      </c>
      <c r="AM20" s="639">
        <f t="shared" ca="1" si="18"/>
        <v>4.0679688202270992</v>
      </c>
      <c r="AN20" s="639">
        <f t="shared" ca="1" si="19"/>
        <v>4.0679688202270992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23</v>
      </c>
      <c r="AT20" s="320">
        <v>8</v>
      </c>
      <c r="AU20" s="320">
        <v>1</v>
      </c>
      <c r="AV20" s="320">
        <f t="shared" si="25"/>
        <v>31.518000000000001</v>
      </c>
      <c r="AW20" s="320">
        <f t="shared" si="26"/>
        <v>31.411000000000001</v>
      </c>
      <c r="AX20" s="320">
        <f t="shared" si="27"/>
        <v>35.427999999999997</v>
      </c>
      <c r="AY20" s="320">
        <f t="shared" si="28"/>
        <v>26.295000000000002</v>
      </c>
      <c r="AZ20" s="320">
        <f t="shared" si="29"/>
        <v>30.64</v>
      </c>
      <c r="BA20" s="320">
        <f t="shared" si="30"/>
        <v>36.5</v>
      </c>
      <c r="BB20" s="320">
        <f t="shared" si="31"/>
        <v>41.349999999999994</v>
      </c>
      <c r="BC20" s="320">
        <f t="shared" si="32"/>
        <v>21.19</v>
      </c>
      <c r="BD20" s="320">
        <f t="shared" si="33"/>
        <v>22.119999999999997</v>
      </c>
      <c r="BE20" s="320">
        <f t="shared" si="34"/>
        <v>24.29</v>
      </c>
      <c r="BF20" s="320">
        <f t="shared" si="35"/>
        <v>10.58</v>
      </c>
      <c r="BG20" s="111">
        <v>50760</v>
      </c>
      <c r="BH20" s="316">
        <v>3600</v>
      </c>
      <c r="BI20" s="644">
        <f t="shared" si="36"/>
        <v>62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-1.875</v>
      </c>
      <c r="D21" s="630" t="s">
        <v>107</v>
      </c>
      <c r="E21" s="133">
        <v>35</v>
      </c>
      <c r="F21" s="138">
        <f ca="1">75-41471+$D$1-24-112-10-112-40-8-112-112-112-112-112-112-112-112-112-112-112-112-112-112-112-112-112</f>
        <v>98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3.6</v>
      </c>
      <c r="N21" s="178">
        <f t="shared" ref="N21:N25" si="41">M21*10+19</f>
        <v>55</v>
      </c>
      <c r="O21" s="178" t="s">
        <v>256</v>
      </c>
      <c r="P21" s="304">
        <v>1.5</v>
      </c>
      <c r="Q21" s="178">
        <v>3</v>
      </c>
      <c r="R21" s="199">
        <f t="shared" ref="R21:R25" si="42">(Q21/7)^0.5</f>
        <v>0.65465367070797709</v>
      </c>
      <c r="S21" s="199">
        <f t="shared" ref="S21:S25" si="43">IF(Q21=7,1,((Q21+0.99)/7)^0.5)</f>
        <v>0.75498344352707503</v>
      </c>
      <c r="T21" s="643">
        <v>7010</v>
      </c>
      <c r="U21" s="268">
        <f t="shared" ref="U21:U25" si="44">T21-BG21</f>
        <v>-680</v>
      </c>
      <c r="V21" s="111">
        <v>3410</v>
      </c>
      <c r="W21" s="108">
        <f t="shared" ref="W21:W25" si="45">T21/V21</f>
        <v>2.0557184750733137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1388</v>
      </c>
      <c r="AF21" s="638">
        <f t="shared" ref="AF21:AF25" si="46">(Z21+P21+J21)*(Q21/7)^0.5</f>
        <v>8.9376399102846573</v>
      </c>
      <c r="AG21" s="638">
        <f t="shared" ref="AG21:AG25" si="47">(Z21+P21+J21)*(IF(Q21=7, (Q21/7)^0.5, ((Q21+1)/7)^0.5))</f>
        <v>10.320297616245579</v>
      </c>
      <c r="AH21" s="108">
        <f t="shared" ref="AH21:AH25" si="48">(((Y21+P21+J21)+(AB21+P21+J21)*2)/8)*(Q21/7)^0.5</f>
        <v>2.9465480076061841</v>
      </c>
      <c r="AI21" s="108">
        <f t="shared" ref="AI21:AI25" si="49">(1.66*(AC21+J21+P21)+0.55*(AD21+J21+P21)-7.6)*(Q21/7)^0.5</f>
        <v>10.196531897240094</v>
      </c>
      <c r="AJ21" s="108">
        <f t="shared" ref="AJ21:AJ25" si="50">((AD21+J21+P21)*0.7+(AC21+J21+P21)*0.3)*(Q21/7)^0.5</f>
        <v>10.99979897301478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9">
        <f t="shared" ref="AM21:AM25" si="53">(AD21+P21+(LOG(I21)*4/3))*(Q21/7)^0.5</f>
        <v>13.722447771609989</v>
      </c>
      <c r="AN21" s="639">
        <f t="shared" ref="AN21:AN25" si="54">(AD21+P21+(LOG(I21)*4/3))*(IF(Q21=7, (Q21/7)^0.5, ((Q21+1)/7)^0.5))</f>
        <v>15.845317829759216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643">
        <v>7690</v>
      </c>
      <c r="BH21" s="318"/>
      <c r="BI21" s="644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0.9910714285714286</v>
      </c>
      <c r="D22" s="630" t="s">
        <v>225</v>
      </c>
      <c r="E22" s="133">
        <v>33</v>
      </c>
      <c r="F22" s="58">
        <f ca="1">7-41471+$D$1-112-111-112+4-112-116-112-112-112-112-112-112-112-112-112-112-112-112-112-112-112</f>
        <v>1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5</v>
      </c>
      <c r="N22" s="178">
        <f t="shared" si="41"/>
        <v>69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643">
        <v>40730</v>
      </c>
      <c r="U22" s="268">
        <f t="shared" si="44"/>
        <v>-16330</v>
      </c>
      <c r="V22" s="111">
        <v>9890</v>
      </c>
      <c r="W22" s="108">
        <f t="shared" si="45"/>
        <v>4.1183013144590497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8">
        <f t="shared" si="46"/>
        <v>12.925671482707076</v>
      </c>
      <c r="AG22" s="638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9">
        <f t="shared" si="53"/>
        <v>16.056636785811651</v>
      </c>
      <c r="AN22" s="639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3">
        <v>57060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-2.0089285714285716</v>
      </c>
      <c r="D23" s="630" t="s">
        <v>169</v>
      </c>
      <c r="E23" s="57">
        <v>36</v>
      </c>
      <c r="F23" s="58">
        <f ca="1">7-41471+$D$1-112-111-112-112-112-112-112-112-112-112-112-112-112-112-112-112-112-112-112-112</f>
        <v>1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4</v>
      </c>
      <c r="N23" s="178">
        <f t="shared" si="41"/>
        <v>59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8420</v>
      </c>
      <c r="U23" s="268">
        <f t="shared" si="44"/>
        <v>-260</v>
      </c>
      <c r="V23" s="269">
        <v>4550</v>
      </c>
      <c r="W23" s="108">
        <f t="shared" si="45"/>
        <v>1.8505494505494506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8">
        <f t="shared" si="46"/>
        <v>16.944098574941133</v>
      </c>
      <c r="AG23" s="638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9">
        <f t="shared" si="53"/>
        <v>19.898479774232996</v>
      </c>
      <c r="AN23" s="639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8680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-1.3392857142857142</v>
      </c>
      <c r="D24" s="630" t="s">
        <v>102</v>
      </c>
      <c r="E24" s="133">
        <v>35</v>
      </c>
      <c r="F24" s="138">
        <f ca="1">74-41471+$D$1-112-112-29-112-112-112-112-112-112-112-112-112-112-112-112-112-112-112-112-112-112</f>
        <v>38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4.0999999999999996</v>
      </c>
      <c r="N24" s="178">
        <f t="shared" si="41"/>
        <v>60</v>
      </c>
      <c r="O24" s="178" t="s">
        <v>256</v>
      </c>
      <c r="P24" s="304">
        <v>1.5</v>
      </c>
      <c r="Q24" s="178">
        <v>7</v>
      </c>
      <c r="R24" s="199">
        <f t="shared" si="42"/>
        <v>1</v>
      </c>
      <c r="S24" s="199">
        <f t="shared" si="43"/>
        <v>1</v>
      </c>
      <c r="T24" s="111">
        <v>3590</v>
      </c>
      <c r="U24" s="268">
        <f t="shared" si="44"/>
        <v>-10</v>
      </c>
      <c r="V24" s="111">
        <v>790</v>
      </c>
      <c r="W24" s="108">
        <f t="shared" si="45"/>
        <v>4.5443037974683547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9.9499999999999993</v>
      </c>
      <c r="AC24" s="185">
        <v>6.95</v>
      </c>
      <c r="AD24" s="184">
        <f>17.99+0.2+0.15+0.15+0.15+0.15+0.11+0.1</f>
        <v>18.999999999999993</v>
      </c>
      <c r="AE24" s="312">
        <v>1240</v>
      </c>
      <c r="AF24" s="638">
        <f t="shared" si="46"/>
        <v>12.033360961115283</v>
      </c>
      <c r="AG24" s="638">
        <f t="shared" si="47"/>
        <v>12.033360961115283</v>
      </c>
      <c r="AH24" s="108">
        <f t="shared" si="48"/>
        <v>4.4984627413706129</v>
      </c>
      <c r="AI24" s="108">
        <f t="shared" si="49"/>
        <v>21.201227724064779</v>
      </c>
      <c r="AJ24" s="108">
        <f t="shared" si="50"/>
        <v>18.468360961115277</v>
      </c>
      <c r="AK24" s="108">
        <f t="shared" si="51"/>
        <v>1.1641688768892222</v>
      </c>
      <c r="AL24" s="108">
        <f t="shared" si="52"/>
        <v>1.0593400291828317</v>
      </c>
      <c r="AM24" s="639">
        <f t="shared" si="53"/>
        <v>22.04448332279366</v>
      </c>
      <c r="AN24" s="639">
        <f t="shared" si="54"/>
        <v>22.04448332279366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3600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1.3839285714285714</v>
      </c>
      <c r="D25" s="630" t="s">
        <v>251</v>
      </c>
      <c r="E25" s="57">
        <v>32</v>
      </c>
      <c r="F25" s="58">
        <f ca="1">7-41471+$D$1-112-111-43-112-112-1-112-112-112-112-112-112-112-112-112-112-112-112-112-112-112</f>
        <v>69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5.2</v>
      </c>
      <c r="N25" s="178">
        <f t="shared" si="41"/>
        <v>71</v>
      </c>
      <c r="O25" s="178" t="s">
        <v>256</v>
      </c>
      <c r="P25" s="304">
        <v>1.5</v>
      </c>
      <c r="Q25" s="179">
        <v>4</v>
      </c>
      <c r="R25" s="199">
        <f t="shared" si="42"/>
        <v>0.7559289460184544</v>
      </c>
      <c r="S25" s="199">
        <f t="shared" si="43"/>
        <v>0.84430867747355465</v>
      </c>
      <c r="T25" s="269">
        <v>7140</v>
      </c>
      <c r="U25" s="268">
        <f t="shared" si="44"/>
        <v>-2790</v>
      </c>
      <c r="V25" s="269">
        <v>2040</v>
      </c>
      <c r="W25" s="108">
        <f t="shared" si="45"/>
        <v>3.5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8">
        <f t="shared" si="46"/>
        <v>6.5396147481043991</v>
      </c>
      <c r="AG25" s="638">
        <f t="shared" si="47"/>
        <v>7.3115115617108009</v>
      </c>
      <c r="AH25" s="108">
        <f t="shared" si="48"/>
        <v>3.2007251870974196</v>
      </c>
      <c r="AI25" s="108">
        <f t="shared" si="49"/>
        <v>14.480517964313407</v>
      </c>
      <c r="AJ25" s="108">
        <f t="shared" si="50"/>
        <v>11.215035279228539</v>
      </c>
      <c r="AK25" s="108">
        <f t="shared" si="51"/>
        <v>1.0295877717461819</v>
      </c>
      <c r="AL25" s="108">
        <f t="shared" si="52"/>
        <v>0.76637680027790922</v>
      </c>
      <c r="AM25" s="639">
        <f t="shared" si="53"/>
        <v>12.522558208697054</v>
      </c>
      <c r="AN25" s="639">
        <f t="shared" si="54"/>
        <v>14.000645703422308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9930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352510</v>
      </c>
      <c r="U26" s="68">
        <f t="shared" ref="U26:V26" si="56">SUM(U4:U25)</f>
        <v>-10730</v>
      </c>
      <c r="V26" s="68">
        <f t="shared" si="56"/>
        <v>78466</v>
      </c>
      <c r="W26" s="107">
        <f t="shared" si="4"/>
        <v>4.4925190528381718</v>
      </c>
      <c r="X26"/>
      <c r="AD26" s="105"/>
      <c r="AE26" s="68"/>
      <c r="AH26" s="641"/>
      <c r="AI26" s="641"/>
      <c r="AJ26" s="641"/>
      <c r="AK26" s="641"/>
      <c r="AL26" s="641"/>
      <c r="AM26" s="641"/>
      <c r="AN26" s="641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42"/>
      <c r="AI27" s="642"/>
      <c r="AJ27" s="642"/>
      <c r="AK27" s="642"/>
      <c r="AL27" s="642"/>
      <c r="AM27" s="642"/>
      <c r="AN27" s="642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3" priority="465" operator="greaterThan">
      <formula>6</formula>
    </cfRule>
    <cfRule type="cellIs" dxfId="72" priority="466" operator="lessThan">
      <formula>5</formula>
    </cfRule>
  </conditionalFormatting>
  <conditionalFormatting sqref="R5:S25">
    <cfRule type="cellIs" dxfId="71" priority="459" operator="greaterThan">
      <formula>0.95</formula>
    </cfRule>
    <cfRule type="cellIs" dxfId="70" priority="460" operator="lessThan">
      <formula>0.85</formula>
    </cfRule>
  </conditionalFormatting>
  <conditionalFormatting sqref="Q4">
    <cfRule type="cellIs" dxfId="69" priority="338" operator="greaterThan">
      <formula>6</formula>
    </cfRule>
    <cfRule type="cellIs" dxfId="68" priority="339" operator="lessThan">
      <formula>5</formula>
    </cfRule>
  </conditionalFormatting>
  <conditionalFormatting sqref="R4:S4">
    <cfRule type="cellIs" dxfId="67" priority="336" operator="greaterThan">
      <formula>0.95</formula>
    </cfRule>
    <cfRule type="cellIs" dxfId="66" priority="337" operator="lessThan">
      <formula>0.85</formula>
    </cfRule>
  </conditionalFormatting>
  <conditionalFormatting sqref="AQ4:AQ25">
    <cfRule type="cellIs" dxfId="65" priority="54" operator="lessThan">
      <formula>0.07</formula>
    </cfRule>
    <cfRule type="cellIs" dxfId="64" priority="55" operator="greaterThan">
      <formula>0.1</formula>
    </cfRule>
  </conditionalFormatting>
  <conditionalFormatting sqref="V4:V25">
    <cfRule type="dataBar" priority="36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3" priority="3651" operator="greaterThan">
      <formula>10</formula>
    </cfRule>
    <cfRule type="colorScale" priority="3652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55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59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{AA06A5C4-5CD9-46BB-BE4C-22201F4C386F}</x14:id>
        </ext>
      </extLst>
    </cfRule>
  </conditionalFormatting>
  <conditionalFormatting sqref="BI11:B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AA06A5C4-5CD9-46BB-BE4C-22201F4C3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8"/>
  <sheetViews>
    <sheetView workbookViewId="0">
      <selection activeCell="P33" sqref="P33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5" t="s">
        <v>446</v>
      </c>
      <c r="B1" s="665"/>
      <c r="C1" s="665"/>
      <c r="D1" s="665"/>
      <c r="E1" s="66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8" t="s">
        <v>581</v>
      </c>
      <c r="AE1" s="668"/>
      <c r="AF1" s="668"/>
      <c r="AG1" s="668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  <c r="AU1" s="421"/>
    </row>
    <row r="2" spans="1:47" x14ac:dyDescent="0.25">
      <c r="A2" s="375" t="s">
        <v>71</v>
      </c>
      <c r="B2" s="375" t="s">
        <v>447</v>
      </c>
      <c r="C2" s="375" t="s">
        <v>61</v>
      </c>
      <c r="D2" s="376" t="s">
        <v>448</v>
      </c>
      <c r="E2" s="375" t="s">
        <v>449</v>
      </c>
      <c r="F2" s="375" t="s">
        <v>331</v>
      </c>
      <c r="G2" s="375" t="s">
        <v>1</v>
      </c>
      <c r="H2" s="375" t="s">
        <v>450</v>
      </c>
      <c r="I2" s="377" t="s">
        <v>2</v>
      </c>
      <c r="J2" s="377" t="s">
        <v>450</v>
      </c>
      <c r="K2" s="375" t="s">
        <v>321</v>
      </c>
      <c r="L2" s="375" t="s">
        <v>450</v>
      </c>
      <c r="M2" s="377" t="s">
        <v>260</v>
      </c>
      <c r="N2" s="377" t="s">
        <v>450</v>
      </c>
      <c r="O2" s="375" t="s">
        <v>262</v>
      </c>
      <c r="P2" s="375" t="s">
        <v>450</v>
      </c>
      <c r="Q2" s="377" t="s">
        <v>322</v>
      </c>
      <c r="R2" s="377" t="s">
        <v>450</v>
      </c>
      <c r="S2" s="375" t="s">
        <v>0</v>
      </c>
      <c r="T2" s="375" t="s">
        <v>450</v>
      </c>
      <c r="U2" s="376" t="s">
        <v>451</v>
      </c>
      <c r="V2" s="376" t="s">
        <v>75</v>
      </c>
      <c r="W2" s="376" t="s">
        <v>67</v>
      </c>
      <c r="X2" s="376" t="s">
        <v>452</v>
      </c>
      <c r="Y2" s="376" t="s">
        <v>0</v>
      </c>
      <c r="Z2" s="376" t="s">
        <v>453</v>
      </c>
      <c r="AA2" s="378" t="s">
        <v>454</v>
      </c>
      <c r="AB2" s="379"/>
    </row>
    <row r="3" spans="1:47" x14ac:dyDescent="0.25">
      <c r="A3" s="669" t="s">
        <v>455</v>
      </c>
      <c r="B3" s="669"/>
      <c r="C3" s="669"/>
      <c r="D3" s="669"/>
      <c r="E3" s="669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1"/>
      <c r="AA3" s="383"/>
      <c r="AB3" s="374"/>
      <c r="AD3" s="666" t="s">
        <v>456</v>
      </c>
      <c r="AE3" s="666"/>
      <c r="AF3" s="666"/>
      <c r="AG3" s="666"/>
      <c r="AH3" s="667" t="s">
        <v>457</v>
      </c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</row>
    <row r="4" spans="1:47" x14ac:dyDescent="0.25">
      <c r="A4" s="384" t="s">
        <v>456</v>
      </c>
      <c r="B4" s="384"/>
      <c r="C4" s="384"/>
      <c r="D4" s="384"/>
      <c r="E4" s="384"/>
      <c r="F4" s="384"/>
      <c r="G4" s="384" t="s">
        <v>457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5"/>
      <c r="AA4" s="386"/>
      <c r="AB4" s="387"/>
      <c r="AD4" s="425" t="s">
        <v>71</v>
      </c>
      <c r="AE4" s="425" t="s">
        <v>447</v>
      </c>
      <c r="AF4" s="425" t="s">
        <v>61</v>
      </c>
      <c r="AG4" s="450" t="s">
        <v>448</v>
      </c>
      <c r="AH4" s="451" t="s">
        <v>1</v>
      </c>
      <c r="AI4" s="451" t="s">
        <v>485</v>
      </c>
      <c r="AJ4" s="451" t="s">
        <v>2</v>
      </c>
      <c r="AK4" s="451" t="s">
        <v>486</v>
      </c>
      <c r="AL4" s="451" t="s">
        <v>321</v>
      </c>
      <c r="AM4" s="451" t="s">
        <v>487</v>
      </c>
      <c r="AN4" s="451" t="s">
        <v>260</v>
      </c>
      <c r="AO4" s="451" t="s">
        <v>488</v>
      </c>
      <c r="AP4" s="451" t="s">
        <v>322</v>
      </c>
      <c r="AQ4" s="451" t="s">
        <v>489</v>
      </c>
      <c r="AR4" s="451" t="s">
        <v>262</v>
      </c>
      <c r="AS4" s="451" t="s">
        <v>490</v>
      </c>
      <c r="AT4" s="451" t="s">
        <v>0</v>
      </c>
      <c r="AU4" s="451" t="s">
        <v>491</v>
      </c>
    </row>
    <row r="5" spans="1:47" x14ac:dyDescent="0.25">
      <c r="A5" s="384" t="s">
        <v>71</v>
      </c>
      <c r="B5" s="384" t="s">
        <v>447</v>
      </c>
      <c r="C5" s="384" t="s">
        <v>61</v>
      </c>
      <c r="D5" s="385" t="s">
        <v>448</v>
      </c>
      <c r="E5" s="384" t="s">
        <v>449</v>
      </c>
      <c r="F5" s="384" t="s">
        <v>331</v>
      </c>
      <c r="G5" s="384" t="s">
        <v>1</v>
      </c>
      <c r="H5" s="384" t="s">
        <v>450</v>
      </c>
      <c r="I5" s="388" t="s">
        <v>2</v>
      </c>
      <c r="J5" s="388" t="s">
        <v>450</v>
      </c>
      <c r="K5" s="384" t="s">
        <v>321</v>
      </c>
      <c r="L5" s="384" t="s">
        <v>450</v>
      </c>
      <c r="M5" s="388" t="s">
        <v>260</v>
      </c>
      <c r="N5" s="388" t="s">
        <v>450</v>
      </c>
      <c r="O5" s="384" t="s">
        <v>262</v>
      </c>
      <c r="P5" s="384" t="s">
        <v>450</v>
      </c>
      <c r="Q5" s="388" t="s">
        <v>322</v>
      </c>
      <c r="R5" s="388" t="s">
        <v>450</v>
      </c>
      <c r="S5" s="384" t="s">
        <v>0</v>
      </c>
      <c r="T5" s="384" t="s">
        <v>450</v>
      </c>
      <c r="U5" s="385" t="s">
        <v>451</v>
      </c>
      <c r="V5" s="385" t="s">
        <v>75</v>
      </c>
      <c r="W5" s="385" t="s">
        <v>67</v>
      </c>
      <c r="X5" s="385" t="s">
        <v>452</v>
      </c>
      <c r="Y5" s="385" t="s">
        <v>0</v>
      </c>
      <c r="Z5" s="385" t="s">
        <v>453</v>
      </c>
      <c r="AA5" s="386" t="s">
        <v>454</v>
      </c>
      <c r="AB5" s="379"/>
      <c r="AD5" s="491" t="s">
        <v>99</v>
      </c>
      <c r="AE5" s="427">
        <v>17</v>
      </c>
      <c r="AF5" s="428">
        <v>1798</v>
      </c>
      <c r="AG5" s="430" t="s">
        <v>220</v>
      </c>
      <c r="AH5" s="452"/>
      <c r="AI5" s="452"/>
      <c r="AJ5" s="453">
        <v>3</v>
      </c>
      <c r="AK5" s="453">
        <v>3.99</v>
      </c>
      <c r="AL5" s="453">
        <v>2</v>
      </c>
      <c r="AM5" s="453">
        <v>2.99</v>
      </c>
      <c r="AN5" s="452"/>
      <c r="AO5" s="454">
        <v>3.99</v>
      </c>
      <c r="AP5" s="452"/>
      <c r="AQ5" s="454">
        <v>3.99</v>
      </c>
      <c r="AR5" s="453">
        <v>2</v>
      </c>
      <c r="AS5" s="453">
        <v>2.99</v>
      </c>
      <c r="AT5" s="452"/>
      <c r="AU5" s="452"/>
    </row>
    <row r="6" spans="1:47" ht="15.75" x14ac:dyDescent="0.25">
      <c r="A6" s="442" t="s">
        <v>461</v>
      </c>
      <c r="B6" s="369">
        <v>16</v>
      </c>
      <c r="C6" s="415">
        <f ca="1">58+$A$32-$A$31-112</f>
        <v>6</v>
      </c>
      <c r="D6" s="416" t="s">
        <v>105</v>
      </c>
      <c r="E6" s="431">
        <f ca="1">F6-$A$32</f>
        <v>106</v>
      </c>
      <c r="F6" s="392">
        <v>43810</v>
      </c>
      <c r="G6" s="368"/>
      <c r="H6" s="398">
        <v>0.99</v>
      </c>
      <c r="I6" s="394">
        <v>1</v>
      </c>
      <c r="J6" s="406">
        <v>1.99</v>
      </c>
      <c r="K6" s="407">
        <v>5</v>
      </c>
      <c r="L6" s="655">
        <v>5.99</v>
      </c>
      <c r="M6" s="395">
        <v>3</v>
      </c>
      <c r="N6" s="398">
        <v>4.99</v>
      </c>
      <c r="O6" s="368"/>
      <c r="P6" s="398">
        <v>2.99</v>
      </c>
      <c r="Q6" s="407">
        <v>4</v>
      </c>
      <c r="R6" s="408">
        <v>4.99</v>
      </c>
      <c r="S6" s="368"/>
      <c r="T6" s="368"/>
      <c r="U6" s="370" t="s">
        <v>463</v>
      </c>
      <c r="V6" s="369"/>
      <c r="W6" s="400">
        <f>COUNTA(H6,J6,L6,N6,P6,R6,T6)</f>
        <v>6</v>
      </c>
      <c r="X6" s="400">
        <v>0</v>
      </c>
      <c r="Y6" s="400">
        <v>0</v>
      </c>
      <c r="Z6" s="400"/>
      <c r="AA6" s="402" t="s">
        <v>465</v>
      </c>
      <c r="AB6" s="369"/>
      <c r="AD6" s="491" t="s">
        <v>98</v>
      </c>
      <c r="AE6" s="427">
        <v>16</v>
      </c>
      <c r="AF6" s="428">
        <v>1849</v>
      </c>
      <c r="AG6" s="430"/>
      <c r="AH6" s="452"/>
      <c r="AI6" s="452"/>
      <c r="AJ6" s="453">
        <v>4</v>
      </c>
      <c r="AK6" s="453">
        <v>4.99</v>
      </c>
      <c r="AL6" s="452"/>
      <c r="AM6" s="452"/>
      <c r="AN6" s="453">
        <v>0</v>
      </c>
      <c r="AO6" s="453">
        <v>0.99</v>
      </c>
      <c r="AP6" s="455">
        <v>3</v>
      </c>
      <c r="AQ6" s="454">
        <v>4.99</v>
      </c>
      <c r="AR6" s="453">
        <v>1</v>
      </c>
      <c r="AS6" s="453">
        <v>1.99</v>
      </c>
      <c r="AT6" s="452"/>
      <c r="AU6" s="452"/>
    </row>
    <row r="7" spans="1:47" ht="15.75" x14ac:dyDescent="0.25">
      <c r="A7" s="441" t="s">
        <v>670</v>
      </c>
      <c r="B7" s="403">
        <v>15</v>
      </c>
      <c r="C7" s="390">
        <f ca="1">52+$A$32-$A$31</f>
        <v>112</v>
      </c>
      <c r="D7" s="404" t="s">
        <v>220</v>
      </c>
      <c r="E7" s="431">
        <f ca="1">F7-$A$32</f>
        <v>112</v>
      </c>
      <c r="F7" s="392">
        <v>43816</v>
      </c>
      <c r="G7" s="403"/>
      <c r="H7" s="429"/>
      <c r="I7" s="429"/>
      <c r="J7" s="398">
        <v>2.99</v>
      </c>
      <c r="K7" s="429"/>
      <c r="L7" s="396">
        <v>5.99</v>
      </c>
      <c r="M7" s="395">
        <v>2</v>
      </c>
      <c r="N7" s="429"/>
      <c r="O7" s="429"/>
      <c r="P7" s="398">
        <v>1.99</v>
      </c>
      <c r="Q7" s="429"/>
      <c r="R7" s="429"/>
      <c r="S7" s="429"/>
      <c r="T7" s="403"/>
      <c r="U7" s="399" t="s">
        <v>463</v>
      </c>
      <c r="V7" s="400"/>
      <c r="W7" s="400">
        <f t="shared" ref="W7" si="0">COUNTA(H7,J7,L7,N7,P7,R7,T7)</f>
        <v>3</v>
      </c>
      <c r="X7" s="400">
        <v>0</v>
      </c>
      <c r="Y7" s="400">
        <v>0</v>
      </c>
      <c r="Z7" s="413"/>
      <c r="AA7" s="402" t="s">
        <v>465</v>
      </c>
      <c r="AB7" s="374"/>
      <c r="AD7" s="491" t="s">
        <v>492</v>
      </c>
      <c r="AE7" s="427">
        <v>18</v>
      </c>
      <c r="AF7" s="428">
        <v>1773</v>
      </c>
      <c r="AG7" s="430"/>
      <c r="AH7" s="452"/>
      <c r="AI7" s="452"/>
      <c r="AJ7" s="453">
        <v>4</v>
      </c>
      <c r="AK7" s="453">
        <v>4.99</v>
      </c>
      <c r="AL7" s="453">
        <v>2</v>
      </c>
      <c r="AM7" s="453">
        <v>2.99</v>
      </c>
      <c r="AN7" s="452"/>
      <c r="AO7" s="452"/>
      <c r="AP7" s="452"/>
      <c r="AQ7" s="452"/>
      <c r="AR7" s="455">
        <v>4</v>
      </c>
      <c r="AS7" s="454">
        <v>4.99</v>
      </c>
      <c r="AT7" s="452"/>
      <c r="AU7" s="454">
        <v>2.99</v>
      </c>
    </row>
    <row r="8" spans="1:47" ht="15.75" x14ac:dyDescent="0.25">
      <c r="A8" s="443" t="s">
        <v>671</v>
      </c>
      <c r="B8" s="429">
        <v>15</v>
      </c>
      <c r="C8" s="428">
        <f ca="1">-2+$A$32-$A$31</f>
        <v>58</v>
      </c>
      <c r="D8" s="391"/>
      <c r="E8" s="431">
        <f ca="1">F8-$A$32</f>
        <v>166</v>
      </c>
      <c r="F8" s="392">
        <v>43870</v>
      </c>
      <c r="G8" s="429"/>
      <c r="H8" s="397">
        <v>6.99</v>
      </c>
      <c r="I8" s="429"/>
      <c r="J8" s="429"/>
      <c r="K8" s="429"/>
      <c r="L8" s="429"/>
      <c r="M8" s="429"/>
      <c r="N8" s="429"/>
      <c r="O8" s="429"/>
      <c r="P8" s="429"/>
      <c r="Q8" s="395">
        <v>0</v>
      </c>
      <c r="R8" s="429"/>
      <c r="S8" s="429"/>
      <c r="T8" s="429"/>
      <c r="U8" s="409" t="s">
        <v>482</v>
      </c>
      <c r="V8" s="400"/>
      <c r="W8" s="400">
        <f>COUNTA(H8,J8,L8,N8,P8,R8,T8)</f>
        <v>1</v>
      </c>
      <c r="X8" s="400">
        <v>0</v>
      </c>
      <c r="Y8" s="400">
        <v>0</v>
      </c>
      <c r="Z8" s="400"/>
      <c r="AA8" s="402" t="s">
        <v>459</v>
      </c>
      <c r="AB8" s="387"/>
      <c r="AD8" s="491" t="s">
        <v>95</v>
      </c>
      <c r="AE8" s="427">
        <v>17</v>
      </c>
      <c r="AF8" s="428">
        <v>1752</v>
      </c>
      <c r="AG8" s="430"/>
      <c r="AH8" s="452"/>
      <c r="AI8" s="452">
        <v>1.99</v>
      </c>
      <c r="AJ8" s="456">
        <v>6</v>
      </c>
      <c r="AK8" s="457">
        <v>6.99</v>
      </c>
      <c r="AL8" s="458">
        <v>4</v>
      </c>
      <c r="AM8" s="458">
        <v>4.99</v>
      </c>
      <c r="AN8" s="453">
        <v>3</v>
      </c>
      <c r="AO8" s="453">
        <v>3.99</v>
      </c>
      <c r="AP8" s="455">
        <v>2</v>
      </c>
      <c r="AQ8" s="454">
        <v>3.99</v>
      </c>
      <c r="AR8" s="453">
        <v>2</v>
      </c>
      <c r="AS8" s="453">
        <v>2.99</v>
      </c>
      <c r="AT8" s="452"/>
      <c r="AU8" s="452"/>
    </row>
    <row r="9" spans="1:47" x14ac:dyDescent="0.25">
      <c r="A9" s="670" t="s">
        <v>460</v>
      </c>
      <c r="B9" s="670"/>
      <c r="C9" s="670"/>
      <c r="D9" s="670"/>
      <c r="E9" s="670"/>
      <c r="F9" s="434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5"/>
      <c r="V9" s="435"/>
      <c r="W9" s="435"/>
      <c r="X9" s="435"/>
      <c r="Y9" s="435"/>
      <c r="Z9" s="435"/>
      <c r="AA9" s="436"/>
      <c r="AB9" s="379"/>
      <c r="AD9" s="491" t="s">
        <v>97</v>
      </c>
      <c r="AE9" s="427">
        <v>17</v>
      </c>
      <c r="AF9" s="428">
        <v>1701</v>
      </c>
      <c r="AG9" s="430"/>
      <c r="AH9" s="452"/>
      <c r="AI9" s="452"/>
      <c r="AJ9" s="453">
        <v>1</v>
      </c>
      <c r="AK9" s="453">
        <v>1.99</v>
      </c>
      <c r="AL9" s="458">
        <v>5</v>
      </c>
      <c r="AM9" s="459">
        <v>5.99</v>
      </c>
      <c r="AN9" s="453">
        <v>2</v>
      </c>
      <c r="AO9" s="453">
        <v>2.99</v>
      </c>
      <c r="AP9" s="453">
        <v>2</v>
      </c>
      <c r="AQ9" s="453">
        <v>2.99</v>
      </c>
      <c r="AR9" s="453">
        <v>2</v>
      </c>
      <c r="AS9" s="453">
        <v>2.99</v>
      </c>
      <c r="AT9" s="452"/>
      <c r="AU9" s="452"/>
    </row>
    <row r="10" spans="1:47" ht="15.75" x14ac:dyDescent="0.25">
      <c r="A10" s="437" t="s">
        <v>456</v>
      </c>
      <c r="B10" s="437"/>
      <c r="C10" s="437"/>
      <c r="D10" s="437"/>
      <c r="E10" s="437"/>
      <c r="F10" s="437"/>
      <c r="G10" s="437" t="s">
        <v>457</v>
      </c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8"/>
      <c r="V10" s="438"/>
      <c r="W10" s="438"/>
      <c r="X10" s="438"/>
      <c r="Y10" s="438"/>
      <c r="Z10" s="438"/>
      <c r="AA10" s="439"/>
      <c r="AB10" s="368"/>
      <c r="AD10" s="491" t="s">
        <v>493</v>
      </c>
      <c r="AE10" s="427">
        <v>17</v>
      </c>
      <c r="AF10" s="428">
        <v>1714</v>
      </c>
      <c r="AG10" s="430" t="s">
        <v>96</v>
      </c>
      <c r="AH10" s="460"/>
      <c r="AI10" s="460"/>
      <c r="AJ10" s="461">
        <v>5</v>
      </c>
      <c r="AK10" s="462">
        <v>5.99</v>
      </c>
      <c r="AL10" s="463">
        <v>2</v>
      </c>
      <c r="AM10" s="463">
        <v>2.99</v>
      </c>
      <c r="AN10" s="463">
        <v>4</v>
      </c>
      <c r="AO10" s="463">
        <v>4.99</v>
      </c>
      <c r="AP10" s="463">
        <v>5</v>
      </c>
      <c r="AQ10" s="464">
        <v>5.99</v>
      </c>
      <c r="AR10" s="460"/>
      <c r="AS10" s="465">
        <v>5.99</v>
      </c>
      <c r="AT10" s="460"/>
      <c r="AU10" s="454">
        <v>2.99</v>
      </c>
    </row>
    <row r="11" spans="1:47" ht="15.75" x14ac:dyDescent="0.25">
      <c r="A11" s="437" t="s">
        <v>71</v>
      </c>
      <c r="B11" s="437" t="s">
        <v>447</v>
      </c>
      <c r="C11" s="437" t="s">
        <v>61</v>
      </c>
      <c r="D11" s="438" t="s">
        <v>448</v>
      </c>
      <c r="E11" s="437" t="s">
        <v>449</v>
      </c>
      <c r="F11" s="437" t="s">
        <v>331</v>
      </c>
      <c r="G11" s="437" t="s">
        <v>1</v>
      </c>
      <c r="H11" s="437" t="s">
        <v>450</v>
      </c>
      <c r="I11" s="440" t="s">
        <v>2</v>
      </c>
      <c r="J11" s="440" t="s">
        <v>450</v>
      </c>
      <c r="K11" s="437" t="s">
        <v>321</v>
      </c>
      <c r="L11" s="437" t="s">
        <v>450</v>
      </c>
      <c r="M11" s="440" t="s">
        <v>260</v>
      </c>
      <c r="N11" s="440" t="s">
        <v>450</v>
      </c>
      <c r="O11" s="437" t="s">
        <v>262</v>
      </c>
      <c r="P11" s="437" t="s">
        <v>450</v>
      </c>
      <c r="Q11" s="440" t="s">
        <v>322</v>
      </c>
      <c r="R11" s="440" t="s">
        <v>450</v>
      </c>
      <c r="S11" s="437" t="s">
        <v>0</v>
      </c>
      <c r="T11" s="437" t="s">
        <v>450</v>
      </c>
      <c r="U11" s="438" t="s">
        <v>451</v>
      </c>
      <c r="V11" s="438" t="s">
        <v>75</v>
      </c>
      <c r="W11" s="438" t="s">
        <v>67</v>
      </c>
      <c r="X11" s="438" t="s">
        <v>452</v>
      </c>
      <c r="Y11" s="438" t="s">
        <v>0</v>
      </c>
      <c r="Z11" s="438" t="s">
        <v>453</v>
      </c>
      <c r="AA11" s="439" t="s">
        <v>454</v>
      </c>
      <c r="AB11" s="368"/>
      <c r="AD11" s="491" t="s">
        <v>494</v>
      </c>
      <c r="AE11" s="427">
        <v>17</v>
      </c>
      <c r="AF11" s="428">
        <v>1719</v>
      </c>
      <c r="AG11" s="430" t="s">
        <v>220</v>
      </c>
      <c r="AH11" s="460"/>
      <c r="AI11" s="460"/>
      <c r="AJ11" s="466">
        <v>2</v>
      </c>
      <c r="AK11" s="460"/>
      <c r="AL11" s="466">
        <v>2</v>
      </c>
      <c r="AM11" s="460"/>
      <c r="AN11" s="460"/>
      <c r="AO11" s="466">
        <v>2.99</v>
      </c>
      <c r="AP11" s="461">
        <v>5</v>
      </c>
      <c r="AQ11" s="462">
        <v>5.99</v>
      </c>
      <c r="AR11" s="461">
        <v>4</v>
      </c>
      <c r="AS11" s="461">
        <v>4.99</v>
      </c>
      <c r="AT11" s="460"/>
      <c r="AU11" s="460"/>
    </row>
    <row r="12" spans="1:47" ht="15.75" x14ac:dyDescent="0.25">
      <c r="A12" s="443" t="s">
        <v>656</v>
      </c>
      <c r="B12" s="403">
        <v>16</v>
      </c>
      <c r="C12" s="390">
        <f ca="1">2+$A$32-$A$31</f>
        <v>62</v>
      </c>
      <c r="D12" s="391"/>
      <c r="E12" s="431">
        <f ca="1">F12-$A$32</f>
        <v>76</v>
      </c>
      <c r="F12" s="392">
        <v>43780</v>
      </c>
      <c r="G12" s="403"/>
      <c r="H12" s="398">
        <v>1.99</v>
      </c>
      <c r="I12" s="395">
        <v>3</v>
      </c>
      <c r="J12" s="396">
        <v>5.99</v>
      </c>
      <c r="K12" s="429"/>
      <c r="L12" s="398">
        <v>4.99</v>
      </c>
      <c r="M12" s="429"/>
      <c r="N12" s="398">
        <v>2.99</v>
      </c>
      <c r="O12" s="429"/>
      <c r="P12" s="397">
        <v>6.99</v>
      </c>
      <c r="Q12" s="395">
        <v>4</v>
      </c>
      <c r="R12" s="396">
        <v>5.99</v>
      </c>
      <c r="S12" s="429"/>
      <c r="T12" s="429"/>
      <c r="U12" s="409" t="s">
        <v>657</v>
      </c>
      <c r="V12" s="400"/>
      <c r="W12" s="400">
        <f>COUNTA(H12,J12,L12,N12,P12,R12,T12)</f>
        <v>6</v>
      </c>
      <c r="X12" s="400">
        <v>0</v>
      </c>
      <c r="Y12" s="400">
        <v>0</v>
      </c>
      <c r="Z12" s="400"/>
      <c r="AA12" s="402" t="s">
        <v>465</v>
      </c>
      <c r="AB12" s="369"/>
      <c r="AD12" s="491" t="s">
        <v>495</v>
      </c>
      <c r="AE12" s="427">
        <v>18</v>
      </c>
      <c r="AF12" s="428">
        <v>1715</v>
      </c>
      <c r="AG12" s="430"/>
      <c r="AH12" s="460"/>
      <c r="AI12" s="460"/>
      <c r="AJ12" s="460"/>
      <c r="AK12" s="466">
        <v>2.99</v>
      </c>
      <c r="AL12" s="463">
        <v>2</v>
      </c>
      <c r="AM12" s="463">
        <v>2.99</v>
      </c>
      <c r="AN12" s="466">
        <v>5</v>
      </c>
      <c r="AO12" s="467">
        <v>6.99</v>
      </c>
      <c r="AP12" s="461">
        <v>3</v>
      </c>
      <c r="AQ12" s="461">
        <v>3.99</v>
      </c>
      <c r="AR12" s="460"/>
      <c r="AS12" s="465">
        <v>5.99</v>
      </c>
      <c r="AT12" s="460"/>
      <c r="AU12" s="460"/>
    </row>
    <row r="13" spans="1:47" ht="15.75" x14ac:dyDescent="0.25">
      <c r="A13" s="441" t="s">
        <v>466</v>
      </c>
      <c r="B13" s="389">
        <v>17</v>
      </c>
      <c r="C13" s="390">
        <f ca="1">37+$A$32-$A$31</f>
        <v>97</v>
      </c>
      <c r="D13" s="404"/>
      <c r="E13" s="431">
        <v>0</v>
      </c>
      <c r="F13" s="392">
        <f ca="1">TODAY()</f>
        <v>43704</v>
      </c>
      <c r="G13" s="393"/>
      <c r="H13" s="393"/>
      <c r="I13" s="395">
        <v>5</v>
      </c>
      <c r="J13" s="397">
        <v>6.99</v>
      </c>
      <c r="K13" s="395">
        <v>4</v>
      </c>
      <c r="L13" s="397">
        <v>6.99</v>
      </c>
      <c r="M13" s="628">
        <v>4</v>
      </c>
      <c r="N13" s="629">
        <v>4.99</v>
      </c>
      <c r="O13" s="394">
        <v>2</v>
      </c>
      <c r="P13" s="406">
        <v>2.99</v>
      </c>
      <c r="Q13" s="620">
        <v>4</v>
      </c>
      <c r="R13" s="621">
        <v>4.99</v>
      </c>
      <c r="S13" s="393"/>
      <c r="T13" s="393"/>
      <c r="U13" s="399" t="s">
        <v>463</v>
      </c>
      <c r="V13" s="400" t="s">
        <v>464</v>
      </c>
      <c r="W13" s="400">
        <f t="shared" ref="W13" si="1">COUNTA(H13,J13,L13,N13,P13,R13,T13)</f>
        <v>5</v>
      </c>
      <c r="X13" s="400">
        <v>0</v>
      </c>
      <c r="Y13" s="400">
        <v>0</v>
      </c>
      <c r="Z13" s="401">
        <v>2104</v>
      </c>
      <c r="AA13" s="402" t="s">
        <v>459</v>
      </c>
      <c r="AB13" s="426"/>
      <c r="AD13" s="491" t="s">
        <v>101</v>
      </c>
      <c r="AE13" s="427">
        <v>18</v>
      </c>
      <c r="AF13" s="428">
        <v>1707</v>
      </c>
      <c r="AG13" s="430" t="s">
        <v>94</v>
      </c>
      <c r="AH13" s="460"/>
      <c r="AI13" s="460"/>
      <c r="AJ13" s="466">
        <v>1</v>
      </c>
      <c r="AK13" s="466">
        <v>2.99</v>
      </c>
      <c r="AL13" s="466">
        <v>6</v>
      </c>
      <c r="AM13" s="467">
        <v>7</v>
      </c>
      <c r="AN13" s="461">
        <v>4</v>
      </c>
      <c r="AO13" s="461">
        <v>4.99</v>
      </c>
      <c r="AP13" s="460"/>
      <c r="AQ13" s="460"/>
      <c r="AR13" s="463">
        <v>3</v>
      </c>
      <c r="AS13" s="463">
        <v>3.99</v>
      </c>
      <c r="AT13" s="460"/>
      <c r="AU13" s="466">
        <v>4.99</v>
      </c>
    </row>
    <row r="14" spans="1:47" ht="15.75" x14ac:dyDescent="0.25">
      <c r="A14" s="665" t="s">
        <v>469</v>
      </c>
      <c r="B14" s="665"/>
      <c r="C14" s="665"/>
      <c r="D14" s="665"/>
      <c r="E14" s="66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1"/>
      <c r="V14" s="371"/>
      <c r="W14" s="371"/>
      <c r="X14" s="371"/>
      <c r="Y14" s="371"/>
      <c r="Z14" s="371"/>
      <c r="AA14" s="414"/>
      <c r="AB14" s="368"/>
      <c r="AD14" s="491" t="s">
        <v>102</v>
      </c>
      <c r="AE14" s="427">
        <v>17</v>
      </c>
      <c r="AF14" s="428">
        <v>1601</v>
      </c>
      <c r="AG14" s="430" t="s">
        <v>105</v>
      </c>
      <c r="AH14" s="460"/>
      <c r="AI14" s="466">
        <v>1.99</v>
      </c>
      <c r="AJ14" s="466">
        <v>4</v>
      </c>
      <c r="AK14" s="465">
        <v>5.99</v>
      </c>
      <c r="AL14" s="463">
        <v>2</v>
      </c>
      <c r="AM14" s="463">
        <v>2.99</v>
      </c>
      <c r="AN14" s="463">
        <v>2</v>
      </c>
      <c r="AO14" s="463">
        <v>2.99</v>
      </c>
      <c r="AP14" s="463">
        <v>6</v>
      </c>
      <c r="AQ14" s="468">
        <v>6.99</v>
      </c>
      <c r="AR14" s="463">
        <v>2</v>
      </c>
      <c r="AS14" s="463">
        <v>2.99</v>
      </c>
      <c r="AT14" s="460"/>
      <c r="AU14" s="467">
        <v>7</v>
      </c>
    </row>
    <row r="15" spans="1:47" ht="15.75" x14ac:dyDescent="0.25">
      <c r="A15" s="375" t="s">
        <v>456</v>
      </c>
      <c r="B15" s="375"/>
      <c r="C15" s="375"/>
      <c r="D15" s="375"/>
      <c r="E15" s="375"/>
      <c r="F15" s="375"/>
      <c r="G15" s="375" t="s">
        <v>457</v>
      </c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6"/>
      <c r="V15" s="376"/>
      <c r="W15" s="376"/>
      <c r="X15" s="376"/>
      <c r="Y15" s="376"/>
      <c r="Z15" s="376"/>
      <c r="AA15" s="414"/>
      <c r="AB15" s="374"/>
      <c r="AD15" s="491" t="s">
        <v>496</v>
      </c>
      <c r="AE15" s="427">
        <v>18</v>
      </c>
      <c r="AF15" s="428">
        <v>1658</v>
      </c>
      <c r="AG15" s="430"/>
      <c r="AH15" s="460"/>
      <c r="AI15" s="460"/>
      <c r="AJ15" s="461">
        <v>4</v>
      </c>
      <c r="AK15" s="461">
        <v>4.99</v>
      </c>
      <c r="AL15" s="461">
        <v>2</v>
      </c>
      <c r="AM15" s="461">
        <v>2.99</v>
      </c>
      <c r="AN15" s="461">
        <v>4</v>
      </c>
      <c r="AO15" s="461">
        <v>4.99</v>
      </c>
      <c r="AP15" s="466">
        <v>6</v>
      </c>
      <c r="AQ15" s="467">
        <v>6.99</v>
      </c>
      <c r="AR15" s="461">
        <v>5</v>
      </c>
      <c r="AS15" s="462">
        <v>5.99</v>
      </c>
      <c r="AT15" s="463">
        <v>4</v>
      </c>
      <c r="AU15" s="463">
        <v>4.99</v>
      </c>
    </row>
    <row r="16" spans="1:47" ht="15.75" x14ac:dyDescent="0.25">
      <c r="A16" s="375" t="s">
        <v>71</v>
      </c>
      <c r="B16" s="375" t="s">
        <v>447</v>
      </c>
      <c r="C16" s="375" t="s">
        <v>61</v>
      </c>
      <c r="D16" s="376" t="s">
        <v>448</v>
      </c>
      <c r="E16" s="375" t="s">
        <v>449</v>
      </c>
      <c r="F16" s="375" t="s">
        <v>331</v>
      </c>
      <c r="G16" s="375" t="s">
        <v>1</v>
      </c>
      <c r="H16" s="375" t="s">
        <v>450</v>
      </c>
      <c r="I16" s="377" t="s">
        <v>2</v>
      </c>
      <c r="J16" s="377" t="s">
        <v>450</v>
      </c>
      <c r="K16" s="375" t="s">
        <v>321</v>
      </c>
      <c r="L16" s="375" t="s">
        <v>450</v>
      </c>
      <c r="M16" s="377" t="s">
        <v>260</v>
      </c>
      <c r="N16" s="377" t="s">
        <v>450</v>
      </c>
      <c r="O16" s="375" t="s">
        <v>262</v>
      </c>
      <c r="P16" s="375" t="s">
        <v>450</v>
      </c>
      <c r="Q16" s="377" t="s">
        <v>322</v>
      </c>
      <c r="R16" s="377" t="s">
        <v>450</v>
      </c>
      <c r="S16" s="375" t="s">
        <v>0</v>
      </c>
      <c r="T16" s="375" t="s">
        <v>450</v>
      </c>
      <c r="U16" s="376" t="s">
        <v>451</v>
      </c>
      <c r="V16" s="376" t="s">
        <v>75</v>
      </c>
      <c r="W16" s="376" t="s">
        <v>67</v>
      </c>
      <c r="X16" s="376" t="s">
        <v>452</v>
      </c>
      <c r="Y16" s="376" t="s">
        <v>0</v>
      </c>
      <c r="Z16" s="376" t="s">
        <v>453</v>
      </c>
      <c r="AA16" s="414" t="s">
        <v>454</v>
      </c>
      <c r="AB16" s="387"/>
      <c r="AD16" s="491" t="s">
        <v>169</v>
      </c>
      <c r="AE16" s="427">
        <v>17</v>
      </c>
      <c r="AF16" s="428">
        <v>1676</v>
      </c>
      <c r="AG16" s="430"/>
      <c r="AH16" s="469"/>
      <c r="AI16" s="466">
        <v>1.99</v>
      </c>
      <c r="AJ16" s="466">
        <v>1</v>
      </c>
      <c r="AK16" s="469"/>
      <c r="AL16" s="463">
        <v>6</v>
      </c>
      <c r="AM16" s="468">
        <v>6.99</v>
      </c>
      <c r="AN16" s="469"/>
      <c r="AO16" s="466">
        <v>1.99</v>
      </c>
      <c r="AP16" s="466">
        <v>5</v>
      </c>
      <c r="AQ16" s="467">
        <v>6.99</v>
      </c>
      <c r="AR16" s="463">
        <v>1</v>
      </c>
      <c r="AS16" s="463">
        <v>1.99</v>
      </c>
      <c r="AT16" s="469"/>
      <c r="AU16" s="466">
        <v>2.99</v>
      </c>
    </row>
    <row r="17" spans="1:47" ht="15.75" x14ac:dyDescent="0.25">
      <c r="A17" s="441"/>
      <c r="B17" s="403"/>
      <c r="C17" s="390">
        <f ca="1">11+$A$32-$A$31</f>
        <v>71</v>
      </c>
      <c r="D17" s="404"/>
      <c r="E17" s="405">
        <f ca="1">F17-A32</f>
        <v>-43704</v>
      </c>
      <c r="F17" s="392"/>
      <c r="G17" s="403"/>
      <c r="H17" s="403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00"/>
      <c r="W17" s="400">
        <f>COUNTA(H17,J17,L17,N17,P17,R17,T17)</f>
        <v>0</v>
      </c>
      <c r="X17" s="400">
        <v>0</v>
      </c>
      <c r="Y17" s="400">
        <v>0</v>
      </c>
      <c r="Z17" s="413"/>
      <c r="AA17" s="402"/>
      <c r="AB17" s="379"/>
      <c r="AD17" s="491" t="s">
        <v>107</v>
      </c>
      <c r="AE17" s="427">
        <v>18</v>
      </c>
      <c r="AF17" s="428">
        <v>1549</v>
      </c>
      <c r="AG17" s="430" t="s">
        <v>94</v>
      </c>
      <c r="AH17" s="470"/>
      <c r="AI17" s="470"/>
      <c r="AJ17" s="461">
        <v>3</v>
      </c>
      <c r="AK17" s="461">
        <v>3.99</v>
      </c>
      <c r="AL17" s="463">
        <v>3</v>
      </c>
      <c r="AM17" s="463">
        <v>3.99</v>
      </c>
      <c r="AN17" s="461">
        <v>5</v>
      </c>
      <c r="AO17" s="462">
        <v>5.99</v>
      </c>
      <c r="AP17" s="470"/>
      <c r="AQ17" s="466">
        <v>2.99</v>
      </c>
      <c r="AR17" s="463">
        <v>4</v>
      </c>
      <c r="AS17" s="463">
        <v>4.99</v>
      </c>
      <c r="AT17" s="463">
        <v>4</v>
      </c>
      <c r="AU17" s="463">
        <v>4.99</v>
      </c>
    </row>
    <row r="18" spans="1:47" ht="15.75" x14ac:dyDescent="0.25">
      <c r="A18" s="443"/>
      <c r="B18" s="403"/>
      <c r="C18" s="390">
        <f ca="1">3+$A$32-$A$31</f>
        <v>63</v>
      </c>
      <c r="D18" s="391"/>
      <c r="E18" s="431">
        <f ca="1">F18-$A$32</f>
        <v>-43704</v>
      </c>
      <c r="F18" s="392"/>
      <c r="G18" s="403"/>
      <c r="H18" s="403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29"/>
      <c r="V18" s="429"/>
      <c r="W18" s="400">
        <f>COUNTA(H18,J18,L18,N18,P18,R18,T18)</f>
        <v>0</v>
      </c>
      <c r="X18" s="400">
        <v>0</v>
      </c>
      <c r="Y18" s="400">
        <v>0</v>
      </c>
      <c r="Z18" s="400"/>
      <c r="AA18" s="402"/>
      <c r="AD18" s="491" t="s">
        <v>497</v>
      </c>
      <c r="AE18" s="427">
        <v>16</v>
      </c>
      <c r="AF18" s="428">
        <v>1633</v>
      </c>
      <c r="AG18" s="430" t="s">
        <v>96</v>
      </c>
      <c r="AH18" s="471"/>
      <c r="AI18" s="471"/>
      <c r="AJ18" s="463">
        <v>2</v>
      </c>
      <c r="AK18" s="463">
        <v>2.99</v>
      </c>
      <c r="AL18" s="461">
        <v>5</v>
      </c>
      <c r="AM18" s="462">
        <v>5.99</v>
      </c>
      <c r="AN18" s="463">
        <v>2</v>
      </c>
      <c r="AO18" s="463">
        <v>2.99</v>
      </c>
      <c r="AP18" s="461">
        <v>4</v>
      </c>
      <c r="AQ18" s="461">
        <v>4.99</v>
      </c>
      <c r="AR18" s="471"/>
      <c r="AS18" s="466">
        <v>4.99</v>
      </c>
      <c r="AT18" s="471"/>
      <c r="AU18" s="466">
        <v>1.99</v>
      </c>
    </row>
    <row r="19" spans="1:47" ht="15.75" x14ac:dyDescent="0.25">
      <c r="A19" s="441"/>
      <c r="B19" s="403"/>
      <c r="C19" s="390">
        <f ca="1">9+$A$32-$A$31</f>
        <v>69</v>
      </c>
      <c r="D19" s="404"/>
      <c r="E19" s="431">
        <v>0</v>
      </c>
      <c r="F19" s="392"/>
      <c r="G19" s="403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00"/>
      <c r="W19" s="400">
        <f>COUNTA(H19,J19,L19,N19,P19,R19,T19)</f>
        <v>0</v>
      </c>
      <c r="X19" s="400">
        <v>0</v>
      </c>
      <c r="Y19" s="400">
        <v>0</v>
      </c>
      <c r="Z19" s="401"/>
      <c r="AA19" s="402"/>
      <c r="AB19" s="403"/>
      <c r="AD19" s="491" t="s">
        <v>181</v>
      </c>
      <c r="AE19" s="427">
        <v>16</v>
      </c>
      <c r="AF19" s="428">
        <v>1626</v>
      </c>
      <c r="AG19" s="430"/>
      <c r="AH19" s="469"/>
      <c r="AI19" s="469"/>
      <c r="AJ19" s="463">
        <v>4</v>
      </c>
      <c r="AK19" s="463">
        <v>4.99</v>
      </c>
      <c r="AL19" s="463">
        <v>5</v>
      </c>
      <c r="AM19" s="464">
        <v>5.99</v>
      </c>
      <c r="AN19" s="463">
        <v>4</v>
      </c>
      <c r="AO19" s="463">
        <v>4.99</v>
      </c>
      <c r="AP19" s="469"/>
      <c r="AQ19" s="469"/>
      <c r="AR19" s="461">
        <v>2</v>
      </c>
      <c r="AS19" s="461">
        <v>2.99</v>
      </c>
      <c r="AT19" s="463">
        <v>1</v>
      </c>
      <c r="AU19" s="463">
        <v>1.99</v>
      </c>
    </row>
    <row r="20" spans="1:47" ht="15.75" x14ac:dyDescent="0.25">
      <c r="A20" s="443" t="s">
        <v>471</v>
      </c>
      <c r="B20" s="403">
        <v>18</v>
      </c>
      <c r="C20" s="390">
        <f ca="1">103+$A$32-$A$31-112</f>
        <v>51</v>
      </c>
      <c r="D20" s="391"/>
      <c r="E20" s="431">
        <v>0</v>
      </c>
      <c r="F20" s="392">
        <f t="shared" ref="F20:F27" ca="1" si="2">TODAY()</f>
        <v>43704</v>
      </c>
      <c r="G20" s="403"/>
      <c r="H20" s="398">
        <v>1.99</v>
      </c>
      <c r="I20" s="394">
        <v>4</v>
      </c>
      <c r="J20" s="406">
        <v>4.99</v>
      </c>
      <c r="K20" s="394">
        <v>3</v>
      </c>
      <c r="L20" s="406">
        <v>3.99</v>
      </c>
      <c r="M20" s="394">
        <v>1</v>
      </c>
      <c r="N20" s="406">
        <v>1.99</v>
      </c>
      <c r="O20" s="403"/>
      <c r="P20" s="396">
        <v>5.99</v>
      </c>
      <c r="Q20" s="395">
        <v>4</v>
      </c>
      <c r="R20" s="396">
        <v>5.99</v>
      </c>
      <c r="S20" s="403"/>
      <c r="T20" s="396">
        <v>5.99</v>
      </c>
      <c r="U20" s="409" t="s">
        <v>472</v>
      </c>
      <c r="V20" s="400"/>
      <c r="W20" s="400">
        <f t="shared" ref="W20:W27" si="3">COUNTA(H20,J20,L20,N20,P20,R20,T20)</f>
        <v>7</v>
      </c>
      <c r="X20" s="400">
        <v>0</v>
      </c>
      <c r="Y20" s="400">
        <v>3</v>
      </c>
      <c r="Z20" s="400"/>
      <c r="AA20" s="402" t="s">
        <v>465</v>
      </c>
      <c r="AB20" s="368"/>
      <c r="AD20" s="491" t="s">
        <v>498</v>
      </c>
      <c r="AE20" s="427">
        <v>17</v>
      </c>
      <c r="AF20" s="428">
        <v>1561</v>
      </c>
      <c r="AG20" s="430" t="s">
        <v>94</v>
      </c>
      <c r="AH20" s="460"/>
      <c r="AI20" s="460"/>
      <c r="AJ20" s="463">
        <v>4</v>
      </c>
      <c r="AK20" s="463">
        <v>4.99</v>
      </c>
      <c r="AL20" s="461">
        <v>5</v>
      </c>
      <c r="AM20" s="462">
        <v>5.99</v>
      </c>
      <c r="AN20" s="463">
        <v>4</v>
      </c>
      <c r="AO20" s="463">
        <v>4.99</v>
      </c>
      <c r="AP20" s="460"/>
      <c r="AQ20" s="460"/>
      <c r="AR20" s="460"/>
      <c r="AS20" s="466">
        <v>2.99</v>
      </c>
      <c r="AT20" s="463">
        <v>3</v>
      </c>
      <c r="AU20" s="463">
        <v>3.99</v>
      </c>
    </row>
    <row r="21" spans="1:47" ht="15.75" x14ac:dyDescent="0.25">
      <c r="A21" s="443" t="s">
        <v>473</v>
      </c>
      <c r="B21" s="403">
        <v>18</v>
      </c>
      <c r="C21" s="390">
        <f ca="1">92+$A$32-$A$31-112</f>
        <v>40</v>
      </c>
      <c r="D21" s="391"/>
      <c r="E21" s="431">
        <v>0</v>
      </c>
      <c r="F21" s="392">
        <f t="shared" ca="1" si="2"/>
        <v>43704</v>
      </c>
      <c r="G21" s="403"/>
      <c r="H21" s="398">
        <v>1.99</v>
      </c>
      <c r="I21" s="394">
        <v>4</v>
      </c>
      <c r="J21" s="406">
        <v>4.99</v>
      </c>
      <c r="K21" s="394">
        <v>3</v>
      </c>
      <c r="L21" s="406">
        <v>3.99</v>
      </c>
      <c r="M21" s="403"/>
      <c r="N21" s="398">
        <v>2.99</v>
      </c>
      <c r="O21" s="403"/>
      <c r="P21" s="396">
        <v>5.99</v>
      </c>
      <c r="Q21" s="394">
        <v>3</v>
      </c>
      <c r="R21" s="406">
        <v>3.99</v>
      </c>
      <c r="S21" s="403"/>
      <c r="T21" s="403"/>
      <c r="U21" s="409" t="s">
        <v>474</v>
      </c>
      <c r="V21" s="400"/>
      <c r="W21" s="400">
        <f t="shared" si="3"/>
        <v>6</v>
      </c>
      <c r="X21" s="400">
        <v>0</v>
      </c>
      <c r="Y21" s="400">
        <v>0</v>
      </c>
      <c r="Z21" s="400"/>
      <c r="AA21" s="402" t="s">
        <v>465</v>
      </c>
      <c r="AB21" s="368"/>
      <c r="AD21" s="491" t="s">
        <v>499</v>
      </c>
      <c r="AE21" s="427">
        <v>17</v>
      </c>
      <c r="AF21" s="428">
        <v>1515</v>
      </c>
      <c r="AG21" s="430"/>
      <c r="AH21" s="469"/>
      <c r="AI21" s="469"/>
      <c r="AJ21" s="461">
        <v>3</v>
      </c>
      <c r="AK21" s="461">
        <v>3.99</v>
      </c>
      <c r="AL21" s="463">
        <v>4</v>
      </c>
      <c r="AM21" s="463">
        <v>4.99</v>
      </c>
      <c r="AN21" s="463">
        <v>5</v>
      </c>
      <c r="AO21" s="464">
        <v>5.99</v>
      </c>
      <c r="AP21" s="469"/>
      <c r="AQ21" s="469"/>
      <c r="AR21" s="463">
        <v>3</v>
      </c>
      <c r="AS21" s="463">
        <v>3.99</v>
      </c>
      <c r="AT21" s="469"/>
      <c r="AU21" s="469"/>
    </row>
    <row r="22" spans="1:47" ht="15.75" x14ac:dyDescent="0.25">
      <c r="A22" s="443" t="s">
        <v>475</v>
      </c>
      <c r="B22" s="389">
        <v>18</v>
      </c>
      <c r="C22" s="417">
        <f ca="1">75+$A$32-$A$31-112</f>
        <v>23</v>
      </c>
      <c r="D22" s="368"/>
      <c r="E22" s="431">
        <v>0</v>
      </c>
      <c r="F22" s="392">
        <f t="shared" ca="1" si="2"/>
        <v>43704</v>
      </c>
      <c r="G22" s="368"/>
      <c r="H22" s="398">
        <v>1.99</v>
      </c>
      <c r="I22" s="394">
        <v>3</v>
      </c>
      <c r="J22" s="406">
        <v>3.99</v>
      </c>
      <c r="K22" s="394">
        <v>3</v>
      </c>
      <c r="L22" s="406">
        <v>3.99</v>
      </c>
      <c r="M22" s="395">
        <v>4</v>
      </c>
      <c r="N22" s="396">
        <v>5.99</v>
      </c>
      <c r="O22" s="407">
        <v>4</v>
      </c>
      <c r="P22" s="408">
        <v>4.99</v>
      </c>
      <c r="Q22" s="368"/>
      <c r="R22" s="398">
        <v>3.99</v>
      </c>
      <c r="S22" s="368"/>
      <c r="T22" s="368"/>
      <c r="U22" s="399" t="s">
        <v>463</v>
      </c>
      <c r="V22" s="368"/>
      <c r="W22" s="400">
        <f t="shared" si="3"/>
        <v>6</v>
      </c>
      <c r="X22" s="370">
        <v>0</v>
      </c>
      <c r="Y22" s="370">
        <v>0</v>
      </c>
      <c r="Z22" s="368"/>
      <c r="AA22" s="402" t="s">
        <v>465</v>
      </c>
      <c r="AB22" s="368"/>
      <c r="AD22" s="491" t="s">
        <v>500</v>
      </c>
      <c r="AE22" s="427">
        <v>19</v>
      </c>
      <c r="AF22" s="428">
        <v>1502</v>
      </c>
      <c r="AG22" s="430"/>
      <c r="AH22" s="469"/>
      <c r="AI22" s="466">
        <v>1.99</v>
      </c>
      <c r="AJ22" s="469"/>
      <c r="AK22" s="466">
        <v>2.99</v>
      </c>
      <c r="AL22" s="466">
        <v>3</v>
      </c>
      <c r="AM22" s="469"/>
      <c r="AN22" s="469"/>
      <c r="AO22" s="469"/>
      <c r="AP22" s="461">
        <v>5</v>
      </c>
      <c r="AQ22" s="472">
        <v>5.99</v>
      </c>
      <c r="AR22" s="469"/>
      <c r="AS22" s="466">
        <v>2.99</v>
      </c>
      <c r="AT22" s="469"/>
      <c r="AU22" s="469"/>
    </row>
    <row r="23" spans="1:47" ht="15.75" x14ac:dyDescent="0.25">
      <c r="A23" s="443" t="s">
        <v>476</v>
      </c>
      <c r="B23" s="403">
        <v>18</v>
      </c>
      <c r="C23" s="390">
        <f ca="1">75+$A$32-$A$31-112</f>
        <v>23</v>
      </c>
      <c r="D23" s="404" t="s">
        <v>94</v>
      </c>
      <c r="E23" s="431">
        <v>0</v>
      </c>
      <c r="F23" s="392">
        <f t="shared" ca="1" si="2"/>
        <v>43704</v>
      </c>
      <c r="G23" s="403"/>
      <c r="H23" s="403"/>
      <c r="I23" s="394">
        <v>2</v>
      </c>
      <c r="J23" s="406">
        <v>2.99</v>
      </c>
      <c r="K23" s="394">
        <v>2</v>
      </c>
      <c r="L23" s="406">
        <v>2.99</v>
      </c>
      <c r="M23" s="395">
        <v>4</v>
      </c>
      <c r="N23" s="397">
        <v>6.99</v>
      </c>
      <c r="O23" s="403"/>
      <c r="P23" s="396">
        <v>5.99</v>
      </c>
      <c r="Q23" s="395">
        <v>2</v>
      </c>
      <c r="R23" s="398">
        <v>3.99</v>
      </c>
      <c r="S23" s="403"/>
      <c r="T23" s="398">
        <v>3.99</v>
      </c>
      <c r="U23" s="399" t="s">
        <v>463</v>
      </c>
      <c r="V23" s="400"/>
      <c r="W23" s="400">
        <f t="shared" si="3"/>
        <v>6</v>
      </c>
      <c r="X23" s="400">
        <v>0</v>
      </c>
      <c r="Y23" s="400">
        <v>0</v>
      </c>
      <c r="Z23" s="412">
        <v>1896</v>
      </c>
      <c r="AA23" s="402" t="s">
        <v>459</v>
      </c>
      <c r="AB23" s="368"/>
      <c r="AD23" s="491" t="s">
        <v>501</v>
      </c>
      <c r="AE23" s="427">
        <v>18</v>
      </c>
      <c r="AF23" s="428">
        <v>1561</v>
      </c>
      <c r="AG23" s="430"/>
      <c r="AH23" s="460"/>
      <c r="AI23" s="460"/>
      <c r="AJ23" s="466">
        <v>1</v>
      </c>
      <c r="AK23" s="466">
        <v>2.99</v>
      </c>
      <c r="AL23" s="461">
        <v>3</v>
      </c>
      <c r="AM23" s="461">
        <v>3.99</v>
      </c>
      <c r="AN23" s="460"/>
      <c r="AO23" s="465">
        <v>5.99</v>
      </c>
      <c r="AP23" s="466">
        <v>3</v>
      </c>
      <c r="AQ23" s="466">
        <v>4.99</v>
      </c>
      <c r="AR23" s="463">
        <v>1</v>
      </c>
      <c r="AS23" s="463">
        <v>1.99</v>
      </c>
      <c r="AT23" s="460"/>
      <c r="AU23" s="460"/>
    </row>
    <row r="24" spans="1:47" ht="15.75" x14ac:dyDescent="0.25">
      <c r="A24" s="441" t="s">
        <v>477</v>
      </c>
      <c r="B24" s="389">
        <v>17</v>
      </c>
      <c r="C24" s="390">
        <f ca="1">48+$A$32-$A$31</f>
        <v>108</v>
      </c>
      <c r="D24" s="404" t="s">
        <v>67</v>
      </c>
      <c r="E24" s="431">
        <v>0</v>
      </c>
      <c r="F24" s="392">
        <f t="shared" ca="1" si="2"/>
        <v>43704</v>
      </c>
      <c r="G24" s="393"/>
      <c r="H24" s="398">
        <v>1.99</v>
      </c>
      <c r="I24" s="622">
        <v>4</v>
      </c>
      <c r="J24" s="632">
        <v>4.99</v>
      </c>
      <c r="K24" s="394">
        <v>3</v>
      </c>
      <c r="L24" s="406">
        <v>3.99</v>
      </c>
      <c r="M24" s="394">
        <v>2</v>
      </c>
      <c r="N24" s="406">
        <v>2.99</v>
      </c>
      <c r="O24" s="394">
        <v>2</v>
      </c>
      <c r="P24" s="406">
        <v>2.99</v>
      </c>
      <c r="Q24" s="395">
        <v>4</v>
      </c>
      <c r="R24" s="397">
        <v>6.99</v>
      </c>
      <c r="S24" s="393"/>
      <c r="T24" s="393"/>
      <c r="U24" s="399" t="s">
        <v>463</v>
      </c>
      <c r="V24" s="400" t="s">
        <v>464</v>
      </c>
      <c r="W24" s="400">
        <f t="shared" si="3"/>
        <v>6</v>
      </c>
      <c r="X24" s="400">
        <v>0</v>
      </c>
      <c r="Y24" s="400">
        <v>0</v>
      </c>
      <c r="Z24" s="412">
        <v>1969</v>
      </c>
      <c r="AA24" s="402" t="s">
        <v>465</v>
      </c>
      <c r="AB24" s="403"/>
      <c r="AD24" s="491" t="s">
        <v>502</v>
      </c>
      <c r="AE24" s="427">
        <v>18</v>
      </c>
      <c r="AF24" s="428">
        <v>1540</v>
      </c>
      <c r="AG24" s="430" t="s">
        <v>105</v>
      </c>
      <c r="AH24" s="469"/>
      <c r="AI24" s="469"/>
      <c r="AJ24" s="469"/>
      <c r="AK24" s="466">
        <v>4.99</v>
      </c>
      <c r="AL24" s="463">
        <v>5.5</v>
      </c>
      <c r="AM24" s="464">
        <v>5.99</v>
      </c>
      <c r="AN24" s="463">
        <v>1</v>
      </c>
      <c r="AO24" s="463">
        <v>1.99</v>
      </c>
      <c r="AP24" s="463">
        <v>2</v>
      </c>
      <c r="AQ24" s="463">
        <v>2.99</v>
      </c>
      <c r="AR24" s="463">
        <v>3</v>
      </c>
      <c r="AS24" s="463">
        <v>3.99</v>
      </c>
      <c r="AT24" s="469"/>
      <c r="AU24" s="469"/>
    </row>
    <row r="25" spans="1:47" ht="15.75" x14ac:dyDescent="0.25">
      <c r="A25" s="444" t="s">
        <v>478</v>
      </c>
      <c r="B25" s="389">
        <v>17</v>
      </c>
      <c r="C25" s="390">
        <f ca="1">76+$A$32-$A$31-112</f>
        <v>24</v>
      </c>
      <c r="D25" s="404" t="s">
        <v>67</v>
      </c>
      <c r="E25" s="431">
        <v>0</v>
      </c>
      <c r="F25" s="392">
        <f t="shared" ca="1" si="2"/>
        <v>43704</v>
      </c>
      <c r="G25" s="393"/>
      <c r="H25" s="398">
        <v>0.99</v>
      </c>
      <c r="I25" s="394">
        <v>3</v>
      </c>
      <c r="J25" s="406">
        <v>3.99</v>
      </c>
      <c r="K25" s="407">
        <v>4</v>
      </c>
      <c r="L25" s="408">
        <v>4.99</v>
      </c>
      <c r="M25" s="393"/>
      <c r="N25" s="398">
        <v>3.99</v>
      </c>
      <c r="O25" s="393"/>
      <c r="P25" s="397">
        <v>6.99</v>
      </c>
      <c r="Q25" s="393"/>
      <c r="R25" s="398">
        <v>4.99</v>
      </c>
      <c r="S25" s="393"/>
      <c r="T25" s="393"/>
      <c r="U25" s="409" t="s">
        <v>479</v>
      </c>
      <c r="V25" s="400" t="s">
        <v>464</v>
      </c>
      <c r="W25" s="400">
        <f t="shared" si="3"/>
        <v>6</v>
      </c>
      <c r="X25" s="400">
        <v>0</v>
      </c>
      <c r="Y25" s="400">
        <v>0</v>
      </c>
      <c r="Z25" s="412">
        <v>1968</v>
      </c>
      <c r="AA25" s="402" t="s">
        <v>459</v>
      </c>
      <c r="AB25" s="368"/>
      <c r="AD25" s="491" t="s">
        <v>503</v>
      </c>
      <c r="AE25" s="427">
        <v>18</v>
      </c>
      <c r="AF25" s="428">
        <v>1501</v>
      </c>
      <c r="AG25" s="430" t="s">
        <v>67</v>
      </c>
      <c r="AH25" s="469"/>
      <c r="AI25" s="466">
        <v>1.99</v>
      </c>
      <c r="AJ25" s="469"/>
      <c r="AK25" s="466">
        <v>1.99</v>
      </c>
      <c r="AL25" s="461">
        <v>5</v>
      </c>
      <c r="AM25" s="462">
        <v>5.99</v>
      </c>
      <c r="AN25" s="469"/>
      <c r="AO25" s="466">
        <v>3.99</v>
      </c>
      <c r="AP25" s="463">
        <v>3</v>
      </c>
      <c r="AQ25" s="463">
        <v>3.99</v>
      </c>
      <c r="AR25" s="461">
        <v>2</v>
      </c>
      <c r="AS25" s="461">
        <v>2.99</v>
      </c>
      <c r="AT25" s="469"/>
      <c r="AU25" s="469"/>
    </row>
    <row r="26" spans="1:47" ht="15.75" x14ac:dyDescent="0.25">
      <c r="A26" s="441" t="s">
        <v>480</v>
      </c>
      <c r="B26" s="389">
        <v>17</v>
      </c>
      <c r="C26" s="390">
        <f ca="1">27+$A$32-$A$31</f>
        <v>87</v>
      </c>
      <c r="D26" s="404"/>
      <c r="E26" s="431">
        <v>0</v>
      </c>
      <c r="F26" s="392">
        <f t="shared" ca="1" si="2"/>
        <v>43704</v>
      </c>
      <c r="G26" s="393"/>
      <c r="H26" s="393"/>
      <c r="I26" s="393"/>
      <c r="J26" s="393"/>
      <c r="K26" s="395">
        <v>2</v>
      </c>
      <c r="L26" s="393"/>
      <c r="M26" s="393"/>
      <c r="N26" s="393"/>
      <c r="O26" s="393"/>
      <c r="P26" s="397">
        <v>7</v>
      </c>
      <c r="Q26" s="393"/>
      <c r="R26" s="393"/>
      <c r="S26" s="393"/>
      <c r="T26" s="393"/>
      <c r="U26" s="399" t="s">
        <v>463</v>
      </c>
      <c r="V26" s="400" t="s">
        <v>464</v>
      </c>
      <c r="W26" s="400">
        <f t="shared" si="3"/>
        <v>1</v>
      </c>
      <c r="X26" s="400">
        <v>0</v>
      </c>
      <c r="Y26" s="400">
        <v>0</v>
      </c>
      <c r="Z26" s="400"/>
      <c r="AA26" s="402" t="s">
        <v>465</v>
      </c>
      <c r="AB26" s="403"/>
      <c r="AD26" s="491" t="s">
        <v>504</v>
      </c>
      <c r="AE26" s="427">
        <v>16</v>
      </c>
      <c r="AF26" s="428">
        <v>1510</v>
      </c>
      <c r="AG26" s="430"/>
      <c r="AH26" s="460"/>
      <c r="AI26" s="466">
        <v>1.99</v>
      </c>
      <c r="AJ26" s="463">
        <v>3</v>
      </c>
      <c r="AK26" s="464">
        <v>3.99</v>
      </c>
      <c r="AL26" s="463">
        <v>5.4</v>
      </c>
      <c r="AM26" s="464">
        <v>5.99</v>
      </c>
      <c r="AN26" s="463">
        <v>2</v>
      </c>
      <c r="AO26" s="463">
        <v>2.99</v>
      </c>
      <c r="AP26" s="460"/>
      <c r="AQ26" s="460"/>
      <c r="AR26" s="463">
        <v>4</v>
      </c>
      <c r="AS26" s="463">
        <v>4.99</v>
      </c>
      <c r="AT26" s="469"/>
      <c r="AU26" s="466">
        <v>3.99</v>
      </c>
    </row>
    <row r="27" spans="1:47" ht="15.75" x14ac:dyDescent="0.25">
      <c r="A27" s="445" t="s">
        <v>481</v>
      </c>
      <c r="B27" s="403">
        <v>17</v>
      </c>
      <c r="C27" s="390">
        <f ca="1">68+$A$32-$A$31-112</f>
        <v>16</v>
      </c>
      <c r="D27" s="391"/>
      <c r="E27" s="431">
        <v>0</v>
      </c>
      <c r="F27" s="392">
        <f t="shared" ca="1" si="2"/>
        <v>43704</v>
      </c>
      <c r="G27" s="403"/>
      <c r="H27" s="397">
        <v>6.99</v>
      </c>
      <c r="I27" s="622">
        <v>2</v>
      </c>
      <c r="J27" s="632">
        <v>2.99</v>
      </c>
      <c r="K27" s="410">
        <v>1</v>
      </c>
      <c r="L27" s="411">
        <v>1.99</v>
      </c>
      <c r="M27" s="394">
        <v>0</v>
      </c>
      <c r="N27" s="406">
        <v>0.99</v>
      </c>
      <c r="O27" s="403"/>
      <c r="P27" s="398">
        <v>0.99</v>
      </c>
      <c r="Q27" s="403"/>
      <c r="R27" s="398">
        <v>1.99</v>
      </c>
      <c r="S27" s="403"/>
      <c r="T27" s="398">
        <v>1.99</v>
      </c>
      <c r="U27" s="409" t="s">
        <v>482</v>
      </c>
      <c r="V27" s="400"/>
      <c r="W27" s="400">
        <f t="shared" si="3"/>
        <v>7</v>
      </c>
      <c r="X27" s="400">
        <v>0</v>
      </c>
      <c r="Y27" s="400">
        <v>0</v>
      </c>
      <c r="Z27" s="400">
        <v>1808</v>
      </c>
      <c r="AA27" s="402" t="s">
        <v>465</v>
      </c>
      <c r="AB27" s="368"/>
      <c r="AD27" s="491" t="s">
        <v>505</v>
      </c>
      <c r="AE27" s="427">
        <v>17</v>
      </c>
      <c r="AF27" s="428">
        <v>1456</v>
      </c>
      <c r="AG27" s="430"/>
      <c r="AH27" s="473"/>
      <c r="AI27" s="473"/>
      <c r="AJ27" s="473"/>
      <c r="AK27" s="466">
        <v>3.99</v>
      </c>
      <c r="AL27" s="463">
        <v>2</v>
      </c>
      <c r="AM27" s="463">
        <v>2.99</v>
      </c>
      <c r="AN27" s="463">
        <v>4</v>
      </c>
      <c r="AO27" s="463">
        <v>4.99</v>
      </c>
      <c r="AP27" s="463">
        <v>5</v>
      </c>
      <c r="AQ27" s="464">
        <v>5.99</v>
      </c>
      <c r="AR27" s="463">
        <v>6</v>
      </c>
      <c r="AS27" s="468">
        <v>6.99</v>
      </c>
      <c r="AT27" s="473"/>
      <c r="AU27" s="473"/>
    </row>
    <row r="28" spans="1:47" ht="15.75" x14ac:dyDescent="0.25">
      <c r="A28" s="443" t="s">
        <v>462</v>
      </c>
      <c r="B28" s="389">
        <v>16</v>
      </c>
      <c r="C28" s="390">
        <f ca="1">4+$A$32-$A$31</f>
        <v>64</v>
      </c>
      <c r="D28" s="404"/>
      <c r="E28" s="431">
        <f ca="1">F28-$A$32</f>
        <v>48</v>
      </c>
      <c r="F28" s="392">
        <v>43752</v>
      </c>
      <c r="G28" s="393"/>
      <c r="H28" s="398">
        <v>1.99</v>
      </c>
      <c r="I28" s="394">
        <v>2</v>
      </c>
      <c r="J28" s="406">
        <v>2.99</v>
      </c>
      <c r="K28" s="620">
        <v>4</v>
      </c>
      <c r="L28" s="621">
        <v>4.99</v>
      </c>
      <c r="M28" s="620">
        <v>4</v>
      </c>
      <c r="N28" s="621">
        <v>4.99</v>
      </c>
      <c r="O28" s="395">
        <v>4</v>
      </c>
      <c r="P28" s="396">
        <v>5.99</v>
      </c>
      <c r="Q28" s="393"/>
      <c r="R28" s="398">
        <v>2.99</v>
      </c>
      <c r="S28" s="393"/>
      <c r="T28" s="393"/>
      <c r="U28" s="399" t="s">
        <v>463</v>
      </c>
      <c r="V28" s="400" t="s">
        <v>464</v>
      </c>
      <c r="W28" s="400">
        <f>COUNTA(H28,J28,L28,N28,P28,R28,T28)</f>
        <v>6</v>
      </c>
      <c r="X28" s="400">
        <v>0</v>
      </c>
      <c r="Y28" s="400">
        <v>0</v>
      </c>
      <c r="Z28" s="400"/>
      <c r="AA28" s="402" t="s">
        <v>465</v>
      </c>
      <c r="AB28" s="368"/>
      <c r="AD28" s="491" t="s">
        <v>506</v>
      </c>
      <c r="AE28" s="427">
        <v>17</v>
      </c>
      <c r="AF28" s="428">
        <v>1439</v>
      </c>
      <c r="AG28" s="430" t="s">
        <v>220</v>
      </c>
      <c r="AH28" s="469"/>
      <c r="AI28" s="469"/>
      <c r="AJ28" s="463">
        <v>2</v>
      </c>
      <c r="AK28" s="463">
        <v>2.99</v>
      </c>
      <c r="AL28" s="461">
        <v>4</v>
      </c>
      <c r="AM28" s="461">
        <v>4.99</v>
      </c>
      <c r="AN28" s="469"/>
      <c r="AO28" s="466">
        <v>3.99</v>
      </c>
      <c r="AP28" s="469"/>
      <c r="AQ28" s="466">
        <v>3.99</v>
      </c>
      <c r="AR28" s="463">
        <v>4</v>
      </c>
      <c r="AS28" s="463">
        <v>4.99</v>
      </c>
      <c r="AT28" s="469"/>
      <c r="AU28" s="469"/>
    </row>
    <row r="29" spans="1:47" ht="15.75" x14ac:dyDescent="0.25">
      <c r="A29" s="403"/>
      <c r="B29" s="403"/>
      <c r="C29" s="417"/>
      <c r="D29" s="418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18"/>
      <c r="V29" s="418"/>
      <c r="W29" s="418"/>
      <c r="X29" s="418"/>
      <c r="Y29" s="418"/>
      <c r="Z29" s="418"/>
      <c r="AA29" s="419"/>
      <c r="AB29" s="403"/>
      <c r="AD29" s="491" t="s">
        <v>225</v>
      </c>
      <c r="AE29" s="427">
        <v>17</v>
      </c>
      <c r="AF29" s="428">
        <v>1340</v>
      </c>
      <c r="AG29" s="430" t="s">
        <v>220</v>
      </c>
      <c r="AH29" s="469"/>
      <c r="AI29" s="469"/>
      <c r="AJ29" s="461">
        <v>2</v>
      </c>
      <c r="AK29" s="461">
        <v>2.99</v>
      </c>
      <c r="AL29" s="463">
        <v>6.1</v>
      </c>
      <c r="AM29" s="468">
        <v>6.2</v>
      </c>
      <c r="AN29" s="463">
        <v>4</v>
      </c>
      <c r="AO29" s="463">
        <v>4.99</v>
      </c>
      <c r="AP29" s="463">
        <v>4</v>
      </c>
      <c r="AQ29" s="463">
        <v>4.99</v>
      </c>
      <c r="AR29" s="464">
        <v>5</v>
      </c>
      <c r="AS29" s="464">
        <v>5.99</v>
      </c>
      <c r="AT29" s="469"/>
      <c r="AU29" s="469"/>
    </row>
    <row r="30" spans="1:47" ht="15.75" x14ac:dyDescent="0.25">
      <c r="A30" s="446" t="s">
        <v>484</v>
      </c>
      <c r="B30" s="448"/>
      <c r="C30" s="448"/>
      <c r="D30" s="429"/>
      <c r="E30" s="415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403"/>
      <c r="R30" s="403"/>
      <c r="S30" s="368"/>
      <c r="T30" s="368"/>
      <c r="U30" s="368"/>
      <c r="V30" s="368"/>
      <c r="W30" s="368"/>
      <c r="X30" s="368"/>
      <c r="Y30" s="368"/>
      <c r="Z30" s="368"/>
      <c r="AA30" s="368"/>
      <c r="AB30" s="368"/>
      <c r="AD30" s="491" t="s">
        <v>507</v>
      </c>
      <c r="AE30" s="427">
        <v>19</v>
      </c>
      <c r="AF30" s="428">
        <v>1416</v>
      </c>
      <c r="AG30" s="430" t="s">
        <v>67</v>
      </c>
      <c r="AH30" s="471"/>
      <c r="AI30" s="466">
        <v>1.99</v>
      </c>
      <c r="AJ30" s="466">
        <v>5</v>
      </c>
      <c r="AK30" s="467">
        <v>6.99</v>
      </c>
      <c r="AL30" s="463">
        <v>1</v>
      </c>
      <c r="AM30" s="463">
        <v>1.99</v>
      </c>
      <c r="AN30" s="463">
        <v>3</v>
      </c>
      <c r="AO30" s="463">
        <v>3.99</v>
      </c>
      <c r="AP30" s="471"/>
      <c r="AQ30" s="466">
        <v>3.99</v>
      </c>
      <c r="AR30" s="463">
        <v>2</v>
      </c>
      <c r="AS30" s="463">
        <v>2.99</v>
      </c>
      <c r="AT30" s="471"/>
      <c r="AU30" s="466">
        <v>2.99</v>
      </c>
    </row>
    <row r="31" spans="1:47" ht="15.75" x14ac:dyDescent="0.25">
      <c r="A31" s="447">
        <v>43644</v>
      </c>
      <c r="B31" s="449"/>
      <c r="C31" s="448"/>
      <c r="D31" s="429"/>
      <c r="E31" s="415"/>
      <c r="F31" s="380" t="s">
        <v>235</v>
      </c>
      <c r="G31" s="370"/>
      <c r="H31" s="368"/>
      <c r="I31" s="368"/>
      <c r="J31" s="368"/>
      <c r="K31" s="368"/>
      <c r="L31" s="368"/>
      <c r="M31" s="368"/>
      <c r="N31" s="368"/>
      <c r="O31" s="368"/>
      <c r="P31" s="368"/>
      <c r="Q31" s="403"/>
      <c r="R31" s="403"/>
      <c r="S31" s="368"/>
      <c r="T31" s="368"/>
      <c r="U31" s="368"/>
      <c r="V31" s="368"/>
      <c r="W31" s="368"/>
      <c r="X31" s="368"/>
      <c r="Y31" s="368"/>
      <c r="Z31" s="368"/>
      <c r="AA31" s="420"/>
      <c r="AB31" s="368"/>
      <c r="AD31" s="491" t="s">
        <v>508</v>
      </c>
      <c r="AE31" s="427">
        <v>19</v>
      </c>
      <c r="AF31" s="428">
        <v>1289</v>
      </c>
      <c r="AG31" s="430"/>
      <c r="AH31" s="471"/>
      <c r="AI31" s="471"/>
      <c r="AJ31" s="471"/>
      <c r="AK31" s="465">
        <v>5.99</v>
      </c>
      <c r="AL31" s="461">
        <v>4</v>
      </c>
      <c r="AM31" s="461">
        <v>4.99</v>
      </c>
      <c r="AN31" s="471"/>
      <c r="AO31" s="466">
        <v>2.99</v>
      </c>
      <c r="AP31" s="466">
        <v>5</v>
      </c>
      <c r="AQ31" s="465">
        <v>5.99</v>
      </c>
      <c r="AR31" s="463">
        <v>5</v>
      </c>
      <c r="AS31" s="464">
        <v>5.99</v>
      </c>
      <c r="AT31" s="463">
        <v>2</v>
      </c>
      <c r="AU31" s="463">
        <v>2.99</v>
      </c>
    </row>
    <row r="32" spans="1:47" ht="15.75" x14ac:dyDescent="0.25">
      <c r="A32" s="432">
        <f ca="1">TODAY()</f>
        <v>43704</v>
      </c>
      <c r="B32" s="429"/>
      <c r="C32" s="429"/>
      <c r="D32" s="429"/>
      <c r="E32" s="403"/>
      <c r="F32" s="369" t="s">
        <v>580</v>
      </c>
      <c r="G32" s="368"/>
      <c r="H32" s="368"/>
      <c r="I32" s="368"/>
      <c r="J32" s="368"/>
      <c r="K32" s="368"/>
      <c r="L32" s="368"/>
      <c r="M32" s="368"/>
      <c r="N32" s="368"/>
      <c r="O32" s="368"/>
      <c r="P32" s="369"/>
      <c r="Q32" s="403"/>
      <c r="R32" s="403"/>
      <c r="S32" s="368"/>
      <c r="T32" s="368"/>
      <c r="U32" s="368"/>
      <c r="V32" s="368"/>
      <c r="W32" s="368"/>
      <c r="X32" s="368"/>
      <c r="Y32" s="368"/>
      <c r="Z32" s="368"/>
      <c r="AA32" s="368"/>
      <c r="AB32" s="368"/>
      <c r="AD32" s="491" t="s">
        <v>509</v>
      </c>
      <c r="AE32" s="427">
        <v>17</v>
      </c>
      <c r="AF32" s="428">
        <v>1296</v>
      </c>
      <c r="AG32" s="430"/>
      <c r="AH32" s="474"/>
      <c r="AI32" s="466">
        <v>1.99</v>
      </c>
      <c r="AJ32" s="463">
        <v>2</v>
      </c>
      <c r="AK32" s="463">
        <v>2.99</v>
      </c>
      <c r="AL32" s="461">
        <v>3</v>
      </c>
      <c r="AM32" s="461">
        <v>3.99</v>
      </c>
      <c r="AN32" s="463">
        <v>3</v>
      </c>
      <c r="AO32" s="463">
        <v>3.99</v>
      </c>
      <c r="AP32" s="463">
        <v>6</v>
      </c>
      <c r="AQ32" s="468">
        <v>6.99</v>
      </c>
      <c r="AR32" s="461">
        <v>6</v>
      </c>
      <c r="AS32" s="475">
        <v>6.99</v>
      </c>
      <c r="AT32" s="474"/>
      <c r="AU32" s="474"/>
    </row>
    <row r="33" spans="1:47" ht="15.75" x14ac:dyDescent="0.25">
      <c r="A33" s="432"/>
      <c r="B33" s="433"/>
      <c r="C33" s="433"/>
      <c r="D33" s="429"/>
      <c r="E33" s="403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3"/>
      <c r="R33" s="403"/>
      <c r="AD33" s="491" t="s">
        <v>510</v>
      </c>
      <c r="AE33" s="427">
        <v>17</v>
      </c>
      <c r="AF33" s="428">
        <v>1291</v>
      </c>
      <c r="AG33" s="430"/>
      <c r="AH33" s="469"/>
      <c r="AI33" s="469"/>
      <c r="AJ33" s="463">
        <v>1</v>
      </c>
      <c r="AK33" s="463">
        <v>1.99</v>
      </c>
      <c r="AL33" s="466">
        <v>4</v>
      </c>
      <c r="AM33" s="467">
        <v>6.99</v>
      </c>
      <c r="AN33" s="463">
        <v>3</v>
      </c>
      <c r="AO33" s="463">
        <v>3.99</v>
      </c>
      <c r="AP33" s="469"/>
      <c r="AQ33" s="466">
        <v>2.99</v>
      </c>
      <c r="AR33" s="463">
        <v>3</v>
      </c>
      <c r="AS33" s="463">
        <v>3.99</v>
      </c>
      <c r="AT33" s="469"/>
      <c r="AU33" s="469"/>
    </row>
    <row r="34" spans="1:47" ht="15.75" x14ac:dyDescent="0.25">
      <c r="A34" s="429"/>
      <c r="B34" s="429"/>
      <c r="C34" s="429"/>
      <c r="D34" s="429"/>
      <c r="E34" s="403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3"/>
      <c r="R34" s="403"/>
      <c r="AD34" s="491" t="s">
        <v>511</v>
      </c>
      <c r="AE34" s="427">
        <v>17</v>
      </c>
      <c r="AF34" s="428">
        <v>1328</v>
      </c>
      <c r="AG34" s="430"/>
      <c r="AH34" s="469"/>
      <c r="AI34" s="469"/>
      <c r="AJ34" s="463">
        <v>3</v>
      </c>
      <c r="AK34" s="463">
        <v>3.99</v>
      </c>
      <c r="AL34" s="463">
        <v>6</v>
      </c>
      <c r="AM34" s="468">
        <v>6.99</v>
      </c>
      <c r="AN34" s="463">
        <v>3</v>
      </c>
      <c r="AO34" s="463">
        <v>3.99</v>
      </c>
      <c r="AP34" s="461">
        <v>4</v>
      </c>
      <c r="AQ34" s="461">
        <v>4.99</v>
      </c>
      <c r="AR34" s="463">
        <v>4</v>
      </c>
      <c r="AS34" s="463">
        <v>4.99</v>
      </c>
      <c r="AT34" s="469"/>
      <c r="AU34" s="469"/>
    </row>
    <row r="35" spans="1:47" ht="15.75" x14ac:dyDescent="0.25">
      <c r="AD35" s="491" t="s">
        <v>512</v>
      </c>
      <c r="AE35" s="427">
        <v>17</v>
      </c>
      <c r="AF35" s="428">
        <v>-628</v>
      </c>
      <c r="AG35" s="430"/>
      <c r="AH35" s="469"/>
      <c r="AI35" s="469"/>
      <c r="AJ35" s="461">
        <v>6</v>
      </c>
      <c r="AK35" s="475">
        <v>6.99</v>
      </c>
      <c r="AL35" s="461">
        <v>4</v>
      </c>
      <c r="AM35" s="461">
        <v>4.99</v>
      </c>
      <c r="AN35" s="463">
        <v>1</v>
      </c>
      <c r="AO35" s="463">
        <v>1.99</v>
      </c>
      <c r="AP35" s="469"/>
      <c r="AQ35" s="466">
        <v>3.99</v>
      </c>
      <c r="AR35" s="463">
        <v>1</v>
      </c>
      <c r="AS35" s="463">
        <v>1.99</v>
      </c>
      <c r="AT35" s="469"/>
      <c r="AU35" s="466">
        <v>4.99</v>
      </c>
    </row>
    <row r="36" spans="1:47" ht="15.75" x14ac:dyDescent="0.25">
      <c r="AD36" s="491" t="s">
        <v>513</v>
      </c>
      <c r="AE36" s="427">
        <v>17</v>
      </c>
      <c r="AF36" s="428">
        <v>1272</v>
      </c>
      <c r="AG36" s="430"/>
      <c r="AH36" s="476"/>
      <c r="AI36" s="476"/>
      <c r="AJ36" s="463">
        <v>2</v>
      </c>
      <c r="AK36" s="463">
        <v>2.99</v>
      </c>
      <c r="AL36" s="461">
        <v>6</v>
      </c>
      <c r="AM36" s="475">
        <v>6.99</v>
      </c>
      <c r="AN36" s="463">
        <v>3</v>
      </c>
      <c r="AO36" s="463">
        <v>3.99</v>
      </c>
      <c r="AP36" s="463">
        <v>3</v>
      </c>
      <c r="AQ36" s="463">
        <v>3.99</v>
      </c>
      <c r="AR36" s="463">
        <v>2</v>
      </c>
      <c r="AS36" s="463">
        <v>2.99</v>
      </c>
      <c r="AT36" s="463">
        <v>2</v>
      </c>
      <c r="AU36" s="463">
        <v>2.99</v>
      </c>
    </row>
    <row r="37" spans="1:47" ht="15.75" x14ac:dyDescent="0.25">
      <c r="AD37" s="491" t="s">
        <v>258</v>
      </c>
      <c r="AE37" s="427">
        <v>18</v>
      </c>
      <c r="AF37" s="428">
        <v>1200</v>
      </c>
      <c r="AG37" s="430"/>
      <c r="AH37" s="471"/>
      <c r="AI37" s="471"/>
      <c r="AJ37" s="463">
        <v>6</v>
      </c>
      <c r="AK37" s="468">
        <v>6.99</v>
      </c>
      <c r="AL37" s="463">
        <v>6.7</v>
      </c>
      <c r="AM37" s="468">
        <v>6.99</v>
      </c>
      <c r="AN37" s="463">
        <v>5</v>
      </c>
      <c r="AO37" s="464">
        <v>5.99</v>
      </c>
      <c r="AP37" s="463">
        <v>2</v>
      </c>
      <c r="AQ37" s="463">
        <v>2.99</v>
      </c>
      <c r="AR37" s="463">
        <v>3</v>
      </c>
      <c r="AS37" s="463">
        <v>3.99</v>
      </c>
      <c r="AT37" s="471"/>
      <c r="AU37" s="466">
        <v>2.99</v>
      </c>
    </row>
    <row r="38" spans="1:47" ht="15.75" x14ac:dyDescent="0.25">
      <c r="AD38" s="491" t="s">
        <v>514</v>
      </c>
      <c r="AE38" s="427">
        <v>18</v>
      </c>
      <c r="AF38" s="428">
        <v>1220</v>
      </c>
      <c r="AG38" s="430"/>
      <c r="AH38" s="469"/>
      <c r="AI38" s="466">
        <v>1.99</v>
      </c>
      <c r="AJ38" s="461">
        <v>6</v>
      </c>
      <c r="AK38" s="475">
        <v>6.99</v>
      </c>
      <c r="AL38" s="469"/>
      <c r="AM38" s="466">
        <v>3.99</v>
      </c>
      <c r="AN38" s="463">
        <v>3</v>
      </c>
      <c r="AO38" s="463">
        <v>3.99</v>
      </c>
      <c r="AP38" s="463">
        <v>2</v>
      </c>
      <c r="AQ38" s="463">
        <v>2.99</v>
      </c>
      <c r="AR38" s="463">
        <v>4</v>
      </c>
      <c r="AS38" s="463">
        <v>4.99</v>
      </c>
      <c r="AT38" s="469"/>
      <c r="AU38" s="465">
        <v>5.99</v>
      </c>
    </row>
    <row r="39" spans="1:47" ht="15.75" x14ac:dyDescent="0.25">
      <c r="AD39" s="491" t="s">
        <v>515</v>
      </c>
      <c r="AE39" s="427">
        <v>18</v>
      </c>
      <c r="AF39" s="428">
        <v>-673</v>
      </c>
      <c r="AG39" s="430"/>
      <c r="AH39" s="469"/>
      <c r="AI39" s="466">
        <v>1.99</v>
      </c>
      <c r="AJ39" s="463">
        <v>2</v>
      </c>
      <c r="AK39" s="463">
        <v>2.99</v>
      </c>
      <c r="AL39" s="463">
        <v>2</v>
      </c>
      <c r="AM39" s="463">
        <v>2.99</v>
      </c>
      <c r="AN39" s="463">
        <v>5</v>
      </c>
      <c r="AO39" s="464">
        <v>5.99</v>
      </c>
      <c r="AP39" s="466">
        <v>5</v>
      </c>
      <c r="AQ39" s="467">
        <v>6.99</v>
      </c>
      <c r="AR39" s="463">
        <v>4</v>
      </c>
      <c r="AS39" s="463">
        <v>4.99</v>
      </c>
      <c r="AT39" s="469"/>
      <c r="AU39" s="466">
        <v>4.99</v>
      </c>
    </row>
    <row r="40" spans="1:47" ht="15.75" x14ac:dyDescent="0.25">
      <c r="AD40" s="491" t="s">
        <v>297</v>
      </c>
      <c r="AE40" s="427">
        <v>17</v>
      </c>
      <c r="AF40" s="428">
        <v>1145</v>
      </c>
      <c r="AG40" s="430" t="s">
        <v>220</v>
      </c>
      <c r="AH40" s="469"/>
      <c r="AI40" s="466">
        <v>1.99</v>
      </c>
      <c r="AJ40" s="463">
        <v>5</v>
      </c>
      <c r="AK40" s="464">
        <v>5.99</v>
      </c>
      <c r="AL40" s="477">
        <v>7</v>
      </c>
      <c r="AM40" s="478">
        <v>7</v>
      </c>
      <c r="AN40" s="463">
        <v>1</v>
      </c>
      <c r="AO40" s="463">
        <v>1.99</v>
      </c>
      <c r="AP40" s="469"/>
      <c r="AQ40" s="466">
        <v>2.99</v>
      </c>
      <c r="AR40" s="463">
        <v>1</v>
      </c>
      <c r="AS40" s="463">
        <v>1.99</v>
      </c>
      <c r="AT40" s="469"/>
      <c r="AU40" s="469"/>
    </row>
    <row r="41" spans="1:47" ht="15.75" x14ac:dyDescent="0.25">
      <c r="AD41" s="491" t="s">
        <v>516</v>
      </c>
      <c r="AE41" s="427">
        <v>19</v>
      </c>
      <c r="AF41" s="428">
        <v>1042</v>
      </c>
      <c r="AG41" s="430" t="s">
        <v>94</v>
      </c>
      <c r="AH41" s="469"/>
      <c r="AI41" s="466">
        <v>1.99</v>
      </c>
      <c r="AJ41" s="466">
        <v>5</v>
      </c>
      <c r="AK41" s="467">
        <v>6.99</v>
      </c>
      <c r="AL41" s="461">
        <v>4</v>
      </c>
      <c r="AM41" s="461">
        <v>4.99</v>
      </c>
      <c r="AN41" s="463">
        <v>1</v>
      </c>
      <c r="AO41" s="463">
        <v>1.99</v>
      </c>
      <c r="AP41" s="469"/>
      <c r="AQ41" s="466">
        <v>2.99</v>
      </c>
      <c r="AR41" s="466">
        <v>2</v>
      </c>
      <c r="AS41" s="466">
        <v>3.99</v>
      </c>
      <c r="AT41" s="469"/>
      <c r="AU41" s="466">
        <v>1.99</v>
      </c>
    </row>
    <row r="42" spans="1:47" ht="15.75" x14ac:dyDescent="0.25">
      <c r="AA42" s="565"/>
      <c r="AD42" s="491" t="s">
        <v>517</v>
      </c>
      <c r="AE42" s="427">
        <v>19</v>
      </c>
      <c r="AF42" s="428">
        <v>-813</v>
      </c>
      <c r="AG42" s="430"/>
      <c r="AH42" s="471"/>
      <c r="AI42" s="466">
        <v>0.99</v>
      </c>
      <c r="AJ42" s="463">
        <v>3</v>
      </c>
      <c r="AK42" s="463">
        <v>3.99</v>
      </c>
      <c r="AL42" s="461">
        <v>5</v>
      </c>
      <c r="AM42" s="462">
        <v>5.99</v>
      </c>
      <c r="AN42" s="463">
        <v>5</v>
      </c>
      <c r="AO42" s="464">
        <v>5.99</v>
      </c>
      <c r="AP42" s="471"/>
      <c r="AQ42" s="471">
        <v>3.99</v>
      </c>
      <c r="AR42" s="471"/>
      <c r="AS42" s="479">
        <v>5.99</v>
      </c>
      <c r="AT42" s="471"/>
      <c r="AU42" s="471"/>
    </row>
    <row r="43" spans="1:47" ht="15.75" x14ac:dyDescent="0.25">
      <c r="AD43" s="491" t="s">
        <v>518</v>
      </c>
      <c r="AE43" s="427">
        <v>18</v>
      </c>
      <c r="AF43" s="428">
        <v>4</v>
      </c>
      <c r="AG43" s="430" t="s">
        <v>94</v>
      </c>
      <c r="AH43" s="469"/>
      <c r="AI43" s="466">
        <v>1.99</v>
      </c>
      <c r="AJ43" s="463">
        <v>4</v>
      </c>
      <c r="AK43" s="463">
        <v>4.99</v>
      </c>
      <c r="AL43" s="463">
        <v>3</v>
      </c>
      <c r="AM43" s="463">
        <v>3.99</v>
      </c>
      <c r="AN43" s="469"/>
      <c r="AO43" s="467">
        <v>6.99</v>
      </c>
      <c r="AP43" s="469"/>
      <c r="AQ43" s="466">
        <v>3.99</v>
      </c>
      <c r="AR43" s="463">
        <v>2</v>
      </c>
      <c r="AS43" s="463">
        <v>2.99</v>
      </c>
      <c r="AT43" s="469"/>
      <c r="AU43" s="469">
        <v>3.99</v>
      </c>
    </row>
    <row r="44" spans="1:47" ht="15.75" x14ac:dyDescent="0.25">
      <c r="AD44" s="491" t="s">
        <v>519</v>
      </c>
      <c r="AE44" s="427">
        <v>16</v>
      </c>
      <c r="AF44" s="428">
        <v>-718</v>
      </c>
      <c r="AG44" s="430" t="s">
        <v>220</v>
      </c>
      <c r="AH44" s="471"/>
      <c r="AI44" s="466">
        <v>1.99</v>
      </c>
      <c r="AJ44" s="463">
        <v>1</v>
      </c>
      <c r="AK44" s="463">
        <v>1.99</v>
      </c>
      <c r="AL44" s="461">
        <v>6</v>
      </c>
      <c r="AM44" s="475">
        <v>6.99</v>
      </c>
      <c r="AN44" s="471"/>
      <c r="AO44" s="466">
        <v>3.99</v>
      </c>
      <c r="AP44" s="471"/>
      <c r="AQ44" s="466">
        <v>3.99</v>
      </c>
      <c r="AR44" s="463">
        <v>2</v>
      </c>
      <c r="AS44" s="463">
        <v>2.99</v>
      </c>
      <c r="AT44" s="471"/>
      <c r="AU44" s="466">
        <v>2.99</v>
      </c>
    </row>
    <row r="45" spans="1:47" ht="15.75" x14ac:dyDescent="0.25">
      <c r="AD45" s="491" t="s">
        <v>520</v>
      </c>
      <c r="AE45" s="427">
        <v>18</v>
      </c>
      <c r="AF45" s="428">
        <v>1028</v>
      </c>
      <c r="AG45" s="430"/>
      <c r="AH45" s="480"/>
      <c r="AI45" s="480"/>
      <c r="AJ45" s="461">
        <v>5</v>
      </c>
      <c r="AK45" s="462">
        <v>5.99</v>
      </c>
      <c r="AL45" s="463">
        <v>6</v>
      </c>
      <c r="AM45" s="468">
        <v>6.99</v>
      </c>
      <c r="AN45" s="463">
        <v>2</v>
      </c>
      <c r="AO45" s="463">
        <v>2.99</v>
      </c>
      <c r="AP45" s="480"/>
      <c r="AQ45" s="466">
        <v>2.99</v>
      </c>
      <c r="AR45" s="463">
        <v>4</v>
      </c>
      <c r="AS45" s="463">
        <v>4.99</v>
      </c>
      <c r="AT45" s="480"/>
      <c r="AU45" s="480"/>
    </row>
    <row r="46" spans="1:47" ht="15.75" x14ac:dyDescent="0.25">
      <c r="AD46" s="491" t="s">
        <v>521</v>
      </c>
      <c r="AE46" s="427">
        <v>17</v>
      </c>
      <c r="AF46" s="428">
        <v>932</v>
      </c>
      <c r="AG46" s="430"/>
      <c r="AH46" s="469"/>
      <c r="AI46" s="469"/>
      <c r="AJ46" s="463">
        <v>2</v>
      </c>
      <c r="AK46" s="463">
        <v>2.99</v>
      </c>
      <c r="AL46" s="461">
        <v>7</v>
      </c>
      <c r="AM46" s="475">
        <v>7</v>
      </c>
      <c r="AN46" s="461">
        <v>3</v>
      </c>
      <c r="AO46" s="461">
        <v>3.99</v>
      </c>
      <c r="AP46" s="463">
        <v>1</v>
      </c>
      <c r="AQ46" s="463">
        <v>1.99</v>
      </c>
      <c r="AR46" s="469"/>
      <c r="AS46" s="466">
        <v>3.99</v>
      </c>
      <c r="AT46" s="469"/>
      <c r="AU46" s="469"/>
    </row>
    <row r="47" spans="1:47" ht="15.75" x14ac:dyDescent="0.25">
      <c r="AD47" s="491" t="s">
        <v>522</v>
      </c>
      <c r="AE47" s="427">
        <v>18</v>
      </c>
      <c r="AF47" s="428">
        <v>1032</v>
      </c>
      <c r="AG47" s="430" t="s">
        <v>105</v>
      </c>
      <c r="AH47" s="480"/>
      <c r="AI47" s="466">
        <v>1.99</v>
      </c>
      <c r="AJ47" s="480"/>
      <c r="AK47" s="466">
        <v>2.99</v>
      </c>
      <c r="AL47" s="463">
        <v>3</v>
      </c>
      <c r="AM47" s="463">
        <v>3.99</v>
      </c>
      <c r="AN47" s="463">
        <v>5</v>
      </c>
      <c r="AO47" s="464">
        <v>5.99</v>
      </c>
      <c r="AP47" s="463">
        <v>6</v>
      </c>
      <c r="AQ47" s="468">
        <v>6.99</v>
      </c>
      <c r="AR47" s="463">
        <v>2</v>
      </c>
      <c r="AS47" s="463">
        <v>2.99</v>
      </c>
      <c r="AT47" s="463">
        <v>4</v>
      </c>
      <c r="AU47" s="463">
        <v>4.99</v>
      </c>
    </row>
    <row r="48" spans="1:47" ht="15.75" x14ac:dyDescent="0.25">
      <c r="AD48" s="491" t="s">
        <v>523</v>
      </c>
      <c r="AE48" s="427">
        <v>17</v>
      </c>
      <c r="AF48" s="428">
        <v>959</v>
      </c>
      <c r="AG48" s="430"/>
      <c r="AH48" s="481"/>
      <c r="AI48" s="481">
        <v>1.99</v>
      </c>
      <c r="AJ48" s="481"/>
      <c r="AK48" s="466">
        <v>3.99</v>
      </c>
      <c r="AL48" s="461">
        <v>5</v>
      </c>
      <c r="AM48" s="462">
        <v>5.99</v>
      </c>
      <c r="AN48" s="480"/>
      <c r="AO48" s="466">
        <v>2.99</v>
      </c>
      <c r="AP48" s="463">
        <v>5</v>
      </c>
      <c r="AQ48" s="464">
        <v>5.99</v>
      </c>
      <c r="AR48" s="461">
        <v>4</v>
      </c>
      <c r="AS48" s="461">
        <v>4.99</v>
      </c>
      <c r="AT48" s="480"/>
      <c r="AU48" s="480">
        <v>3.99</v>
      </c>
    </row>
    <row r="49" spans="30:47" ht="15.75" x14ac:dyDescent="0.25">
      <c r="AD49" s="491" t="s">
        <v>524</v>
      </c>
      <c r="AE49" s="427">
        <v>17</v>
      </c>
      <c r="AF49" s="428">
        <v>852</v>
      </c>
      <c r="AG49" s="430"/>
      <c r="AH49" s="471"/>
      <c r="AI49" s="471"/>
      <c r="AJ49" s="471"/>
      <c r="AK49" s="466">
        <v>4.99</v>
      </c>
      <c r="AL49" s="463">
        <v>3</v>
      </c>
      <c r="AM49" s="463">
        <v>3.99</v>
      </c>
      <c r="AN49" s="461">
        <v>5</v>
      </c>
      <c r="AO49" s="462">
        <v>5.99</v>
      </c>
      <c r="AP49" s="471"/>
      <c r="AQ49" s="466">
        <v>2.99</v>
      </c>
      <c r="AR49" s="463">
        <v>4</v>
      </c>
      <c r="AS49" s="463">
        <v>4.99</v>
      </c>
      <c r="AT49" s="471"/>
      <c r="AU49" s="471"/>
    </row>
    <row r="50" spans="30:47" ht="15.75" x14ac:dyDescent="0.25">
      <c r="AD50" s="491" t="s">
        <v>525</v>
      </c>
      <c r="AE50" s="427">
        <v>18</v>
      </c>
      <c r="AF50" s="428">
        <v>908</v>
      </c>
      <c r="AG50" s="430" t="s">
        <v>220</v>
      </c>
      <c r="AH50" s="480"/>
      <c r="AI50" s="480"/>
      <c r="AJ50" s="466">
        <v>4</v>
      </c>
      <c r="AK50" s="465">
        <v>5.99</v>
      </c>
      <c r="AL50" s="463">
        <v>3</v>
      </c>
      <c r="AM50" s="463">
        <v>3.99</v>
      </c>
      <c r="AN50" s="461">
        <v>6</v>
      </c>
      <c r="AO50" s="475">
        <v>6.99</v>
      </c>
      <c r="AP50" s="466">
        <v>6</v>
      </c>
      <c r="AQ50" s="467">
        <v>7</v>
      </c>
      <c r="AR50" s="463">
        <v>4</v>
      </c>
      <c r="AS50" s="463">
        <v>4.99</v>
      </c>
      <c r="AT50" s="480"/>
      <c r="AU50" s="466">
        <v>2.99</v>
      </c>
    </row>
    <row r="51" spans="30:47" ht="15.75" x14ac:dyDescent="0.25">
      <c r="AD51" s="491" t="s">
        <v>526</v>
      </c>
      <c r="AE51" s="427">
        <v>17</v>
      </c>
      <c r="AF51" s="428">
        <v>856</v>
      </c>
      <c r="AG51" s="430" t="s">
        <v>220</v>
      </c>
      <c r="AH51" s="469"/>
      <c r="AI51" s="466">
        <v>0.99</v>
      </c>
      <c r="AJ51" s="466">
        <v>4</v>
      </c>
      <c r="AK51" s="465">
        <v>5.99</v>
      </c>
      <c r="AL51" s="463">
        <v>3</v>
      </c>
      <c r="AM51" s="463">
        <v>3.99</v>
      </c>
      <c r="AN51" s="463">
        <v>3</v>
      </c>
      <c r="AO51" s="463">
        <v>3.99</v>
      </c>
      <c r="AP51" s="463">
        <v>5.3</v>
      </c>
      <c r="AQ51" s="464">
        <v>5.99</v>
      </c>
      <c r="AR51" s="466">
        <v>5</v>
      </c>
      <c r="AS51" s="467">
        <v>6.99</v>
      </c>
      <c r="AT51" s="469"/>
      <c r="AU51" s="469"/>
    </row>
    <row r="52" spans="30:47" ht="15.75" x14ac:dyDescent="0.25">
      <c r="AD52" s="491" t="s">
        <v>527</v>
      </c>
      <c r="AE52" s="427">
        <v>18</v>
      </c>
      <c r="AF52" s="428">
        <v>-975</v>
      </c>
      <c r="AG52" s="430" t="s">
        <v>105</v>
      </c>
      <c r="AH52" s="469"/>
      <c r="AI52" s="466">
        <v>1.99</v>
      </c>
      <c r="AJ52" s="466">
        <v>4</v>
      </c>
      <c r="AK52" s="465">
        <v>5.99</v>
      </c>
      <c r="AL52" s="461">
        <v>5</v>
      </c>
      <c r="AM52" s="462">
        <v>5.99</v>
      </c>
      <c r="AN52" s="461">
        <v>4</v>
      </c>
      <c r="AO52" s="461">
        <v>4.99</v>
      </c>
      <c r="AP52" s="463">
        <v>4</v>
      </c>
      <c r="AQ52" s="463">
        <v>4.99</v>
      </c>
      <c r="AR52" s="461">
        <v>3</v>
      </c>
      <c r="AS52" s="461">
        <v>3.99</v>
      </c>
      <c r="AT52" s="469"/>
      <c r="AU52" s="469"/>
    </row>
    <row r="53" spans="30:47" ht="15.75" x14ac:dyDescent="0.25">
      <c r="AD53" s="491" t="s">
        <v>528</v>
      </c>
      <c r="AE53" s="427">
        <v>17</v>
      </c>
      <c r="AF53" s="428">
        <v>724</v>
      </c>
      <c r="AG53" s="430"/>
      <c r="AH53" s="469"/>
      <c r="AI53" s="466">
        <v>1.99</v>
      </c>
      <c r="AJ53" s="463">
        <v>4</v>
      </c>
      <c r="AK53" s="463">
        <v>4.99</v>
      </c>
      <c r="AL53" s="461">
        <v>6</v>
      </c>
      <c r="AM53" s="475">
        <v>6.99</v>
      </c>
      <c r="AN53" s="469"/>
      <c r="AO53" s="466">
        <v>3.99</v>
      </c>
      <c r="AP53" s="463">
        <v>2</v>
      </c>
      <c r="AQ53" s="463">
        <v>2.99</v>
      </c>
      <c r="AR53" s="463">
        <v>3</v>
      </c>
      <c r="AS53" s="463">
        <v>3.99</v>
      </c>
      <c r="AT53" s="469"/>
      <c r="AU53" s="465">
        <v>5.99</v>
      </c>
    </row>
    <row r="54" spans="30:47" ht="15.75" x14ac:dyDescent="0.25">
      <c r="AD54" s="491" t="s">
        <v>529</v>
      </c>
      <c r="AE54" s="427">
        <v>17</v>
      </c>
      <c r="AF54" s="428">
        <v>789</v>
      </c>
      <c r="AG54" s="430" t="s">
        <v>105</v>
      </c>
      <c r="AH54" s="471"/>
      <c r="AI54" s="471"/>
      <c r="AJ54" s="461">
        <v>5</v>
      </c>
      <c r="AK54" s="462">
        <v>5.99</v>
      </c>
      <c r="AL54" s="471"/>
      <c r="AM54" s="466">
        <v>2.99</v>
      </c>
      <c r="AN54" s="466">
        <v>5</v>
      </c>
      <c r="AO54" s="467">
        <v>7</v>
      </c>
      <c r="AP54" s="463">
        <v>3</v>
      </c>
      <c r="AQ54" s="463">
        <v>3.99</v>
      </c>
      <c r="AR54" s="463">
        <v>3</v>
      </c>
      <c r="AS54" s="463">
        <v>3.99</v>
      </c>
      <c r="AT54" s="471"/>
      <c r="AU54" s="466">
        <v>3.99</v>
      </c>
    </row>
    <row r="55" spans="30:47" ht="15.75" x14ac:dyDescent="0.25">
      <c r="AD55" s="491" t="s">
        <v>530</v>
      </c>
      <c r="AE55" s="427">
        <v>16</v>
      </c>
      <c r="AF55" s="428">
        <v>796</v>
      </c>
      <c r="AG55" s="430" t="s">
        <v>220</v>
      </c>
      <c r="AH55" s="480"/>
      <c r="AI55" s="480"/>
      <c r="AJ55" s="463">
        <v>2</v>
      </c>
      <c r="AK55" s="463">
        <v>2.99</v>
      </c>
      <c r="AL55" s="461">
        <v>5</v>
      </c>
      <c r="AM55" s="462">
        <v>5.99</v>
      </c>
      <c r="AN55" s="461">
        <v>5</v>
      </c>
      <c r="AO55" s="462">
        <v>5.99</v>
      </c>
      <c r="AP55" s="463">
        <v>4</v>
      </c>
      <c r="AQ55" s="463">
        <v>4.99</v>
      </c>
      <c r="AR55" s="463">
        <v>3</v>
      </c>
      <c r="AS55" s="463">
        <v>3.99</v>
      </c>
      <c r="AT55" s="480"/>
      <c r="AU55" s="480"/>
    </row>
    <row r="56" spans="30:47" ht="15.75" x14ac:dyDescent="0.25">
      <c r="AD56" s="491" t="s">
        <v>531</v>
      </c>
      <c r="AE56" s="427">
        <v>17</v>
      </c>
      <c r="AF56" s="428">
        <v>681</v>
      </c>
      <c r="AG56" s="430" t="s">
        <v>67</v>
      </c>
      <c r="AH56" s="469"/>
      <c r="AI56" s="466">
        <v>1.99</v>
      </c>
      <c r="AJ56" s="463">
        <v>3</v>
      </c>
      <c r="AK56" s="463">
        <v>3.99</v>
      </c>
      <c r="AL56" s="461">
        <v>5</v>
      </c>
      <c r="AM56" s="462">
        <v>5.99</v>
      </c>
      <c r="AN56" s="469"/>
      <c r="AO56" s="466">
        <v>2.99</v>
      </c>
      <c r="AP56" s="463">
        <v>4</v>
      </c>
      <c r="AQ56" s="463">
        <v>4.99</v>
      </c>
      <c r="AR56" s="463">
        <v>4</v>
      </c>
      <c r="AS56" s="463">
        <v>4.99</v>
      </c>
      <c r="AT56" s="463">
        <v>2</v>
      </c>
      <c r="AU56" s="463">
        <v>2.99</v>
      </c>
    </row>
    <row r="57" spans="30:47" ht="15.75" x14ac:dyDescent="0.25">
      <c r="AD57" s="491" t="s">
        <v>532</v>
      </c>
      <c r="AE57" s="427">
        <v>19</v>
      </c>
      <c r="AF57" s="428">
        <v>686</v>
      </c>
      <c r="AG57" s="430" t="s">
        <v>94</v>
      </c>
      <c r="AH57" s="480"/>
      <c r="AI57" s="466">
        <v>1.99</v>
      </c>
      <c r="AJ57" s="463">
        <v>2</v>
      </c>
      <c r="AK57" s="463">
        <v>2.99</v>
      </c>
      <c r="AL57" s="463">
        <v>3</v>
      </c>
      <c r="AM57" s="463">
        <v>3.99</v>
      </c>
      <c r="AN57" s="466">
        <v>4</v>
      </c>
      <c r="AO57" s="465">
        <v>5.99</v>
      </c>
      <c r="AP57" s="463">
        <v>4</v>
      </c>
      <c r="AQ57" s="463">
        <v>4.99</v>
      </c>
      <c r="AR57" s="463">
        <v>5</v>
      </c>
      <c r="AS57" s="464">
        <v>5.99</v>
      </c>
      <c r="AT57" s="480"/>
      <c r="AU57" s="466">
        <v>3.99</v>
      </c>
    </row>
    <row r="58" spans="30:47" ht="15.75" x14ac:dyDescent="0.25">
      <c r="AD58" s="491" t="s">
        <v>533</v>
      </c>
      <c r="AE58" s="427">
        <v>17</v>
      </c>
      <c r="AF58" s="428">
        <v>736</v>
      </c>
      <c r="AG58" s="430" t="s">
        <v>67</v>
      </c>
      <c r="AH58" s="469"/>
      <c r="AI58" s="466">
        <v>1.99</v>
      </c>
      <c r="AJ58" s="463">
        <v>1</v>
      </c>
      <c r="AK58" s="463">
        <v>1.99</v>
      </c>
      <c r="AL58" s="461">
        <v>6</v>
      </c>
      <c r="AM58" s="475">
        <v>6.99</v>
      </c>
      <c r="AN58" s="469"/>
      <c r="AO58" s="466">
        <v>2.99</v>
      </c>
      <c r="AP58" s="469"/>
      <c r="AQ58" s="466">
        <v>3.99</v>
      </c>
      <c r="AR58" s="469"/>
      <c r="AS58" s="466">
        <v>3.99</v>
      </c>
      <c r="AT58" s="469"/>
      <c r="AU58" s="466">
        <v>2.99</v>
      </c>
    </row>
    <row r="59" spans="30:47" ht="15.75" x14ac:dyDescent="0.25">
      <c r="AD59" s="491" t="s">
        <v>534</v>
      </c>
      <c r="AE59" s="427">
        <v>16</v>
      </c>
      <c r="AF59" s="428">
        <v>774</v>
      </c>
      <c r="AG59" s="430"/>
      <c r="AH59" s="480"/>
      <c r="AI59" s="466">
        <v>1.99</v>
      </c>
      <c r="AJ59" s="466">
        <v>4</v>
      </c>
      <c r="AK59" s="465">
        <v>5.99</v>
      </c>
      <c r="AL59" s="466">
        <v>4</v>
      </c>
      <c r="AM59" s="465">
        <v>5.99</v>
      </c>
      <c r="AN59" s="463">
        <v>5</v>
      </c>
      <c r="AO59" s="464">
        <v>5.99</v>
      </c>
      <c r="AP59" s="480"/>
      <c r="AQ59" s="466">
        <v>3.99</v>
      </c>
      <c r="AR59" s="480"/>
      <c r="AS59" s="466">
        <v>3.99</v>
      </c>
      <c r="AT59" s="480"/>
      <c r="AU59" s="466">
        <v>2.99</v>
      </c>
    </row>
    <row r="60" spans="30:47" ht="15.75" x14ac:dyDescent="0.25">
      <c r="AD60" s="491" t="s">
        <v>535</v>
      </c>
      <c r="AE60" s="427">
        <v>17</v>
      </c>
      <c r="AF60" s="428">
        <v>761</v>
      </c>
      <c r="AG60" s="430" t="s">
        <v>220</v>
      </c>
      <c r="AH60" s="471"/>
      <c r="AI60" s="466">
        <v>1.99</v>
      </c>
      <c r="AJ60" s="461">
        <v>3</v>
      </c>
      <c r="AK60" s="461">
        <v>3.99</v>
      </c>
      <c r="AL60" s="466">
        <v>5</v>
      </c>
      <c r="AM60" s="467">
        <v>6.99</v>
      </c>
      <c r="AN60" s="471"/>
      <c r="AO60" s="466">
        <v>2.99</v>
      </c>
      <c r="AP60" s="463">
        <v>2</v>
      </c>
      <c r="AQ60" s="463">
        <v>2.99</v>
      </c>
      <c r="AR60" s="471"/>
      <c r="AS60" s="465">
        <v>5.99</v>
      </c>
      <c r="AT60" s="463">
        <v>2</v>
      </c>
      <c r="AU60" s="463">
        <v>2.99</v>
      </c>
    </row>
    <row r="61" spans="30:47" ht="15.75" x14ac:dyDescent="0.25">
      <c r="AD61" s="491" t="s">
        <v>536</v>
      </c>
      <c r="AE61" s="427">
        <v>19</v>
      </c>
      <c r="AF61" s="428">
        <v>633</v>
      </c>
      <c r="AG61" s="430"/>
      <c r="AH61" s="469"/>
      <c r="AI61" s="469"/>
      <c r="AJ61" s="466">
        <v>5</v>
      </c>
      <c r="AK61" s="467">
        <v>6.99</v>
      </c>
      <c r="AL61" s="461">
        <v>4</v>
      </c>
      <c r="AM61" s="461">
        <v>4.99</v>
      </c>
      <c r="AN61" s="461">
        <v>4</v>
      </c>
      <c r="AO61" s="461">
        <v>4.99</v>
      </c>
      <c r="AP61" s="463">
        <v>3</v>
      </c>
      <c r="AQ61" s="463">
        <v>3.99</v>
      </c>
      <c r="AR61" s="463">
        <v>3</v>
      </c>
      <c r="AS61" s="463">
        <v>3.99</v>
      </c>
      <c r="AT61" s="469"/>
      <c r="AU61" s="469"/>
    </row>
    <row r="62" spans="30:47" ht="15.75" x14ac:dyDescent="0.25">
      <c r="AD62" s="491" t="s">
        <v>537</v>
      </c>
      <c r="AE62" s="427">
        <v>16</v>
      </c>
      <c r="AF62" s="428">
        <v>679</v>
      </c>
      <c r="AG62" s="430"/>
      <c r="AH62" s="480"/>
      <c r="AI62" s="466">
        <v>1.99</v>
      </c>
      <c r="AJ62" s="461">
        <v>5</v>
      </c>
      <c r="AK62" s="462">
        <v>5.99</v>
      </c>
      <c r="AL62" s="463">
        <v>3</v>
      </c>
      <c r="AM62" s="463">
        <v>3.99</v>
      </c>
      <c r="AN62" s="463">
        <v>4</v>
      </c>
      <c r="AO62" s="463">
        <v>4.99</v>
      </c>
      <c r="AP62" s="466">
        <v>3</v>
      </c>
      <c r="AQ62" s="466">
        <v>4.99</v>
      </c>
      <c r="AR62" s="463">
        <v>1</v>
      </c>
      <c r="AS62" s="463">
        <v>1.99</v>
      </c>
      <c r="AT62" s="480"/>
      <c r="AU62" s="466">
        <v>2.99</v>
      </c>
    </row>
    <row r="63" spans="30:47" ht="15.75" x14ac:dyDescent="0.25">
      <c r="AD63" s="491" t="s">
        <v>538</v>
      </c>
      <c r="AE63" s="427">
        <v>16</v>
      </c>
      <c r="AF63" s="428">
        <v>663</v>
      </c>
      <c r="AG63" s="430" t="s">
        <v>96</v>
      </c>
      <c r="AH63" s="480"/>
      <c r="AI63" s="480"/>
      <c r="AJ63" s="463">
        <v>4</v>
      </c>
      <c r="AK63" s="463">
        <v>4.99</v>
      </c>
      <c r="AL63" s="463">
        <v>5</v>
      </c>
      <c r="AM63" s="464">
        <v>5.99</v>
      </c>
      <c r="AN63" s="461">
        <v>4</v>
      </c>
      <c r="AO63" s="461">
        <v>4.99</v>
      </c>
      <c r="AP63" s="480"/>
      <c r="AQ63" s="466">
        <v>3.99</v>
      </c>
      <c r="AR63" s="463">
        <v>3</v>
      </c>
      <c r="AS63" s="463">
        <v>3.99</v>
      </c>
      <c r="AT63" s="480"/>
      <c r="AU63" s="480"/>
    </row>
    <row r="64" spans="30:47" ht="15.75" x14ac:dyDescent="0.25">
      <c r="AD64" s="491" t="s">
        <v>539</v>
      </c>
      <c r="AE64" s="427">
        <v>16</v>
      </c>
      <c r="AF64" s="428">
        <v>644</v>
      </c>
      <c r="AG64" s="430"/>
      <c r="AH64" s="480"/>
      <c r="AI64" s="466">
        <v>1.99</v>
      </c>
      <c r="AJ64" s="461">
        <v>3</v>
      </c>
      <c r="AK64" s="461">
        <v>3.99</v>
      </c>
      <c r="AL64" s="461">
        <v>6</v>
      </c>
      <c r="AM64" s="475">
        <v>6.99</v>
      </c>
      <c r="AN64" s="461">
        <v>5</v>
      </c>
      <c r="AO64" s="462">
        <v>5.99</v>
      </c>
      <c r="AP64" s="480"/>
      <c r="AQ64" s="466">
        <v>2.99</v>
      </c>
      <c r="AR64" s="463">
        <v>3</v>
      </c>
      <c r="AS64" s="463">
        <v>3.99</v>
      </c>
      <c r="AT64" s="480"/>
      <c r="AU64" s="480"/>
    </row>
    <row r="65" spans="30:47" ht="15.75" x14ac:dyDescent="0.25">
      <c r="AD65" s="491" t="s">
        <v>540</v>
      </c>
      <c r="AE65" s="427">
        <v>16</v>
      </c>
      <c r="AF65" s="428">
        <v>607</v>
      </c>
      <c r="AG65" s="430" t="s">
        <v>94</v>
      </c>
      <c r="AH65" s="480"/>
      <c r="AI65" s="480"/>
      <c r="AJ65" s="463">
        <v>4</v>
      </c>
      <c r="AK65" s="463">
        <v>4.99</v>
      </c>
      <c r="AL65" s="461">
        <v>4</v>
      </c>
      <c r="AM65" s="461">
        <v>4.99</v>
      </c>
      <c r="AN65" s="463">
        <v>4</v>
      </c>
      <c r="AO65" s="463">
        <v>4.99</v>
      </c>
      <c r="AP65" s="461">
        <v>4</v>
      </c>
      <c r="AQ65" s="461">
        <v>4.99</v>
      </c>
      <c r="AR65" s="461">
        <v>5</v>
      </c>
      <c r="AS65" s="462">
        <v>5.99</v>
      </c>
      <c r="AT65" s="480"/>
      <c r="AU65" s="466">
        <v>2.99</v>
      </c>
    </row>
    <row r="66" spans="30:47" ht="15.75" x14ac:dyDescent="0.25">
      <c r="AD66" s="491" t="s">
        <v>541</v>
      </c>
      <c r="AE66" s="427">
        <v>17</v>
      </c>
      <c r="AF66" s="428">
        <v>621</v>
      </c>
      <c r="AG66" s="430" t="s">
        <v>94</v>
      </c>
      <c r="AH66" s="471"/>
      <c r="AI66" s="471"/>
      <c r="AJ66" s="466">
        <v>3</v>
      </c>
      <c r="AK66" s="466">
        <v>4.99</v>
      </c>
      <c r="AL66" s="466">
        <v>5</v>
      </c>
      <c r="AM66" s="467">
        <v>6.99</v>
      </c>
      <c r="AN66" s="463">
        <v>5</v>
      </c>
      <c r="AO66" s="464">
        <v>5.99</v>
      </c>
      <c r="AP66" s="471"/>
      <c r="AQ66" s="466">
        <v>2.99</v>
      </c>
      <c r="AR66" s="461">
        <v>5</v>
      </c>
      <c r="AS66" s="462">
        <v>5.99</v>
      </c>
      <c r="AT66" s="471"/>
      <c r="AU66" s="466">
        <v>3.99</v>
      </c>
    </row>
    <row r="67" spans="30:47" ht="15.75" x14ac:dyDescent="0.25">
      <c r="AD67" s="491" t="s">
        <v>542</v>
      </c>
      <c r="AE67" s="427">
        <v>16</v>
      </c>
      <c r="AF67" s="428">
        <v>571</v>
      </c>
      <c r="AG67" s="430"/>
      <c r="AH67" s="480"/>
      <c r="AI67" s="466">
        <v>1.99</v>
      </c>
      <c r="AJ67" s="461">
        <v>4</v>
      </c>
      <c r="AK67" s="461">
        <v>4.99</v>
      </c>
      <c r="AL67" s="463">
        <v>3</v>
      </c>
      <c r="AM67" s="463">
        <v>3.99</v>
      </c>
      <c r="AN67" s="466">
        <v>7</v>
      </c>
      <c r="AO67" s="467">
        <v>7</v>
      </c>
      <c r="AP67" s="463">
        <v>2</v>
      </c>
      <c r="AQ67" s="463">
        <v>2.99</v>
      </c>
      <c r="AR67" s="461">
        <v>4</v>
      </c>
      <c r="AS67" s="461">
        <v>4.99</v>
      </c>
      <c r="AT67" s="480"/>
      <c r="AU67" s="480"/>
    </row>
    <row r="68" spans="30:47" ht="15.75" x14ac:dyDescent="0.25">
      <c r="AD68" s="491" t="s">
        <v>543</v>
      </c>
      <c r="AE68" s="427">
        <v>17</v>
      </c>
      <c r="AF68" s="428">
        <v>467</v>
      </c>
      <c r="AG68" s="430"/>
      <c r="AH68" s="471"/>
      <c r="AI68" s="471"/>
      <c r="AJ68" s="471"/>
      <c r="AK68" s="466">
        <v>2.99</v>
      </c>
      <c r="AL68" s="463">
        <v>2</v>
      </c>
      <c r="AM68" s="463">
        <v>2.99</v>
      </c>
      <c r="AN68" s="463">
        <v>5</v>
      </c>
      <c r="AO68" s="464">
        <v>5.99</v>
      </c>
      <c r="AP68" s="471"/>
      <c r="AQ68" s="465">
        <v>5.99</v>
      </c>
      <c r="AR68" s="461">
        <v>3</v>
      </c>
      <c r="AS68" s="461">
        <v>3.99</v>
      </c>
      <c r="AT68" s="471"/>
      <c r="AU68" s="471"/>
    </row>
    <row r="69" spans="30:47" ht="15.75" x14ac:dyDescent="0.25">
      <c r="AD69" s="491" t="s">
        <v>544</v>
      </c>
      <c r="AE69" s="427">
        <v>16</v>
      </c>
      <c r="AF69" s="428">
        <v>475</v>
      </c>
      <c r="AG69" s="430"/>
      <c r="AH69" s="480"/>
      <c r="AI69" s="466">
        <v>1.99</v>
      </c>
      <c r="AJ69" s="480"/>
      <c r="AK69" s="466">
        <v>3.99</v>
      </c>
      <c r="AL69" s="461">
        <v>5</v>
      </c>
      <c r="AM69" s="462">
        <v>5.99</v>
      </c>
      <c r="AN69" s="461">
        <v>6</v>
      </c>
      <c r="AO69" s="475">
        <v>6.99</v>
      </c>
      <c r="AP69" s="480"/>
      <c r="AQ69" s="480"/>
      <c r="AR69" s="463">
        <v>2</v>
      </c>
      <c r="AS69" s="463">
        <v>2.99</v>
      </c>
      <c r="AT69" s="480"/>
      <c r="AU69" s="480"/>
    </row>
    <row r="70" spans="30:47" ht="15.75" x14ac:dyDescent="0.25">
      <c r="AD70" s="491" t="s">
        <v>545</v>
      </c>
      <c r="AE70" s="427">
        <v>16</v>
      </c>
      <c r="AF70" s="428">
        <v>422</v>
      </c>
      <c r="AG70" s="430"/>
      <c r="AH70" s="480"/>
      <c r="AI70" s="480"/>
      <c r="AJ70" s="463">
        <v>1</v>
      </c>
      <c r="AK70" s="463">
        <v>1.99</v>
      </c>
      <c r="AL70" s="461">
        <v>5</v>
      </c>
      <c r="AM70" s="462">
        <v>5.99</v>
      </c>
      <c r="AN70" s="461">
        <v>4</v>
      </c>
      <c r="AO70" s="461">
        <v>4.99</v>
      </c>
      <c r="AP70" s="480"/>
      <c r="AQ70" s="466">
        <v>2.99</v>
      </c>
      <c r="AR70" s="480"/>
      <c r="AS70" s="466">
        <v>2.99</v>
      </c>
      <c r="AT70" s="480"/>
      <c r="AU70" s="480"/>
    </row>
    <row r="71" spans="30:47" ht="15.75" x14ac:dyDescent="0.25">
      <c r="AD71" s="491" t="s">
        <v>546</v>
      </c>
      <c r="AE71" s="427">
        <v>16</v>
      </c>
      <c r="AF71" s="428">
        <v>434</v>
      </c>
      <c r="AG71" s="430"/>
      <c r="AH71" s="480"/>
      <c r="AI71" s="466">
        <v>1.99</v>
      </c>
      <c r="AJ71" s="466">
        <v>3</v>
      </c>
      <c r="AK71" s="466">
        <v>4.99</v>
      </c>
      <c r="AL71" s="461">
        <v>2</v>
      </c>
      <c r="AM71" s="461">
        <v>2.99</v>
      </c>
      <c r="AN71" s="466">
        <v>4</v>
      </c>
      <c r="AO71" s="467">
        <v>6.99</v>
      </c>
      <c r="AP71" s="480"/>
      <c r="AQ71" s="466">
        <v>2.99</v>
      </c>
      <c r="AR71" s="480"/>
      <c r="AS71" s="467">
        <v>6.99</v>
      </c>
      <c r="AT71" s="480"/>
      <c r="AU71" s="480"/>
    </row>
    <row r="72" spans="30:47" ht="15.75" x14ac:dyDescent="0.25">
      <c r="AD72" s="491" t="s">
        <v>547</v>
      </c>
      <c r="AE72" s="427">
        <v>16</v>
      </c>
      <c r="AF72" s="428">
        <v>454</v>
      </c>
      <c r="AG72" s="430"/>
      <c r="AH72" s="480"/>
      <c r="AI72" s="466">
        <v>1.99</v>
      </c>
      <c r="AJ72" s="480"/>
      <c r="AK72" s="465">
        <v>5.99</v>
      </c>
      <c r="AL72" s="461">
        <v>5</v>
      </c>
      <c r="AM72" s="462">
        <v>5.99</v>
      </c>
      <c r="AN72" s="463">
        <v>4</v>
      </c>
      <c r="AO72" s="463">
        <v>4.99</v>
      </c>
      <c r="AP72" s="466">
        <v>3</v>
      </c>
      <c r="AQ72" s="465">
        <v>5.99</v>
      </c>
      <c r="AR72" s="466">
        <v>4</v>
      </c>
      <c r="AS72" s="465">
        <v>5.99</v>
      </c>
      <c r="AT72" s="480"/>
      <c r="AU72" s="480"/>
    </row>
    <row r="73" spans="30:47" ht="15.75" x14ac:dyDescent="0.25">
      <c r="AD73" s="491" t="s">
        <v>548</v>
      </c>
      <c r="AE73" s="427">
        <v>16</v>
      </c>
      <c r="AF73" s="428">
        <v>458</v>
      </c>
      <c r="AG73" s="430"/>
      <c r="AH73" s="480"/>
      <c r="AI73" s="480"/>
      <c r="AJ73" s="480"/>
      <c r="AK73" s="466">
        <v>2.99</v>
      </c>
      <c r="AL73" s="461">
        <v>5</v>
      </c>
      <c r="AM73" s="462">
        <v>5.99</v>
      </c>
      <c r="AN73" s="466">
        <v>4</v>
      </c>
      <c r="AO73" s="465">
        <v>5.99</v>
      </c>
      <c r="AP73" s="480"/>
      <c r="AQ73" s="466">
        <v>3.99</v>
      </c>
      <c r="AR73" s="463">
        <v>2</v>
      </c>
      <c r="AS73" s="463">
        <v>2.99</v>
      </c>
      <c r="AT73" s="480"/>
      <c r="AU73" s="480"/>
    </row>
    <row r="74" spans="30:47" ht="15.75" x14ac:dyDescent="0.25">
      <c r="AD74" s="491" t="s">
        <v>549</v>
      </c>
      <c r="AE74" s="427">
        <v>15</v>
      </c>
      <c r="AF74" s="428">
        <v>517</v>
      </c>
      <c r="AG74" s="430"/>
      <c r="AH74" s="480"/>
      <c r="AI74" s="480"/>
      <c r="AJ74" s="480"/>
      <c r="AK74" s="466">
        <v>4.99</v>
      </c>
      <c r="AL74" s="480"/>
      <c r="AM74" s="480"/>
      <c r="AN74" s="480"/>
      <c r="AO74" s="466">
        <v>4.99</v>
      </c>
      <c r="AP74" s="466">
        <v>3</v>
      </c>
      <c r="AQ74" s="480"/>
      <c r="AR74" s="480"/>
      <c r="AS74" s="465">
        <v>5.99</v>
      </c>
      <c r="AT74" s="480"/>
      <c r="AU74" s="480"/>
    </row>
    <row r="75" spans="30:47" ht="15.75" x14ac:dyDescent="0.25">
      <c r="AD75" s="491" t="s">
        <v>550</v>
      </c>
      <c r="AE75" s="427">
        <v>17</v>
      </c>
      <c r="AF75" s="428">
        <v>499</v>
      </c>
      <c r="AG75" s="430"/>
      <c r="AH75" s="480"/>
      <c r="AI75" s="480"/>
      <c r="AJ75" s="466">
        <v>4</v>
      </c>
      <c r="AK75" s="465">
        <v>5.99</v>
      </c>
      <c r="AL75" s="463">
        <v>4</v>
      </c>
      <c r="AM75" s="463">
        <v>4.99</v>
      </c>
      <c r="AN75" s="463">
        <v>4</v>
      </c>
      <c r="AO75" s="463">
        <v>4.99</v>
      </c>
      <c r="AP75" s="480"/>
      <c r="AQ75" s="467">
        <v>6.99</v>
      </c>
      <c r="AR75" s="463">
        <v>2</v>
      </c>
      <c r="AS75" s="463">
        <v>2.99</v>
      </c>
      <c r="AT75" s="480"/>
      <c r="AU75" s="480"/>
    </row>
    <row r="76" spans="30:47" ht="15.75" x14ac:dyDescent="0.25">
      <c r="AD76" s="491" t="s">
        <v>551</v>
      </c>
      <c r="AE76" s="427">
        <v>16</v>
      </c>
      <c r="AF76" s="428">
        <v>-1491</v>
      </c>
      <c r="AG76" s="430"/>
      <c r="AH76" s="471"/>
      <c r="AI76" s="471"/>
      <c r="AJ76" s="482">
        <v>1</v>
      </c>
      <c r="AK76" s="463">
        <v>1.99</v>
      </c>
      <c r="AL76" s="483">
        <v>5</v>
      </c>
      <c r="AM76" s="462">
        <v>5.99</v>
      </c>
      <c r="AN76" s="471"/>
      <c r="AO76" s="466">
        <v>2.99</v>
      </c>
      <c r="AP76" s="483" t="s">
        <v>552</v>
      </c>
      <c r="AQ76" s="462">
        <v>5.99</v>
      </c>
      <c r="AR76" s="483">
        <v>4</v>
      </c>
      <c r="AS76" s="462">
        <v>4.99</v>
      </c>
      <c r="AT76" s="471"/>
      <c r="AU76" s="471"/>
    </row>
    <row r="77" spans="30:47" ht="15.75" x14ac:dyDescent="0.25">
      <c r="AD77" s="491" t="s">
        <v>553</v>
      </c>
      <c r="AE77" s="427">
        <v>16</v>
      </c>
      <c r="AF77" s="428">
        <v>336</v>
      </c>
      <c r="AG77" s="430" t="s">
        <v>67</v>
      </c>
      <c r="AH77" s="471"/>
      <c r="AI77" s="466">
        <v>1.99</v>
      </c>
      <c r="AJ77" s="483">
        <v>6</v>
      </c>
      <c r="AK77" s="475">
        <v>6.99</v>
      </c>
      <c r="AL77" s="483">
        <v>5</v>
      </c>
      <c r="AM77" s="462">
        <v>5.99</v>
      </c>
      <c r="AN77" s="483">
        <v>3</v>
      </c>
      <c r="AO77" s="461">
        <v>3.99</v>
      </c>
      <c r="AP77" s="482">
        <v>1</v>
      </c>
      <c r="AQ77" s="463">
        <v>1.99</v>
      </c>
      <c r="AR77" s="482">
        <v>2</v>
      </c>
      <c r="AS77" s="463">
        <v>2.99</v>
      </c>
      <c r="AT77" s="471"/>
      <c r="AU77" s="471"/>
    </row>
    <row r="78" spans="30:47" ht="15.75" x14ac:dyDescent="0.25">
      <c r="AD78" s="491" t="s">
        <v>554</v>
      </c>
      <c r="AE78" s="427">
        <v>16</v>
      </c>
      <c r="AF78" s="428">
        <v>305</v>
      </c>
      <c r="AG78" s="430" t="s">
        <v>67</v>
      </c>
      <c r="AH78" s="471"/>
      <c r="AI78" s="466">
        <v>1.99</v>
      </c>
      <c r="AJ78" s="471"/>
      <c r="AK78" s="466">
        <v>3.99</v>
      </c>
      <c r="AL78" s="471"/>
      <c r="AM78" s="466">
        <v>2.99</v>
      </c>
      <c r="AN78" s="471"/>
      <c r="AO78" s="466">
        <v>2.99</v>
      </c>
      <c r="AP78" s="482">
        <v>3</v>
      </c>
      <c r="AQ78" s="463">
        <v>3.99</v>
      </c>
      <c r="AR78" s="483">
        <v>5</v>
      </c>
      <c r="AS78" s="462">
        <v>5.99</v>
      </c>
      <c r="AT78" s="471"/>
      <c r="AU78" s="471"/>
    </row>
    <row r="79" spans="30:47" ht="15.75" x14ac:dyDescent="0.25">
      <c r="AD79" s="491" t="s">
        <v>555</v>
      </c>
      <c r="AE79" s="427">
        <v>16</v>
      </c>
      <c r="AF79" s="428">
        <v>262</v>
      </c>
      <c r="AG79" s="430"/>
      <c r="AH79" s="471"/>
      <c r="AI79" s="466">
        <v>1.99</v>
      </c>
      <c r="AJ79" s="482">
        <v>1</v>
      </c>
      <c r="AK79" s="463">
        <v>1.99</v>
      </c>
      <c r="AL79" s="483">
        <v>4</v>
      </c>
      <c r="AM79" s="461">
        <v>4.99</v>
      </c>
      <c r="AN79" s="482">
        <v>5</v>
      </c>
      <c r="AO79" s="464">
        <v>5.99</v>
      </c>
      <c r="AP79" s="483">
        <v>6</v>
      </c>
      <c r="AQ79" s="475">
        <v>6.99</v>
      </c>
      <c r="AR79" s="483">
        <v>2</v>
      </c>
      <c r="AS79" s="461">
        <v>2.99</v>
      </c>
      <c r="AT79" s="471"/>
      <c r="AU79" s="471"/>
    </row>
    <row r="80" spans="30:47" ht="15.75" x14ac:dyDescent="0.25">
      <c r="AD80" s="491" t="s">
        <v>556</v>
      </c>
      <c r="AE80" s="427">
        <v>17</v>
      </c>
      <c r="AF80" s="428">
        <v>208</v>
      </c>
      <c r="AG80" s="430"/>
      <c r="AH80" s="471"/>
      <c r="AI80" s="466">
        <v>1.99</v>
      </c>
      <c r="AJ80" s="482">
        <v>2</v>
      </c>
      <c r="AK80" s="463">
        <v>2.99</v>
      </c>
      <c r="AL80" s="484">
        <v>5</v>
      </c>
      <c r="AM80" s="467">
        <v>7</v>
      </c>
      <c r="AN80" s="482">
        <v>3</v>
      </c>
      <c r="AO80" s="463">
        <v>3.99</v>
      </c>
      <c r="AP80" s="484">
        <v>4</v>
      </c>
      <c r="AQ80" s="467">
        <v>6.99</v>
      </c>
      <c r="AR80" s="471"/>
      <c r="AS80" s="466">
        <v>2.99</v>
      </c>
      <c r="AT80" s="471"/>
      <c r="AU80" s="471"/>
    </row>
    <row r="81" spans="30:47" x14ac:dyDescent="0.25">
      <c r="AD81" s="491" t="s">
        <v>557</v>
      </c>
      <c r="AE81" s="427"/>
      <c r="AF81" s="428"/>
      <c r="AG81" s="430"/>
      <c r="AH81" s="485"/>
      <c r="AI81" s="485"/>
      <c r="AJ81" s="485"/>
      <c r="AK81" s="485"/>
      <c r="AL81" s="485"/>
      <c r="AM81" s="485"/>
      <c r="AN81" s="485"/>
      <c r="AO81" s="485"/>
      <c r="AP81" s="485"/>
      <c r="AQ81" s="485"/>
      <c r="AR81" s="485"/>
      <c r="AS81" s="485"/>
      <c r="AT81" s="485"/>
      <c r="AU81" s="485"/>
    </row>
    <row r="82" spans="30:47" x14ac:dyDescent="0.25">
      <c r="AD82" s="491" t="s">
        <v>558</v>
      </c>
      <c r="AE82" s="427"/>
      <c r="AF82" s="428"/>
      <c r="AG82" s="430"/>
      <c r="AH82" s="485"/>
      <c r="AI82" s="485"/>
      <c r="AJ82" s="485"/>
      <c r="AK82" s="485"/>
      <c r="AL82" s="485"/>
      <c r="AM82" s="485"/>
      <c r="AN82" s="485"/>
      <c r="AO82" s="485"/>
      <c r="AP82" s="485"/>
      <c r="AQ82" s="485"/>
      <c r="AR82" s="485"/>
      <c r="AS82" s="485"/>
      <c r="AT82" s="485"/>
      <c r="AU82" s="485"/>
    </row>
    <row r="83" spans="30:47" x14ac:dyDescent="0.25">
      <c r="AD83" s="491" t="s">
        <v>559</v>
      </c>
      <c r="AE83" s="427"/>
      <c r="AF83" s="428"/>
      <c r="AG83" s="430"/>
      <c r="AH83" s="485"/>
      <c r="AI83" s="485"/>
      <c r="AJ83" s="485"/>
      <c r="AK83" s="485"/>
      <c r="AL83" s="485"/>
      <c r="AM83" s="485"/>
      <c r="AN83" s="485"/>
      <c r="AO83" s="485"/>
      <c r="AP83" s="485"/>
      <c r="AQ83" s="485"/>
      <c r="AR83" s="485"/>
      <c r="AS83" s="485"/>
      <c r="AT83" s="485"/>
      <c r="AU83" s="485"/>
    </row>
    <row r="84" spans="30:47" ht="15.75" x14ac:dyDescent="0.25">
      <c r="AD84" s="491" t="s">
        <v>560</v>
      </c>
      <c r="AE84" s="427">
        <v>16</v>
      </c>
      <c r="AF84" s="428">
        <v>146</v>
      </c>
      <c r="AG84" s="430"/>
      <c r="AH84" s="471"/>
      <c r="AI84" s="471"/>
      <c r="AJ84" s="482">
        <v>3</v>
      </c>
      <c r="AK84" s="463">
        <v>3.99</v>
      </c>
      <c r="AL84" s="482">
        <v>5</v>
      </c>
      <c r="AM84" s="464">
        <v>5.99</v>
      </c>
      <c r="AN84" s="482">
        <v>3</v>
      </c>
      <c r="AO84" s="463">
        <v>3.99</v>
      </c>
      <c r="AP84" s="482">
        <v>1</v>
      </c>
      <c r="AQ84" s="463">
        <v>1.99</v>
      </c>
      <c r="AR84" s="471"/>
      <c r="AS84" s="466">
        <v>1.99</v>
      </c>
      <c r="AT84" s="471"/>
      <c r="AU84" s="471"/>
    </row>
    <row r="85" spans="30:47" ht="15.75" x14ac:dyDescent="0.25">
      <c r="AD85" s="491" t="s">
        <v>561</v>
      </c>
      <c r="AE85" s="427">
        <v>16</v>
      </c>
      <c r="AF85" s="428">
        <v>210</v>
      </c>
      <c r="AG85" s="430"/>
      <c r="AH85" s="483">
        <v>6</v>
      </c>
      <c r="AI85" s="475">
        <v>6.99</v>
      </c>
      <c r="AJ85" s="482">
        <v>2.6</v>
      </c>
      <c r="AK85" s="463">
        <v>2.99</v>
      </c>
      <c r="AL85" s="471"/>
      <c r="AM85" s="466">
        <v>3.99</v>
      </c>
      <c r="AN85" s="471"/>
      <c r="AO85" s="466">
        <v>1.99</v>
      </c>
      <c r="AP85" s="471"/>
      <c r="AQ85" s="466">
        <v>0.99</v>
      </c>
      <c r="AR85" s="471"/>
      <c r="AS85" s="466">
        <v>2.99</v>
      </c>
      <c r="AT85" s="471"/>
      <c r="AU85" s="471"/>
    </row>
    <row r="86" spans="30:47" ht="15.75" x14ac:dyDescent="0.25">
      <c r="AD86" s="491" t="s">
        <v>562</v>
      </c>
      <c r="AE86" s="427">
        <v>17</v>
      </c>
      <c r="AF86" s="428">
        <v>384</v>
      </c>
      <c r="AG86" s="430" t="s">
        <v>105</v>
      </c>
      <c r="AH86" s="471"/>
      <c r="AI86" s="466">
        <v>1.99</v>
      </c>
      <c r="AJ86" s="482">
        <v>3</v>
      </c>
      <c r="AK86" s="463">
        <v>3.99</v>
      </c>
      <c r="AL86" s="482">
        <v>5</v>
      </c>
      <c r="AM86" s="464">
        <v>5.99</v>
      </c>
      <c r="AN86" s="482">
        <v>1</v>
      </c>
      <c r="AO86" s="463">
        <v>1.99</v>
      </c>
      <c r="AP86" s="482">
        <v>4</v>
      </c>
      <c r="AQ86" s="463">
        <v>4.99</v>
      </c>
      <c r="AR86" s="483">
        <v>4</v>
      </c>
      <c r="AS86" s="461">
        <v>4.99</v>
      </c>
      <c r="AT86" s="471"/>
      <c r="AU86" s="471"/>
    </row>
    <row r="87" spans="30:47" ht="15.75" x14ac:dyDescent="0.25">
      <c r="AD87" s="491" t="s">
        <v>563</v>
      </c>
      <c r="AE87" s="427">
        <v>17</v>
      </c>
      <c r="AF87" s="428">
        <v>382</v>
      </c>
      <c r="AG87" s="430"/>
      <c r="AH87" s="480"/>
      <c r="AI87" s="466">
        <v>1.99</v>
      </c>
      <c r="AJ87" s="483">
        <v>5</v>
      </c>
      <c r="AK87" s="462">
        <v>5.99</v>
      </c>
      <c r="AL87" s="482">
        <v>4</v>
      </c>
      <c r="AM87" s="463">
        <v>4.99</v>
      </c>
      <c r="AN87" s="484">
        <v>2</v>
      </c>
      <c r="AO87" s="466">
        <v>3.99</v>
      </c>
      <c r="AP87" s="482">
        <v>4</v>
      </c>
      <c r="AQ87" s="463">
        <v>4.99</v>
      </c>
      <c r="AR87" s="480"/>
      <c r="AS87" s="466">
        <v>4.99</v>
      </c>
      <c r="AT87" s="480"/>
      <c r="AU87" s="480"/>
    </row>
    <row r="88" spans="30:47" ht="15.75" x14ac:dyDescent="0.25">
      <c r="AD88" s="491" t="s">
        <v>564</v>
      </c>
      <c r="AE88" s="427">
        <v>18</v>
      </c>
      <c r="AF88" s="428">
        <v>408</v>
      </c>
      <c r="AG88" s="430"/>
      <c r="AH88" s="471"/>
      <c r="AI88" s="466">
        <v>1.99</v>
      </c>
      <c r="AJ88" s="482">
        <v>2</v>
      </c>
      <c r="AK88" s="463">
        <v>2.99</v>
      </c>
      <c r="AL88" s="471"/>
      <c r="AM88" s="466">
        <v>4.99</v>
      </c>
      <c r="AN88" s="471"/>
      <c r="AO88" s="465">
        <v>5.99</v>
      </c>
      <c r="AP88" s="482">
        <v>4</v>
      </c>
      <c r="AQ88" s="463">
        <v>4.99</v>
      </c>
      <c r="AR88" s="482">
        <v>3</v>
      </c>
      <c r="AS88" s="463">
        <v>3.99</v>
      </c>
      <c r="AT88" s="471"/>
      <c r="AU88" s="471"/>
    </row>
    <row r="89" spans="30:47" ht="15.75" x14ac:dyDescent="0.25">
      <c r="AD89" s="491" t="s">
        <v>565</v>
      </c>
      <c r="AE89" s="427">
        <v>18</v>
      </c>
      <c r="AF89" s="428">
        <v>423</v>
      </c>
      <c r="AG89" s="430" t="s">
        <v>94</v>
      </c>
      <c r="AH89" s="480"/>
      <c r="AI89" s="466">
        <v>1.99</v>
      </c>
      <c r="AJ89" s="482">
        <v>2</v>
      </c>
      <c r="AK89" s="463">
        <v>2.99</v>
      </c>
      <c r="AL89" s="483">
        <v>4</v>
      </c>
      <c r="AM89" s="461">
        <v>4.99</v>
      </c>
      <c r="AN89" s="482">
        <v>5</v>
      </c>
      <c r="AO89" s="464">
        <v>5.99</v>
      </c>
      <c r="AP89" s="482">
        <v>3</v>
      </c>
      <c r="AQ89" s="463">
        <v>3.99</v>
      </c>
      <c r="AR89" s="484">
        <v>3</v>
      </c>
      <c r="AS89" s="467">
        <v>7</v>
      </c>
      <c r="AT89" s="480"/>
      <c r="AU89" s="480"/>
    </row>
    <row r="90" spans="30:47" ht="15.75" x14ac:dyDescent="0.25">
      <c r="AD90" s="491" t="s">
        <v>566</v>
      </c>
      <c r="AE90" s="427">
        <v>17</v>
      </c>
      <c r="AF90" s="428">
        <v>408</v>
      </c>
      <c r="AG90" s="430" t="s">
        <v>105</v>
      </c>
      <c r="AH90" s="471"/>
      <c r="AI90" s="466">
        <v>0.99</v>
      </c>
      <c r="AJ90" s="482">
        <v>4</v>
      </c>
      <c r="AK90" s="463">
        <v>4.99</v>
      </c>
      <c r="AL90" s="482">
        <v>2</v>
      </c>
      <c r="AM90" s="463">
        <v>2.99</v>
      </c>
      <c r="AN90" s="484">
        <v>4</v>
      </c>
      <c r="AO90" s="465">
        <v>5.99</v>
      </c>
      <c r="AP90" s="482">
        <v>2</v>
      </c>
      <c r="AQ90" s="463">
        <v>2.99</v>
      </c>
      <c r="AR90" s="482">
        <v>2</v>
      </c>
      <c r="AS90" s="463">
        <v>2.99</v>
      </c>
      <c r="AT90" s="471"/>
      <c r="AU90" s="471"/>
    </row>
    <row r="91" spans="30:47" ht="15.75" x14ac:dyDescent="0.25">
      <c r="AD91" s="491" t="s">
        <v>567</v>
      </c>
      <c r="AE91" s="427">
        <v>17</v>
      </c>
      <c r="AF91" s="428">
        <v>330</v>
      </c>
      <c r="AG91" s="430"/>
      <c r="AH91" s="480"/>
      <c r="AI91" s="480"/>
      <c r="AJ91" s="480"/>
      <c r="AK91" s="466">
        <v>2.99</v>
      </c>
      <c r="AL91" s="482">
        <v>3</v>
      </c>
      <c r="AM91" s="463">
        <v>3.99</v>
      </c>
      <c r="AN91" s="484">
        <v>5</v>
      </c>
      <c r="AO91" s="467">
        <v>6.99</v>
      </c>
      <c r="AP91" s="483">
        <v>4</v>
      </c>
      <c r="AQ91" s="461">
        <v>4.99</v>
      </c>
      <c r="AR91" s="483">
        <v>4</v>
      </c>
      <c r="AS91" s="461">
        <v>4.99</v>
      </c>
      <c r="AT91" s="480"/>
      <c r="AU91" s="480"/>
    </row>
    <row r="92" spans="30:47" ht="15.75" x14ac:dyDescent="0.25">
      <c r="AD92" s="491" t="s">
        <v>568</v>
      </c>
      <c r="AE92" s="427">
        <v>16</v>
      </c>
      <c r="AF92" s="428">
        <v>329</v>
      </c>
      <c r="AG92" s="430"/>
      <c r="AH92" s="480"/>
      <c r="AI92" s="480"/>
      <c r="AJ92" s="483">
        <v>3</v>
      </c>
      <c r="AK92" s="461">
        <v>3.99</v>
      </c>
      <c r="AL92" s="484">
        <v>4</v>
      </c>
      <c r="AM92" s="467">
        <v>6.99</v>
      </c>
      <c r="AN92" s="480"/>
      <c r="AO92" s="466">
        <v>3.99</v>
      </c>
      <c r="AP92" s="483">
        <v>3</v>
      </c>
      <c r="AQ92" s="461">
        <v>3.99</v>
      </c>
      <c r="AR92" s="480"/>
      <c r="AS92" s="466">
        <v>3.99</v>
      </c>
      <c r="AT92" s="480"/>
      <c r="AU92" s="480"/>
    </row>
    <row r="93" spans="30:47" ht="15.75" x14ac:dyDescent="0.25">
      <c r="AD93" s="491" t="s">
        <v>569</v>
      </c>
      <c r="AE93" s="427">
        <v>16</v>
      </c>
      <c r="AF93" s="428">
        <v>331</v>
      </c>
      <c r="AG93" s="430"/>
      <c r="AH93" s="480"/>
      <c r="AI93" s="480"/>
      <c r="AJ93" s="482">
        <v>2</v>
      </c>
      <c r="AK93" s="463">
        <v>2.99</v>
      </c>
      <c r="AL93" s="483">
        <v>4</v>
      </c>
      <c r="AM93" s="461">
        <v>4.99</v>
      </c>
      <c r="AN93" s="482">
        <v>2</v>
      </c>
      <c r="AO93" s="463">
        <v>2.99</v>
      </c>
      <c r="AP93" s="482">
        <v>3</v>
      </c>
      <c r="AQ93" s="463">
        <v>3.99</v>
      </c>
      <c r="AR93" s="484">
        <v>4</v>
      </c>
      <c r="AS93" s="467">
        <v>6.99</v>
      </c>
      <c r="AT93" s="480"/>
      <c r="AU93" s="480"/>
    </row>
    <row r="94" spans="30:47" ht="15.75" x14ac:dyDescent="0.25">
      <c r="AD94" s="491" t="s">
        <v>570</v>
      </c>
      <c r="AE94" s="427">
        <v>16</v>
      </c>
      <c r="AF94" s="428">
        <v>342</v>
      </c>
      <c r="AG94" s="430"/>
      <c r="AH94" s="480"/>
      <c r="AI94" s="480"/>
      <c r="AJ94" s="484">
        <v>4</v>
      </c>
      <c r="AK94" s="467">
        <v>6.99</v>
      </c>
      <c r="AL94" s="482">
        <v>2</v>
      </c>
      <c r="AM94" s="463">
        <v>2.99</v>
      </c>
      <c r="AN94" s="486">
        <v>2</v>
      </c>
      <c r="AO94" s="487">
        <v>2.99</v>
      </c>
      <c r="AP94" s="483">
        <v>5</v>
      </c>
      <c r="AQ94" s="462">
        <v>5.99</v>
      </c>
      <c r="AR94" s="484">
        <v>1</v>
      </c>
      <c r="AS94" s="466">
        <v>2.99</v>
      </c>
      <c r="AT94" s="480"/>
      <c r="AU94" s="466">
        <v>3.99</v>
      </c>
    </row>
    <row r="95" spans="30:47" ht="15.75" x14ac:dyDescent="0.25">
      <c r="AD95" s="491" t="s">
        <v>571</v>
      </c>
      <c r="AE95" s="427">
        <v>16</v>
      </c>
      <c r="AF95" s="428">
        <v>373</v>
      </c>
      <c r="AG95" s="430"/>
      <c r="AH95" s="471"/>
      <c r="AI95" s="471"/>
      <c r="AJ95" s="483">
        <v>5</v>
      </c>
      <c r="AK95" s="462">
        <v>5.99</v>
      </c>
      <c r="AL95" s="482">
        <v>5</v>
      </c>
      <c r="AM95" s="464">
        <v>5.99</v>
      </c>
      <c r="AN95" s="471"/>
      <c r="AO95" s="466">
        <v>4.99</v>
      </c>
      <c r="AP95" s="471"/>
      <c r="AQ95" s="466">
        <v>4.99</v>
      </c>
      <c r="AR95" s="471"/>
      <c r="AS95" s="466">
        <v>4.99</v>
      </c>
      <c r="AT95" s="471"/>
      <c r="AU95" s="471"/>
    </row>
    <row r="96" spans="30:47" ht="15.75" x14ac:dyDescent="0.25">
      <c r="AD96" s="491" t="s">
        <v>572</v>
      </c>
      <c r="AE96" s="427">
        <v>16</v>
      </c>
      <c r="AF96" s="428">
        <v>390</v>
      </c>
      <c r="AG96" s="430" t="s">
        <v>67</v>
      </c>
      <c r="AH96" s="471"/>
      <c r="AI96" s="471"/>
      <c r="AJ96" s="482">
        <v>1</v>
      </c>
      <c r="AK96" s="463">
        <v>1.99</v>
      </c>
      <c r="AL96" s="482">
        <v>6</v>
      </c>
      <c r="AM96" s="468">
        <v>6.99</v>
      </c>
      <c r="AN96" s="483">
        <v>2</v>
      </c>
      <c r="AO96" s="461">
        <v>2.99</v>
      </c>
      <c r="AP96" s="482">
        <v>5</v>
      </c>
      <c r="AQ96" s="464">
        <v>5.99</v>
      </c>
      <c r="AR96" s="483">
        <v>4</v>
      </c>
      <c r="AS96" s="461">
        <v>4.99</v>
      </c>
      <c r="AT96" s="471"/>
      <c r="AU96" s="466">
        <v>3.99</v>
      </c>
    </row>
    <row r="97" spans="30:47" ht="15.75" x14ac:dyDescent="0.25">
      <c r="AD97" s="491" t="s">
        <v>573</v>
      </c>
      <c r="AE97" s="427">
        <v>16</v>
      </c>
      <c r="AF97" s="428">
        <v>262</v>
      </c>
      <c r="AG97" s="430"/>
      <c r="AH97" s="471"/>
      <c r="AI97" s="471"/>
      <c r="AJ97" s="483">
        <v>6</v>
      </c>
      <c r="AK97" s="475">
        <v>6.99</v>
      </c>
      <c r="AL97" s="486">
        <v>3</v>
      </c>
      <c r="AM97" s="461">
        <v>3.99</v>
      </c>
      <c r="AN97" s="483">
        <v>5</v>
      </c>
      <c r="AO97" s="462">
        <v>5.99</v>
      </c>
      <c r="AP97" s="471"/>
      <c r="AQ97" s="466">
        <v>2.99</v>
      </c>
      <c r="AR97" s="484">
        <v>3</v>
      </c>
      <c r="AS97" s="466">
        <v>4.99</v>
      </c>
      <c r="AT97" s="471"/>
      <c r="AU97" s="471"/>
    </row>
    <row r="98" spans="30:47" ht="15.75" x14ac:dyDescent="0.25">
      <c r="AD98" s="491" t="s">
        <v>574</v>
      </c>
      <c r="AE98" s="427">
        <v>16</v>
      </c>
      <c r="AF98" s="428">
        <v>240</v>
      </c>
      <c r="AG98" s="430" t="s">
        <v>67</v>
      </c>
      <c r="AH98" s="471"/>
      <c r="AI98" s="471"/>
      <c r="AJ98" s="471"/>
      <c r="AK98" s="466">
        <v>2.99</v>
      </c>
      <c r="AL98" s="483">
        <v>5</v>
      </c>
      <c r="AM98" s="462">
        <v>5.99</v>
      </c>
      <c r="AN98" s="482">
        <v>2</v>
      </c>
      <c r="AO98" s="463">
        <v>2.99</v>
      </c>
      <c r="AP98" s="482">
        <v>3</v>
      </c>
      <c r="AQ98" s="463">
        <v>3.99</v>
      </c>
      <c r="AR98" s="484">
        <v>3</v>
      </c>
      <c r="AS98" s="466">
        <v>4.99</v>
      </c>
      <c r="AT98" s="471"/>
      <c r="AU98" s="471"/>
    </row>
    <row r="99" spans="30:47" ht="15.75" x14ac:dyDescent="0.25">
      <c r="AD99" s="491" t="s">
        <v>575</v>
      </c>
      <c r="AE99" s="427">
        <v>16</v>
      </c>
      <c r="AF99" s="428">
        <v>255</v>
      </c>
      <c r="AG99" s="430"/>
      <c r="AH99" s="471"/>
      <c r="AI99" s="466">
        <v>0.99</v>
      </c>
      <c r="AJ99" s="482">
        <v>2</v>
      </c>
      <c r="AK99" s="463">
        <v>2.99</v>
      </c>
      <c r="AL99" s="484">
        <v>5</v>
      </c>
      <c r="AM99" s="467">
        <v>6.99</v>
      </c>
      <c r="AN99" s="486">
        <v>2</v>
      </c>
      <c r="AO99" s="487">
        <v>2.99</v>
      </c>
      <c r="AP99" s="482">
        <v>2</v>
      </c>
      <c r="AQ99" s="463">
        <v>2.99</v>
      </c>
      <c r="AR99" s="482">
        <v>2</v>
      </c>
      <c r="AS99" s="463">
        <v>2.99</v>
      </c>
      <c r="AT99" s="471"/>
      <c r="AU99" s="471"/>
    </row>
    <row r="100" spans="30:47" ht="15.75" x14ac:dyDescent="0.25">
      <c r="AD100" s="491" t="s">
        <v>576</v>
      </c>
      <c r="AE100" s="422">
        <v>18</v>
      </c>
      <c r="AF100" s="423">
        <v>238</v>
      </c>
      <c r="AG100" s="424" t="s">
        <v>94</v>
      </c>
      <c r="AH100" s="480"/>
      <c r="AI100" s="466">
        <v>1.99</v>
      </c>
      <c r="AJ100" s="483">
        <v>4</v>
      </c>
      <c r="AK100" s="461">
        <v>4.99</v>
      </c>
      <c r="AL100" s="482">
        <v>2</v>
      </c>
      <c r="AM100" s="463">
        <v>2.99</v>
      </c>
      <c r="AN100" s="482">
        <v>3</v>
      </c>
      <c r="AO100" s="463">
        <v>3.99</v>
      </c>
      <c r="AP100" s="482">
        <v>1</v>
      </c>
      <c r="AQ100" s="463">
        <v>1.99</v>
      </c>
      <c r="AR100" s="484">
        <v>4</v>
      </c>
      <c r="AS100" s="467">
        <v>6.99</v>
      </c>
      <c r="AT100" s="480"/>
      <c r="AU100" s="480"/>
    </row>
    <row r="101" spans="30:47" ht="15.75" x14ac:dyDescent="0.25">
      <c r="AD101" s="491" t="s">
        <v>577</v>
      </c>
      <c r="AE101" s="427">
        <v>17</v>
      </c>
      <c r="AF101" s="428">
        <v>105</v>
      </c>
      <c r="AG101" s="430" t="s">
        <v>94</v>
      </c>
      <c r="AH101" s="471"/>
      <c r="AI101" s="466">
        <v>1.99</v>
      </c>
      <c r="AJ101" s="482">
        <v>3</v>
      </c>
      <c r="AK101" s="463">
        <v>3.99</v>
      </c>
      <c r="AL101" s="483">
        <v>5</v>
      </c>
      <c r="AM101" s="462">
        <v>5.99</v>
      </c>
      <c r="AN101" s="482">
        <v>4</v>
      </c>
      <c r="AO101" s="463">
        <v>4.99</v>
      </c>
      <c r="AP101" s="482">
        <v>4</v>
      </c>
      <c r="AQ101" s="463">
        <v>4.99</v>
      </c>
      <c r="AR101" s="471"/>
      <c r="AS101" s="466">
        <v>2.99</v>
      </c>
      <c r="AT101" s="471"/>
      <c r="AU101" s="471"/>
    </row>
    <row r="102" spans="30:47" ht="15.75" x14ac:dyDescent="0.25">
      <c r="AD102" s="491" t="s">
        <v>578</v>
      </c>
      <c r="AE102" s="427">
        <v>17</v>
      </c>
      <c r="AF102" s="428">
        <v>181</v>
      </c>
      <c r="AG102" s="430" t="s">
        <v>105</v>
      </c>
      <c r="AH102" s="471"/>
      <c r="AI102" s="471"/>
      <c r="AJ102" s="483">
        <v>5</v>
      </c>
      <c r="AK102" s="462">
        <v>5.99</v>
      </c>
      <c r="AL102" s="483">
        <v>4</v>
      </c>
      <c r="AM102" s="461">
        <v>4.99</v>
      </c>
      <c r="AN102" s="471"/>
      <c r="AO102" s="465">
        <v>5.99</v>
      </c>
      <c r="AP102" s="482">
        <v>3</v>
      </c>
      <c r="AQ102" s="463">
        <v>3.99</v>
      </c>
      <c r="AR102" s="471"/>
      <c r="AS102" s="466">
        <v>2.99</v>
      </c>
      <c r="AT102" s="471"/>
      <c r="AU102" s="471"/>
    </row>
    <row r="103" spans="30:47" ht="15.75" x14ac:dyDescent="0.25">
      <c r="AD103" s="491" t="s">
        <v>579</v>
      </c>
      <c r="AE103" s="427">
        <v>17</v>
      </c>
      <c r="AF103" s="428">
        <v>34</v>
      </c>
      <c r="AG103" s="430" t="s">
        <v>220</v>
      </c>
      <c r="AH103" s="480"/>
      <c r="AI103" s="466">
        <v>0.99</v>
      </c>
      <c r="AJ103" s="482">
        <v>5</v>
      </c>
      <c r="AK103" s="464">
        <v>5.99</v>
      </c>
      <c r="AL103" s="484">
        <v>4</v>
      </c>
      <c r="AM103" s="465">
        <v>5.99</v>
      </c>
      <c r="AN103" s="488">
        <v>6</v>
      </c>
      <c r="AO103" s="489">
        <v>6.99</v>
      </c>
      <c r="AP103" s="480"/>
      <c r="AQ103" s="466">
        <v>2.99</v>
      </c>
      <c r="AR103" s="488">
        <v>5</v>
      </c>
      <c r="AS103" s="490">
        <v>5.99</v>
      </c>
      <c r="AT103" s="480"/>
      <c r="AU103" s="480"/>
    </row>
    <row r="104" spans="30:47" ht="15.75" x14ac:dyDescent="0.25">
      <c r="AD104" s="625" t="s">
        <v>467</v>
      </c>
      <c r="AE104" s="429">
        <v>17</v>
      </c>
      <c r="AF104" s="428">
        <v>51</v>
      </c>
      <c r="AG104" s="430" t="s">
        <v>67</v>
      </c>
      <c r="AH104" s="471"/>
      <c r="AI104" s="471"/>
      <c r="AJ104" s="482">
        <v>5</v>
      </c>
      <c r="AK104" s="464">
        <v>5.99</v>
      </c>
      <c r="AL104" s="483">
        <v>4</v>
      </c>
      <c r="AM104" s="461">
        <v>4.99</v>
      </c>
      <c r="AN104" s="471"/>
      <c r="AO104" s="466">
        <v>2.99</v>
      </c>
      <c r="AP104" s="471"/>
      <c r="AQ104" s="466">
        <v>3.99</v>
      </c>
      <c r="AR104" s="486">
        <v>3</v>
      </c>
      <c r="AS104" s="487">
        <v>3.99</v>
      </c>
      <c r="AT104" s="471"/>
      <c r="AU104" s="471"/>
    </row>
    <row r="105" spans="30:47" ht="15.75" x14ac:dyDescent="0.25">
      <c r="AD105" s="625" t="s">
        <v>470</v>
      </c>
      <c r="AE105" s="429">
        <v>18</v>
      </c>
      <c r="AF105" s="428">
        <v>26</v>
      </c>
      <c r="AG105" s="430"/>
      <c r="AH105" s="471"/>
      <c r="AI105" s="466">
        <v>0.99</v>
      </c>
      <c r="AJ105" s="488">
        <v>6</v>
      </c>
      <c r="AK105" s="489">
        <v>6.99</v>
      </c>
      <c r="AL105" s="483">
        <v>4</v>
      </c>
      <c r="AM105" s="461">
        <v>4.99</v>
      </c>
      <c r="AN105" s="471"/>
      <c r="AO105" s="466">
        <v>3.99</v>
      </c>
      <c r="AP105" s="471"/>
      <c r="AQ105" s="466">
        <v>2.99</v>
      </c>
      <c r="AR105" s="471"/>
      <c r="AS105" s="466">
        <v>2.99</v>
      </c>
      <c r="AT105" s="471"/>
      <c r="AU105" s="471"/>
    </row>
    <row r="106" spans="30:47" x14ac:dyDescent="0.25">
      <c r="AD106" s="625" t="s">
        <v>458</v>
      </c>
      <c r="AE106" s="429">
        <v>17</v>
      </c>
      <c r="AF106" s="428">
        <v>43</v>
      </c>
      <c r="AG106" s="430" t="s">
        <v>94</v>
      </c>
      <c r="AH106" s="3"/>
      <c r="AI106" s="3"/>
      <c r="AJ106" s="646">
        <v>6</v>
      </c>
      <c r="AK106" s="647">
        <v>6.99</v>
      </c>
      <c r="AL106" s="648">
        <v>5</v>
      </c>
      <c r="AM106" s="649">
        <v>5.99</v>
      </c>
      <c r="AN106" s="646">
        <v>6</v>
      </c>
      <c r="AO106" s="647">
        <v>6.99</v>
      </c>
      <c r="AP106" s="648">
        <v>2</v>
      </c>
      <c r="AQ106" s="650">
        <v>2.99</v>
      </c>
      <c r="AR106" s="651">
        <v>3</v>
      </c>
      <c r="AS106" s="456">
        <v>3.99</v>
      </c>
      <c r="AT106" s="471"/>
      <c r="AU106" s="471"/>
    </row>
    <row r="107" spans="30:47" ht="15.75" x14ac:dyDescent="0.25">
      <c r="AD107" s="443" t="s">
        <v>483</v>
      </c>
      <c r="AE107" s="429">
        <v>17</v>
      </c>
      <c r="AF107" s="428">
        <v>58</v>
      </c>
      <c r="AG107" s="391"/>
      <c r="AH107" s="471"/>
      <c r="AI107" s="471"/>
      <c r="AJ107" s="488">
        <v>6</v>
      </c>
      <c r="AK107" s="489">
        <v>6.99</v>
      </c>
      <c r="AL107" s="485"/>
      <c r="AM107" s="466">
        <v>2.99</v>
      </c>
      <c r="AN107" s="471"/>
      <c r="AO107" s="466">
        <v>1.99</v>
      </c>
      <c r="AP107" s="484">
        <v>2</v>
      </c>
      <c r="AQ107" s="466">
        <v>2.99</v>
      </c>
      <c r="AR107" s="471"/>
      <c r="AS107" s="467">
        <v>6.99</v>
      </c>
      <c r="AT107" s="471"/>
      <c r="AU107" s="466">
        <v>2.99</v>
      </c>
    </row>
    <row r="108" spans="30:47" ht="15.75" x14ac:dyDescent="0.25">
      <c r="AD108" s="441" t="s">
        <v>468</v>
      </c>
      <c r="AE108" s="429">
        <v>17</v>
      </c>
      <c r="AF108" s="428">
        <v>68</v>
      </c>
      <c r="AG108" s="430"/>
      <c r="AH108" s="471"/>
      <c r="AI108" s="466">
        <v>1.99</v>
      </c>
      <c r="AJ108" s="482">
        <v>1</v>
      </c>
      <c r="AK108" s="463">
        <v>1.99</v>
      </c>
      <c r="AL108" s="482">
        <v>4</v>
      </c>
      <c r="AM108" s="463">
        <v>4.99</v>
      </c>
      <c r="AN108" s="656">
        <v>5</v>
      </c>
      <c r="AO108" s="657">
        <v>5.99</v>
      </c>
      <c r="AP108" s="656">
        <v>3</v>
      </c>
      <c r="AQ108" s="658">
        <v>3.99</v>
      </c>
      <c r="AR108" s="484">
        <v>3</v>
      </c>
      <c r="AS108" s="467">
        <v>6.99</v>
      </c>
      <c r="AT108" s="471"/>
      <c r="AU108" s="471"/>
    </row>
  </sheetData>
  <mergeCells count="7">
    <mergeCell ref="A14:E14"/>
    <mergeCell ref="AD3:AG3"/>
    <mergeCell ref="AH3:AU3"/>
    <mergeCell ref="AD1:AG1"/>
    <mergeCell ref="A1:E1"/>
    <mergeCell ref="A3:E3"/>
    <mergeCell ref="A9:E9"/>
  </mergeCells>
  <conditionalFormatting sqref="E25:E28 E17:E19 E6:E8 E12:E13">
    <cfRule type="cellIs" dxfId="62" priority="32" operator="between">
      <formula>1</formula>
      <formula>50</formula>
    </cfRule>
    <cfRule type="cellIs" dxfId="61" priority="33" operator="greaterThan">
      <formula>50</formula>
    </cfRule>
    <cfRule type="cellIs" dxfId="60" priority="34" operator="lessThan">
      <formula>1</formula>
    </cfRule>
  </conditionalFormatting>
  <conditionalFormatting sqref="E8">
    <cfRule type="cellIs" dxfId="59" priority="28" operator="between">
      <formula>1</formula>
      <formula>50</formula>
    </cfRule>
    <cfRule type="cellIs" dxfId="58" priority="29" operator="greaterThan">
      <formula>50</formula>
    </cfRule>
    <cfRule type="cellIs" dxfId="57" priority="30" operator="lessThan">
      <formula>1</formula>
    </cfRule>
  </conditionalFormatting>
  <conditionalFormatting sqref="W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56" priority="20" operator="between">
      <formula>1</formula>
      <formula>50</formula>
    </cfRule>
    <cfRule type="cellIs" dxfId="55" priority="21" operator="greaterThan">
      <formula>50</formula>
    </cfRule>
    <cfRule type="cellIs" dxfId="54" priority="22" operator="lessThan">
      <formula>1</formula>
    </cfRule>
  </conditionalFormatting>
  <conditionalFormatting sqref="E20">
    <cfRule type="cellIs" dxfId="53" priority="17" operator="between">
      <formula>1</formula>
      <formula>50</formula>
    </cfRule>
    <cfRule type="cellIs" dxfId="52" priority="18" operator="greaterThan">
      <formula>50</formula>
    </cfRule>
    <cfRule type="cellIs" dxfId="51" priority="19" operator="lessThan">
      <formula>1</formula>
    </cfRule>
  </conditionalFormatting>
  <conditionalFormatting sqref="E21">
    <cfRule type="cellIs" dxfId="50" priority="14" operator="between">
      <formula>1</formula>
      <formula>50</formula>
    </cfRule>
    <cfRule type="cellIs" dxfId="49" priority="15" operator="greaterThan">
      <formula>50</formula>
    </cfRule>
    <cfRule type="cellIs" dxfId="48" priority="16" operator="lessThan">
      <formula>1</formula>
    </cfRule>
  </conditionalFormatting>
  <conditionalFormatting sqref="E22">
    <cfRule type="cellIs" dxfId="47" priority="11" operator="between">
      <formula>1</formula>
      <formula>50</formula>
    </cfRule>
    <cfRule type="cellIs" dxfId="46" priority="12" operator="greaterThan">
      <formula>50</formula>
    </cfRule>
    <cfRule type="cellIs" dxfId="45" priority="13" operator="lessThan">
      <formula>1</formula>
    </cfRule>
  </conditionalFormatting>
  <conditionalFormatting sqref="E23">
    <cfRule type="cellIs" dxfId="44" priority="8" operator="between">
      <formula>1</formula>
      <formula>50</formula>
    </cfRule>
    <cfRule type="cellIs" dxfId="43" priority="9" operator="greaterThan">
      <formula>50</formula>
    </cfRule>
    <cfRule type="cellIs" dxfId="42" priority="10" operator="lessThan">
      <formula>1</formula>
    </cfRule>
  </conditionalFormatting>
  <conditionalFormatting sqref="E24">
    <cfRule type="cellIs" dxfId="41" priority="5" operator="between">
      <formula>1</formula>
      <formula>50</formula>
    </cfRule>
    <cfRule type="cellIs" dxfId="40" priority="6" operator="greaterThan">
      <formula>50</formula>
    </cfRule>
    <cfRule type="cellIs" dxfId="39" priority="7" operator="lessThan">
      <formula>1</formula>
    </cfRule>
  </conditionalFormatting>
  <conditionalFormatting sqref="W17:W28 W6:W7 W12:W13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X11" sqref="X1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  <c r="AI3" s="2" t="s">
        <v>429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33</v>
      </c>
      <c r="AI4" t="s">
        <v>430</v>
      </c>
    </row>
    <row r="5" spans="1:35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431</v>
      </c>
    </row>
    <row r="6" spans="1:35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432</v>
      </c>
    </row>
    <row r="7" spans="1:35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50</v>
      </c>
      <c r="AI7" t="s">
        <v>433</v>
      </c>
    </row>
    <row r="8" spans="1:35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3.125</v>
      </c>
    </row>
    <row r="9" spans="1:35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9.1999999999999993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9.4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440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440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workbookViewId="0">
      <selection activeCell="V21" sqref="V2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9"/>
      <c r="N2" s="51">
        <f>SUM(N4:N17)</f>
        <v>10304</v>
      </c>
      <c r="O2" s="51">
        <f>SUM(O4:O17)</f>
        <v>10974</v>
      </c>
      <c r="R2" s="659"/>
      <c r="AC2" s="51">
        <f>SUM(AC4:AC17)</f>
        <v>10304</v>
      </c>
      <c r="AD2" s="51">
        <f>SUM(AD4:AD17)</f>
        <v>12364.8</v>
      </c>
    </row>
    <row r="3" spans="1:33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24</v>
      </c>
    </row>
    <row r="5" spans="1:33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3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3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3"/>
        <v>0</v>
      </c>
      <c r="AF7" s="328" t="s">
        <v>246</v>
      </c>
      <c r="AG7">
        <f>AG5+AG4+AG3+AG6</f>
        <v>24</v>
      </c>
    </row>
    <row r="8" spans="1:33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3"/>
        <v>0</v>
      </c>
      <c r="AF8" s="328" t="s">
        <v>60</v>
      </c>
      <c r="AG8" s="83">
        <f>AG7/16</f>
        <v>1.5</v>
      </c>
    </row>
    <row r="9" spans="1:33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3"/>
        <v>0</v>
      </c>
    </row>
    <row r="10" spans="1:33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9.1999999999999993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E10+2</f>
        <v>20</v>
      </c>
      <c r="U10" s="134">
        <f>F10+$AG$7*7-112-112</f>
        <v>8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 t="shared" ref="AC10:AC15" si="4">N10</f>
        <v>1884</v>
      </c>
      <c r="AD10" s="51">
        <f t="shared" ref="AD10:AD15" si="5">AC10*1.2</f>
        <v>2260.7999999999997</v>
      </c>
    </row>
    <row r="11" spans="1:33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6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E11+1</f>
        <v>19</v>
      </c>
      <c r="U11" s="134">
        <f>F11+$AG$7*7-112</f>
        <v>63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 t="shared" si="4"/>
        <v>1490</v>
      </c>
      <c r="AD11" s="51">
        <f t="shared" si="5"/>
        <v>1788</v>
      </c>
    </row>
    <row r="12" spans="1:33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6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1:T13" si="7">E12+2</f>
        <v>20</v>
      </c>
      <c r="U12" s="134">
        <f t="shared" ref="U11:U13" si="8">F12+$AG$7*7-112-112</f>
        <v>24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 t="shared" si="4"/>
        <v>2436</v>
      </c>
      <c r="AD12" s="51">
        <f t="shared" si="5"/>
        <v>2923.2</v>
      </c>
    </row>
    <row r="13" spans="1:33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6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7"/>
        <v>20</v>
      </c>
      <c r="U13" s="134">
        <f t="shared" si="8"/>
        <v>24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 t="shared" si="4"/>
        <v>2604</v>
      </c>
      <c r="AD13" s="51">
        <f t="shared" si="5"/>
        <v>3124.7999999999997</v>
      </c>
    </row>
    <row r="14" spans="1:33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6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f t="shared" ref="T14:T15" si="9">E14+2</f>
        <v>20</v>
      </c>
      <c r="U14" s="134">
        <f t="shared" ref="U14:U15" si="10">F14+$AG$7*7-112-112</f>
        <v>10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 t="shared" si="4"/>
        <v>1020</v>
      </c>
      <c r="AD14" s="51">
        <f t="shared" si="5"/>
        <v>1224</v>
      </c>
    </row>
    <row r="15" spans="1:33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9.4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6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E15+1</f>
        <v>20</v>
      </c>
      <c r="U15" s="134">
        <f>F15+$AG$7*7-112</f>
        <v>65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 t="shared" si="4"/>
        <v>870</v>
      </c>
      <c r="AD15" s="51">
        <f t="shared" si="5"/>
        <v>1044</v>
      </c>
    </row>
    <row r="16" spans="1:33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3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3"/>
        <v>0</v>
      </c>
    </row>
    <row r="19" spans="1:33" x14ac:dyDescent="0.25">
      <c r="B19" s="659"/>
      <c r="N19" s="51">
        <f>SUM(N21:N34)</f>
        <v>34315.94</v>
      </c>
      <c r="O19" s="51">
        <f>SUM(O21:O34)</f>
        <v>40879.128000000004</v>
      </c>
      <c r="R19" s="65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31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671</v>
      </c>
      <c r="D21" s="134"/>
      <c r="E21" s="134">
        <v>17</v>
      </c>
      <c r="F21" s="134">
        <v>0</v>
      </c>
      <c r="G21" s="331">
        <v>6</v>
      </c>
      <c r="H21" s="331">
        <v>4</v>
      </c>
      <c r="I21" s="331">
        <v>0</v>
      </c>
      <c r="J21" s="331">
        <f t="shared" ref="I21:O34" si="11">Y4</f>
        <v>0</v>
      </c>
      <c r="K21" s="331">
        <f t="shared" si="11"/>
        <v>0</v>
      </c>
      <c r="L21" s="331">
        <f t="shared" si="11"/>
        <v>0</v>
      </c>
      <c r="M21" s="331">
        <v>4</v>
      </c>
      <c r="N21" s="115">
        <v>1500</v>
      </c>
      <c r="O21" s="115">
        <f>N21</f>
        <v>1500</v>
      </c>
      <c r="Q21" s="329" t="s">
        <v>170</v>
      </c>
      <c r="R21" s="330" t="str">
        <f t="shared" ref="R21:R34" si="12">B21</f>
        <v>POR</v>
      </c>
      <c r="S21" s="134"/>
      <c r="T21" s="134">
        <f>E21+3</f>
        <v>20</v>
      </c>
      <c r="U21" s="134">
        <f>F21+$AG$24*7-112-112-112</f>
        <v>42</v>
      </c>
      <c r="V21" s="331">
        <f>G21</f>
        <v>6</v>
      </c>
      <c r="W21" s="331">
        <v>10</v>
      </c>
      <c r="X21" s="331">
        <f t="shared" ref="W21:AA34" si="13">I21</f>
        <v>0</v>
      </c>
      <c r="Y21" s="331">
        <f t="shared" si="13"/>
        <v>0</v>
      </c>
      <c r="Z21" s="331">
        <f t="shared" si="13"/>
        <v>0</v>
      </c>
      <c r="AA21" s="331">
        <f t="shared" si="13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14">A5</f>
        <v>#2</v>
      </c>
      <c r="B22" s="330" t="str">
        <f t="shared" si="14"/>
        <v>DEF</v>
      </c>
      <c r="C22" s="134" t="s">
        <v>66</v>
      </c>
      <c r="D22" s="134" t="s">
        <v>672</v>
      </c>
      <c r="E22" s="134">
        <v>20</v>
      </c>
      <c r="F22" s="134">
        <v>8</v>
      </c>
      <c r="G22" s="331">
        <f t="shared" ref="G22:I34" si="15">V5</f>
        <v>0</v>
      </c>
      <c r="H22" s="331">
        <v>12</v>
      </c>
      <c r="I22" s="331">
        <v>7</v>
      </c>
      <c r="J22" s="331">
        <f t="shared" si="11"/>
        <v>2</v>
      </c>
      <c r="K22" s="331">
        <f t="shared" si="11"/>
        <v>2</v>
      </c>
      <c r="L22" s="331">
        <v>5</v>
      </c>
      <c r="M22" s="331">
        <v>3</v>
      </c>
      <c r="N22" s="115">
        <f>(7010+255+150)*1.012</f>
        <v>7503.9800000000005</v>
      </c>
      <c r="O22" s="115">
        <f t="shared" ref="O22:O26" si="16">N22*1.2</f>
        <v>9004.7759999999998</v>
      </c>
      <c r="Q22" s="329" t="s">
        <v>222</v>
      </c>
      <c r="R22" s="330" t="str">
        <f t="shared" si="12"/>
        <v>DEF</v>
      </c>
      <c r="S22" s="134" t="str">
        <f t="shared" ref="S22:S34" si="17">D22</f>
        <v>CAB/IMP</v>
      </c>
      <c r="T22" s="134">
        <f>E22+3</f>
        <v>23</v>
      </c>
      <c r="U22" s="134">
        <f>F22+$AG$24*7-112-112-112</f>
        <v>50</v>
      </c>
      <c r="V22" s="331">
        <f t="shared" ref="V22:V34" si="18">G22</f>
        <v>0</v>
      </c>
      <c r="W22" s="331">
        <f>14+8/15</f>
        <v>14.533333333333333</v>
      </c>
      <c r="X22" s="331">
        <f t="shared" si="13"/>
        <v>7</v>
      </c>
      <c r="Y22" s="331">
        <f t="shared" si="13"/>
        <v>2</v>
      </c>
      <c r="Z22" s="331">
        <f t="shared" si="13"/>
        <v>2</v>
      </c>
      <c r="AA22" s="331">
        <f t="shared" si="13"/>
        <v>5</v>
      </c>
      <c r="AB22" s="331">
        <v>15</v>
      </c>
      <c r="AC22" s="115">
        <f>(18370+135+245)*1.04</f>
        <v>19500</v>
      </c>
      <c r="AD22" s="51">
        <f t="shared" ref="AD22:AD34" si="19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14"/>
        <v>#3</v>
      </c>
      <c r="B23" s="330" t="str">
        <f t="shared" si="14"/>
        <v>DEF</v>
      </c>
      <c r="C23" s="134" t="s">
        <v>66</v>
      </c>
      <c r="D23" s="134" t="s">
        <v>672</v>
      </c>
      <c r="E23" s="134">
        <v>20</v>
      </c>
      <c r="F23" s="134">
        <v>8</v>
      </c>
      <c r="G23" s="331">
        <f t="shared" si="15"/>
        <v>0</v>
      </c>
      <c r="H23" s="331">
        <v>12</v>
      </c>
      <c r="I23" s="331">
        <v>7</v>
      </c>
      <c r="J23" s="331">
        <f t="shared" si="11"/>
        <v>2</v>
      </c>
      <c r="K23" s="331">
        <f t="shared" si="11"/>
        <v>2</v>
      </c>
      <c r="L23" s="331">
        <v>5</v>
      </c>
      <c r="M23" s="331">
        <v>3</v>
      </c>
      <c r="N23" s="115">
        <f t="shared" ref="N23:N24" si="20">(7010+255+150)*1.012</f>
        <v>7503.9800000000005</v>
      </c>
      <c r="O23" s="115">
        <f t="shared" si="16"/>
        <v>9004.7759999999998</v>
      </c>
      <c r="Q23" s="329" t="s">
        <v>172</v>
      </c>
      <c r="R23" s="330" t="str">
        <f t="shared" si="12"/>
        <v>DEF</v>
      </c>
      <c r="S23" s="134" t="str">
        <f t="shared" si="17"/>
        <v>CAB/IMP</v>
      </c>
      <c r="T23" s="134">
        <f t="shared" ref="T23:T27" si="21">E23+3</f>
        <v>23</v>
      </c>
      <c r="U23" s="134">
        <f t="shared" ref="U23:U27" si="22">F23+$AG$24*7-112-112-112</f>
        <v>50</v>
      </c>
      <c r="V23" s="331">
        <f t="shared" si="18"/>
        <v>0</v>
      </c>
      <c r="W23" s="331">
        <f>14+8/15</f>
        <v>14.533333333333333</v>
      </c>
      <c r="X23" s="331">
        <f t="shared" si="13"/>
        <v>7</v>
      </c>
      <c r="Y23" s="331">
        <f t="shared" si="13"/>
        <v>2</v>
      </c>
      <c r="Z23" s="331">
        <f t="shared" si="13"/>
        <v>2</v>
      </c>
      <c r="AA23" s="331">
        <f t="shared" si="13"/>
        <v>5</v>
      </c>
      <c r="AB23" s="331">
        <v>15</v>
      </c>
      <c r="AC23" s="115">
        <f t="shared" ref="AC23:AC26" si="23">(18370+135+245)*1.04</f>
        <v>19500</v>
      </c>
      <c r="AD23" s="51">
        <f t="shared" si="19"/>
        <v>23400</v>
      </c>
      <c r="AF23" s="328" t="s">
        <v>322</v>
      </c>
      <c r="AG23">
        <v>0</v>
      </c>
    </row>
    <row r="24" spans="1:33" x14ac:dyDescent="0.25">
      <c r="A24" s="329" t="str">
        <f t="shared" si="14"/>
        <v>#4</v>
      </c>
      <c r="B24" s="330" t="str">
        <f t="shared" si="14"/>
        <v>DEF</v>
      </c>
      <c r="C24" s="134" t="s">
        <v>66</v>
      </c>
      <c r="D24" s="134" t="s">
        <v>672</v>
      </c>
      <c r="E24" s="134">
        <v>20</v>
      </c>
      <c r="F24" s="134">
        <v>8</v>
      </c>
      <c r="G24" s="331">
        <f t="shared" si="15"/>
        <v>0</v>
      </c>
      <c r="H24" s="331">
        <v>12</v>
      </c>
      <c r="I24" s="331">
        <v>7</v>
      </c>
      <c r="J24" s="331">
        <f t="shared" si="11"/>
        <v>2</v>
      </c>
      <c r="K24" s="331">
        <f t="shared" si="11"/>
        <v>2</v>
      </c>
      <c r="L24" s="331">
        <v>5</v>
      </c>
      <c r="M24" s="331">
        <v>3</v>
      </c>
      <c r="N24" s="115">
        <f t="shared" si="20"/>
        <v>7503.9800000000005</v>
      </c>
      <c r="O24" s="115">
        <f t="shared" si="16"/>
        <v>9004.7759999999998</v>
      </c>
      <c r="Q24" s="329" t="s">
        <v>174</v>
      </c>
      <c r="R24" s="330" t="str">
        <f t="shared" si="12"/>
        <v>DEF</v>
      </c>
      <c r="S24" s="134" t="str">
        <f t="shared" si="17"/>
        <v>CAB/IMP</v>
      </c>
      <c r="T24" s="134">
        <f t="shared" si="21"/>
        <v>23</v>
      </c>
      <c r="U24" s="134">
        <f t="shared" si="22"/>
        <v>50</v>
      </c>
      <c r="V24" s="331">
        <f t="shared" si="18"/>
        <v>0</v>
      </c>
      <c r="W24" s="331">
        <f>14+8/15</f>
        <v>14.533333333333333</v>
      </c>
      <c r="X24" s="331">
        <f t="shared" si="13"/>
        <v>7</v>
      </c>
      <c r="Y24" s="331">
        <f t="shared" si="13"/>
        <v>2</v>
      </c>
      <c r="Z24" s="331">
        <f t="shared" si="13"/>
        <v>2</v>
      </c>
      <c r="AA24" s="331">
        <f t="shared" si="13"/>
        <v>5</v>
      </c>
      <c r="AB24" s="331">
        <v>15</v>
      </c>
      <c r="AC24" s="115">
        <f t="shared" si="23"/>
        <v>19500</v>
      </c>
      <c r="AD24" s="51">
        <f t="shared" si="19"/>
        <v>23400</v>
      </c>
      <c r="AF24" s="328" t="s">
        <v>246</v>
      </c>
      <c r="AG24">
        <f>AG22+AG21+AG20+AG23</f>
        <v>54</v>
      </c>
    </row>
    <row r="25" spans="1:33" x14ac:dyDescent="0.25">
      <c r="A25" s="329" t="str">
        <f t="shared" si="14"/>
        <v>#5</v>
      </c>
      <c r="B25" s="330"/>
      <c r="C25" s="134"/>
      <c r="D25" s="134"/>
      <c r="E25" s="134"/>
      <c r="F25" s="134"/>
      <c r="G25" s="331">
        <f t="shared" si="15"/>
        <v>0</v>
      </c>
      <c r="H25" s="331">
        <v>2</v>
      </c>
      <c r="I25" s="331">
        <v>2</v>
      </c>
      <c r="J25" s="331">
        <v>2</v>
      </c>
      <c r="K25" s="331">
        <f t="shared" si="11"/>
        <v>2</v>
      </c>
      <c r="L25" s="331">
        <f t="shared" ref="L25" si="24">AA8</f>
        <v>2</v>
      </c>
      <c r="M25" s="331">
        <f t="shared" ref="M25" si="25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8"/>
        <v>0</v>
      </c>
      <c r="W25" s="331">
        <f t="shared" si="13"/>
        <v>2</v>
      </c>
      <c r="X25" s="331">
        <f t="shared" si="13"/>
        <v>2</v>
      </c>
      <c r="Y25" s="331">
        <f t="shared" si="13"/>
        <v>2</v>
      </c>
      <c r="Z25" s="331">
        <f t="shared" si="13"/>
        <v>2</v>
      </c>
      <c r="AA25" s="331">
        <f t="shared" si="13"/>
        <v>2</v>
      </c>
      <c r="AB25" s="331">
        <v>2</v>
      </c>
      <c r="AC25" s="115">
        <f t="shared" si="23"/>
        <v>19500</v>
      </c>
      <c r="AD25" s="51">
        <f t="shared" si="19"/>
        <v>23400</v>
      </c>
      <c r="AF25" s="328" t="s">
        <v>60</v>
      </c>
      <c r="AG25" s="83">
        <f>AG24/16</f>
        <v>3.375</v>
      </c>
    </row>
    <row r="26" spans="1:33" x14ac:dyDescent="0.25">
      <c r="A26" s="329" t="str">
        <f t="shared" si="14"/>
        <v>#6</v>
      </c>
      <c r="B26" s="330"/>
      <c r="C26" s="134"/>
      <c r="D26" s="134"/>
      <c r="E26" s="134"/>
      <c r="F26" s="134"/>
      <c r="G26" s="331">
        <f t="shared" ref="G26" si="26">V9</f>
        <v>0</v>
      </c>
      <c r="H26" s="331">
        <v>2</v>
      </c>
      <c r="I26" s="331">
        <v>2</v>
      </c>
      <c r="J26" s="331">
        <v>2</v>
      </c>
      <c r="K26" s="331">
        <f t="shared" ref="K26" si="27">Z9</f>
        <v>2</v>
      </c>
      <c r="L26" s="331">
        <f t="shared" ref="L26" si="28">AA9</f>
        <v>2</v>
      </c>
      <c r="M26" s="331">
        <f t="shared" ref="M26" si="29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8"/>
        <v>0</v>
      </c>
      <c r="W26" s="331">
        <f t="shared" si="13"/>
        <v>2</v>
      </c>
      <c r="X26" s="331">
        <f t="shared" si="13"/>
        <v>2</v>
      </c>
      <c r="Y26" s="331">
        <f t="shared" si="13"/>
        <v>2</v>
      </c>
      <c r="Z26" s="331">
        <f t="shared" si="13"/>
        <v>2</v>
      </c>
      <c r="AA26" s="331">
        <f t="shared" si="13"/>
        <v>2</v>
      </c>
      <c r="AB26" s="331">
        <v>2</v>
      </c>
      <c r="AC26" s="115">
        <f t="shared" si="23"/>
        <v>19500</v>
      </c>
      <c r="AD26" s="51">
        <f t="shared" si="19"/>
        <v>23400</v>
      </c>
    </row>
    <row r="27" spans="1:33" x14ac:dyDescent="0.25">
      <c r="A27" s="329" t="str">
        <f t="shared" si="14"/>
        <v>#7</v>
      </c>
      <c r="B27" s="330" t="str">
        <f t="shared" si="14"/>
        <v>Inners</v>
      </c>
      <c r="C27" s="134" t="str">
        <f t="shared" si="14"/>
        <v>I. Vanags</v>
      </c>
      <c r="D27" s="134" t="str">
        <f t="shared" si="14"/>
        <v>CAB</v>
      </c>
      <c r="E27" s="134">
        <f>T10</f>
        <v>20</v>
      </c>
      <c r="F27" s="134">
        <f>U10</f>
        <v>8</v>
      </c>
      <c r="G27" s="331">
        <f t="shared" si="15"/>
        <v>0</v>
      </c>
      <c r="H27" s="331">
        <f t="shared" si="15"/>
        <v>4</v>
      </c>
      <c r="I27" s="331">
        <f t="shared" si="15"/>
        <v>12.75</v>
      </c>
      <c r="J27" s="331">
        <f t="shared" si="11"/>
        <v>3</v>
      </c>
      <c r="K27" s="331">
        <f t="shared" si="11"/>
        <v>4</v>
      </c>
      <c r="L27" s="331">
        <f t="shared" si="11"/>
        <v>7</v>
      </c>
      <c r="M27" s="331">
        <f t="shared" si="11"/>
        <v>6</v>
      </c>
      <c r="N27" s="115">
        <f t="shared" si="11"/>
        <v>1884</v>
      </c>
      <c r="O27" s="115">
        <f t="shared" si="11"/>
        <v>2260.7999999999997</v>
      </c>
      <c r="Q27" s="329" t="s">
        <v>175</v>
      </c>
      <c r="R27" s="330" t="str">
        <f t="shared" si="12"/>
        <v>Inners</v>
      </c>
      <c r="S27" s="134" t="str">
        <f t="shared" si="17"/>
        <v>CAB</v>
      </c>
      <c r="T27" s="134">
        <f t="shared" si="21"/>
        <v>23</v>
      </c>
      <c r="U27" s="134">
        <f t="shared" si="22"/>
        <v>50</v>
      </c>
      <c r="V27" s="331">
        <f t="shared" si="18"/>
        <v>0</v>
      </c>
      <c r="W27" s="331">
        <v>10</v>
      </c>
      <c r="X27" s="331">
        <f t="shared" si="13"/>
        <v>12.75</v>
      </c>
      <c r="Y27" s="331">
        <f t="shared" si="13"/>
        <v>3</v>
      </c>
      <c r="Z27" s="331">
        <f t="shared" si="13"/>
        <v>4</v>
      </c>
      <c r="AA27" s="331">
        <f t="shared" si="13"/>
        <v>7</v>
      </c>
      <c r="AB27" s="331">
        <v>16</v>
      </c>
      <c r="AC27" s="115">
        <f>(20000+1500+125+125)*1.043</f>
        <v>22685.25</v>
      </c>
      <c r="AD27" s="51">
        <f t="shared" si="19"/>
        <v>27222.3</v>
      </c>
    </row>
    <row r="28" spans="1:33" x14ac:dyDescent="0.25">
      <c r="A28" s="329" t="str">
        <f t="shared" si="14"/>
        <v>#8</v>
      </c>
      <c r="B28" s="330" t="str">
        <f t="shared" si="14"/>
        <v>Inners</v>
      </c>
      <c r="C28" s="134" t="str">
        <f t="shared" si="14"/>
        <v>I. Stone</v>
      </c>
      <c r="D28" s="134" t="str">
        <f t="shared" si="14"/>
        <v>RAP</v>
      </c>
      <c r="E28" s="134">
        <f t="shared" ref="E28:F32" si="30">T11</f>
        <v>19</v>
      </c>
      <c r="F28" s="134">
        <f t="shared" si="30"/>
        <v>63</v>
      </c>
      <c r="G28" s="331">
        <f t="shared" si="15"/>
        <v>0</v>
      </c>
      <c r="H28" s="331">
        <f t="shared" si="15"/>
        <v>3</v>
      </c>
      <c r="I28" s="331">
        <f t="shared" si="15"/>
        <v>12</v>
      </c>
      <c r="J28" s="331">
        <f t="shared" si="11"/>
        <v>2</v>
      </c>
      <c r="K28" s="331">
        <f t="shared" si="11"/>
        <v>6</v>
      </c>
      <c r="L28" s="331">
        <f t="shared" si="11"/>
        <v>9</v>
      </c>
      <c r="M28" s="331">
        <f t="shared" si="11"/>
        <v>2</v>
      </c>
      <c r="N28" s="115">
        <f t="shared" si="11"/>
        <v>1490</v>
      </c>
      <c r="O28" s="115">
        <f t="shared" si="11"/>
        <v>1788</v>
      </c>
      <c r="Q28" s="329" t="s">
        <v>179</v>
      </c>
      <c r="R28" s="330" t="str">
        <f t="shared" si="12"/>
        <v>Inners</v>
      </c>
      <c r="S28" s="134" t="str">
        <f t="shared" si="17"/>
        <v>RAP</v>
      </c>
      <c r="T28" s="134">
        <f t="shared" ref="T28:T32" si="31">E28+3</f>
        <v>22</v>
      </c>
      <c r="U28" s="134">
        <f t="shared" ref="U28:U32" si="32">F28+$AG$24*7-112-112-112</f>
        <v>105</v>
      </c>
      <c r="V28" s="331">
        <f t="shared" si="18"/>
        <v>0</v>
      </c>
      <c r="W28" s="331">
        <f>9+3/7</f>
        <v>9.4285714285714288</v>
      </c>
      <c r="X28" s="331">
        <f t="shared" si="13"/>
        <v>12</v>
      </c>
      <c r="Y28" s="331">
        <f t="shared" si="13"/>
        <v>2</v>
      </c>
      <c r="Z28" s="331">
        <f t="shared" si="13"/>
        <v>6</v>
      </c>
      <c r="AA28" s="331">
        <f t="shared" si="13"/>
        <v>9</v>
      </c>
      <c r="AB28" s="331">
        <v>15</v>
      </c>
      <c r="AC28" s="115">
        <f>(14490+3125+145)*1.038</f>
        <v>18434.88</v>
      </c>
      <c r="AD28" s="51">
        <f t="shared" si="19"/>
        <v>22121.856</v>
      </c>
    </row>
    <row r="29" spans="1:33" x14ac:dyDescent="0.25">
      <c r="A29" s="329" t="str">
        <f t="shared" si="14"/>
        <v>#9</v>
      </c>
      <c r="B29" s="330" t="str">
        <f t="shared" si="14"/>
        <v>Inners</v>
      </c>
      <c r="C29" s="134" t="str">
        <f t="shared" si="14"/>
        <v>G. Piscaer</v>
      </c>
      <c r="D29" s="134" t="str">
        <f t="shared" si="14"/>
        <v>IMP</v>
      </c>
      <c r="E29" s="134">
        <f t="shared" si="30"/>
        <v>20</v>
      </c>
      <c r="F29" s="134">
        <f t="shared" si="30"/>
        <v>24</v>
      </c>
      <c r="G29" s="331">
        <f t="shared" si="15"/>
        <v>0</v>
      </c>
      <c r="H29" s="331">
        <f t="shared" si="15"/>
        <v>4</v>
      </c>
      <c r="I29" s="331">
        <f t="shared" si="15"/>
        <v>13.111111111111111</v>
      </c>
      <c r="J29" s="331">
        <f t="shared" si="11"/>
        <v>3</v>
      </c>
      <c r="K29" s="331">
        <f t="shared" si="11"/>
        <v>2</v>
      </c>
      <c r="L29" s="331">
        <f t="shared" si="11"/>
        <v>8</v>
      </c>
      <c r="M29" s="331">
        <f t="shared" si="11"/>
        <v>0</v>
      </c>
      <c r="N29" s="115">
        <f t="shared" si="11"/>
        <v>2436</v>
      </c>
      <c r="O29" s="115">
        <f t="shared" si="11"/>
        <v>2923.2</v>
      </c>
      <c r="Q29" s="329" t="s">
        <v>224</v>
      </c>
      <c r="R29" s="330" t="str">
        <f t="shared" si="12"/>
        <v>Inners</v>
      </c>
      <c r="S29" s="134" t="str">
        <f t="shared" si="17"/>
        <v>IMP</v>
      </c>
      <c r="T29" s="134">
        <f t="shared" si="31"/>
        <v>23</v>
      </c>
      <c r="U29" s="134">
        <f t="shared" si="32"/>
        <v>66</v>
      </c>
      <c r="V29" s="331">
        <f t="shared" si="18"/>
        <v>0</v>
      </c>
      <c r="W29" s="331">
        <v>10</v>
      </c>
      <c r="X29" s="331">
        <f t="shared" si="13"/>
        <v>13.111111111111111</v>
      </c>
      <c r="Y29" s="331">
        <f t="shared" si="13"/>
        <v>3</v>
      </c>
      <c r="Z29" s="331">
        <f t="shared" si="13"/>
        <v>2</v>
      </c>
      <c r="AA29" s="331">
        <f t="shared" si="13"/>
        <v>8</v>
      </c>
      <c r="AB29" s="331">
        <v>14</v>
      </c>
      <c r="AC29" s="115">
        <f>(23500+2295+125)*1.035</f>
        <v>26827.199999999997</v>
      </c>
      <c r="AD29" s="51">
        <f t="shared" si="19"/>
        <v>32192.639999999996</v>
      </c>
    </row>
    <row r="30" spans="1:33" x14ac:dyDescent="0.25">
      <c r="A30" s="329" t="str">
        <f t="shared" si="14"/>
        <v>#10</v>
      </c>
      <c r="B30" s="330" t="str">
        <f t="shared" si="14"/>
        <v>Inners</v>
      </c>
      <c r="C30" s="134" t="str">
        <f t="shared" si="14"/>
        <v>M. Bondarewski</v>
      </c>
      <c r="D30" s="134" t="str">
        <f t="shared" si="14"/>
        <v>RAP</v>
      </c>
      <c r="E30" s="134">
        <f t="shared" si="30"/>
        <v>20</v>
      </c>
      <c r="F30" s="134">
        <f t="shared" si="30"/>
        <v>24</v>
      </c>
      <c r="G30" s="331">
        <f t="shared" si="15"/>
        <v>0</v>
      </c>
      <c r="H30" s="331">
        <f t="shared" si="15"/>
        <v>2</v>
      </c>
      <c r="I30" s="331">
        <f t="shared" si="15"/>
        <v>13.2</v>
      </c>
      <c r="J30" s="331">
        <f t="shared" si="11"/>
        <v>5</v>
      </c>
      <c r="K30" s="331">
        <f t="shared" si="11"/>
        <v>4</v>
      </c>
      <c r="L30" s="331">
        <f t="shared" si="11"/>
        <v>8</v>
      </c>
      <c r="M30" s="331">
        <f t="shared" si="11"/>
        <v>6</v>
      </c>
      <c r="N30" s="115">
        <f t="shared" si="11"/>
        <v>2604</v>
      </c>
      <c r="O30" s="115">
        <f t="shared" si="11"/>
        <v>3124.7999999999997</v>
      </c>
      <c r="Q30" s="329" t="s">
        <v>176</v>
      </c>
      <c r="R30" s="330" t="str">
        <f t="shared" si="12"/>
        <v>Inners</v>
      </c>
      <c r="S30" s="134" t="str">
        <f t="shared" si="17"/>
        <v>RAP</v>
      </c>
      <c r="T30" s="134">
        <f t="shared" si="31"/>
        <v>23</v>
      </c>
      <c r="U30" s="134">
        <f t="shared" si="32"/>
        <v>66</v>
      </c>
      <c r="V30" s="331">
        <f t="shared" si="18"/>
        <v>0</v>
      </c>
      <c r="W30" s="331">
        <f>9+1/7</f>
        <v>9.1428571428571423</v>
      </c>
      <c r="X30" s="331">
        <f t="shared" si="13"/>
        <v>13.2</v>
      </c>
      <c r="Y30" s="331">
        <f t="shared" si="13"/>
        <v>5</v>
      </c>
      <c r="Z30" s="331">
        <f t="shared" si="13"/>
        <v>4</v>
      </c>
      <c r="AA30" s="331">
        <f t="shared" si="13"/>
        <v>8</v>
      </c>
      <c r="AB30" s="331">
        <v>16</v>
      </c>
      <c r="AC30" s="115">
        <f>(23500+2295+125+125)*1.043</f>
        <v>27164.934999999998</v>
      </c>
      <c r="AD30" s="51">
        <f t="shared" si="19"/>
        <v>32597.921999999995</v>
      </c>
    </row>
    <row r="31" spans="1:33" x14ac:dyDescent="0.25">
      <c r="A31" s="329" t="str">
        <f t="shared" si="14"/>
        <v>#11</v>
      </c>
      <c r="B31" s="330" t="str">
        <f t="shared" si="14"/>
        <v>Inners</v>
      </c>
      <c r="C31" s="134" t="str">
        <f t="shared" si="14"/>
        <v>P. Tuderek</v>
      </c>
      <c r="D31" s="134" t="str">
        <f t="shared" si="14"/>
        <v>CAB</v>
      </c>
      <c r="E31" s="134">
        <f t="shared" si="30"/>
        <v>20</v>
      </c>
      <c r="F31" s="134">
        <f t="shared" si="30"/>
        <v>10</v>
      </c>
      <c r="G31" s="331">
        <f t="shared" si="15"/>
        <v>0</v>
      </c>
      <c r="H31" s="331">
        <f t="shared" si="15"/>
        <v>6</v>
      </c>
      <c r="I31" s="331">
        <f t="shared" si="15"/>
        <v>12</v>
      </c>
      <c r="J31" s="331">
        <f t="shared" si="11"/>
        <v>2</v>
      </c>
      <c r="K31" s="331">
        <f t="shared" si="11"/>
        <v>3</v>
      </c>
      <c r="L31" s="331">
        <f t="shared" si="11"/>
        <v>6</v>
      </c>
      <c r="M31" s="331">
        <f t="shared" si="11"/>
        <v>8</v>
      </c>
      <c r="N31" s="115">
        <f t="shared" si="11"/>
        <v>1020</v>
      </c>
      <c r="O31" s="115">
        <f t="shared" si="11"/>
        <v>1224</v>
      </c>
      <c r="Q31" s="329" t="s">
        <v>177</v>
      </c>
      <c r="R31" s="330" t="str">
        <f t="shared" si="12"/>
        <v>Inners</v>
      </c>
      <c r="S31" s="134" t="str">
        <f t="shared" si="17"/>
        <v>CAB</v>
      </c>
      <c r="T31" s="134">
        <f t="shared" si="31"/>
        <v>23</v>
      </c>
      <c r="U31" s="134">
        <f t="shared" si="32"/>
        <v>52</v>
      </c>
      <c r="V31" s="331">
        <f t="shared" si="18"/>
        <v>0</v>
      </c>
      <c r="W31" s="331">
        <f>10+8/9</f>
        <v>10.888888888888889</v>
      </c>
      <c r="X31" s="331">
        <f t="shared" si="13"/>
        <v>12</v>
      </c>
      <c r="Y31" s="331">
        <f t="shared" si="13"/>
        <v>2</v>
      </c>
      <c r="Z31" s="331">
        <f t="shared" si="13"/>
        <v>3</v>
      </c>
      <c r="AA31" s="331">
        <f t="shared" si="13"/>
        <v>6</v>
      </c>
      <c r="AB31" s="331">
        <v>16.5</v>
      </c>
      <c r="AC31" s="115">
        <f>(20000+1020+225)*1.047</f>
        <v>22243.514999999999</v>
      </c>
      <c r="AD31" s="51">
        <f t="shared" si="19"/>
        <v>26692.217999999997</v>
      </c>
    </row>
    <row r="32" spans="1:33" x14ac:dyDescent="0.25">
      <c r="A32" s="329" t="str">
        <f t="shared" si="14"/>
        <v>#12</v>
      </c>
      <c r="B32" s="330" t="str">
        <f t="shared" si="14"/>
        <v>Inners</v>
      </c>
      <c r="C32" s="134" t="str">
        <f t="shared" si="14"/>
        <v>R. Forsyth</v>
      </c>
      <c r="D32" s="134" t="str">
        <f t="shared" si="14"/>
        <v>POT</v>
      </c>
      <c r="E32" s="134">
        <f t="shared" si="30"/>
        <v>20</v>
      </c>
      <c r="F32" s="134">
        <f t="shared" si="30"/>
        <v>65</v>
      </c>
      <c r="G32" s="331">
        <f t="shared" si="15"/>
        <v>0</v>
      </c>
      <c r="H32" s="331">
        <f t="shared" si="15"/>
        <v>7</v>
      </c>
      <c r="I32" s="331">
        <f t="shared" si="15"/>
        <v>12.222222222222221</v>
      </c>
      <c r="J32" s="331">
        <f t="shared" si="11"/>
        <v>2</v>
      </c>
      <c r="K32" s="331">
        <f t="shared" si="11"/>
        <v>4</v>
      </c>
      <c r="L32" s="331">
        <f t="shared" si="11"/>
        <v>6</v>
      </c>
      <c r="M32" s="331">
        <f t="shared" si="11"/>
        <v>2</v>
      </c>
      <c r="N32" s="115">
        <f t="shared" si="11"/>
        <v>870</v>
      </c>
      <c r="O32" s="115">
        <f t="shared" si="11"/>
        <v>1044</v>
      </c>
      <c r="Q32" s="329" t="s">
        <v>171</v>
      </c>
      <c r="R32" s="330" t="str">
        <f t="shared" si="12"/>
        <v>Inners</v>
      </c>
      <c r="S32" s="134" t="str">
        <f t="shared" si="17"/>
        <v>POT</v>
      </c>
      <c r="T32" s="134">
        <f t="shared" si="31"/>
        <v>23</v>
      </c>
      <c r="U32" s="134">
        <f t="shared" si="32"/>
        <v>107</v>
      </c>
      <c r="V32" s="331">
        <f t="shared" si="18"/>
        <v>0</v>
      </c>
      <c r="W32" s="331">
        <f>11+3/10</f>
        <v>11.3</v>
      </c>
      <c r="X32" s="331">
        <f t="shared" si="13"/>
        <v>12.222222222222221</v>
      </c>
      <c r="Y32" s="331">
        <f t="shared" si="13"/>
        <v>2</v>
      </c>
      <c r="Z32" s="331">
        <f t="shared" si="13"/>
        <v>4</v>
      </c>
      <c r="AA32" s="331">
        <f t="shared" si="13"/>
        <v>6</v>
      </c>
      <c r="AB32" s="331">
        <v>15</v>
      </c>
      <c r="AC32" s="115">
        <f>(20000+1020+225+125)*1.038</f>
        <v>22182.06</v>
      </c>
      <c r="AD32" s="51">
        <f t="shared" si="19"/>
        <v>26618.472000000002</v>
      </c>
    </row>
    <row r="33" spans="1:30" x14ac:dyDescent="0.25">
      <c r="A33" s="329" t="str">
        <f t="shared" si="14"/>
        <v>#13</v>
      </c>
      <c r="B33" s="330"/>
      <c r="C33" s="134"/>
      <c r="D33" s="134"/>
      <c r="E33" s="134"/>
      <c r="F33" s="134"/>
      <c r="G33" s="331">
        <f t="shared" ref="G33:G34" si="33">V16</f>
        <v>0</v>
      </c>
      <c r="H33" s="331">
        <v>2</v>
      </c>
      <c r="I33" s="331">
        <v>2</v>
      </c>
      <c r="J33" s="331">
        <v>2</v>
      </c>
      <c r="K33" s="331">
        <f t="shared" ref="K33:K34" si="34">Z16</f>
        <v>2</v>
      </c>
      <c r="L33" s="331">
        <f t="shared" si="11"/>
        <v>2</v>
      </c>
      <c r="M33" s="331">
        <f t="shared" si="11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8"/>
        <v>0</v>
      </c>
      <c r="W33" s="331">
        <f t="shared" si="13"/>
        <v>2</v>
      </c>
      <c r="X33" s="331">
        <f t="shared" si="13"/>
        <v>2</v>
      </c>
      <c r="Y33" s="331">
        <f t="shared" si="13"/>
        <v>2</v>
      </c>
      <c r="Z33" s="331">
        <f t="shared" si="13"/>
        <v>2</v>
      </c>
      <c r="AA33" s="331">
        <f t="shared" si="13"/>
        <v>2</v>
      </c>
      <c r="AB33" s="331">
        <v>2</v>
      </c>
      <c r="AC33" s="115">
        <f>(22400+2295)*1.048</f>
        <v>25880.36</v>
      </c>
      <c r="AD33" s="51">
        <f t="shared" si="19"/>
        <v>31056.432000000001</v>
      </c>
    </row>
    <row r="34" spans="1:30" x14ac:dyDescent="0.25">
      <c r="A34" s="329" t="str">
        <f t="shared" si="14"/>
        <v>#14</v>
      </c>
      <c r="B34" s="330"/>
      <c r="C34" s="134"/>
      <c r="D34" s="134"/>
      <c r="E34" s="134"/>
      <c r="F34" s="134"/>
      <c r="G34" s="331">
        <f t="shared" si="33"/>
        <v>0</v>
      </c>
      <c r="H34" s="331">
        <v>2</v>
      </c>
      <c r="I34" s="331">
        <v>2</v>
      </c>
      <c r="J34" s="331">
        <v>2</v>
      </c>
      <c r="K34" s="331">
        <f t="shared" si="34"/>
        <v>2</v>
      </c>
      <c r="L34" s="331">
        <f t="shared" si="11"/>
        <v>2</v>
      </c>
      <c r="M34" s="331">
        <f t="shared" si="11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8"/>
        <v>0</v>
      </c>
      <c r="W34" s="331">
        <f t="shared" si="13"/>
        <v>2</v>
      </c>
      <c r="X34" s="331">
        <f t="shared" si="13"/>
        <v>2</v>
      </c>
      <c r="Y34" s="331">
        <f t="shared" si="13"/>
        <v>2</v>
      </c>
      <c r="Z34" s="331">
        <f t="shared" si="13"/>
        <v>2</v>
      </c>
      <c r="AA34" s="331">
        <f t="shared" si="13"/>
        <v>2</v>
      </c>
      <c r="AB34" s="331">
        <v>2</v>
      </c>
      <c r="AC34" s="115">
        <f>(22400+2295)*1.048</f>
        <v>25880.36</v>
      </c>
      <c r="AD34" s="51">
        <f t="shared" si="19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5" sqref="M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5"/>
      <c r="B1" s="495"/>
      <c r="C1" s="495"/>
      <c r="D1" s="671" t="s">
        <v>645</v>
      </c>
      <c r="E1" s="672"/>
      <c r="F1" s="672"/>
      <c r="G1" s="672"/>
      <c r="H1" s="672"/>
      <c r="I1" s="673"/>
      <c r="K1" s="495"/>
      <c r="L1" s="496"/>
      <c r="M1" s="496"/>
      <c r="N1" s="497">
        <v>43637</v>
      </c>
      <c r="O1" s="497">
        <f t="shared" ref="O1:AD1" si="0">N1+7</f>
        <v>43644</v>
      </c>
      <c r="P1" s="497">
        <f t="shared" si="0"/>
        <v>43651</v>
      </c>
      <c r="Q1" s="497">
        <f t="shared" si="0"/>
        <v>43658</v>
      </c>
      <c r="R1" s="497">
        <f t="shared" si="0"/>
        <v>43665</v>
      </c>
      <c r="S1" s="570">
        <f t="shared" si="0"/>
        <v>43672</v>
      </c>
      <c r="T1" s="497">
        <f t="shared" si="0"/>
        <v>43679</v>
      </c>
      <c r="U1" s="497">
        <f t="shared" si="0"/>
        <v>43686</v>
      </c>
      <c r="V1" s="497">
        <f t="shared" si="0"/>
        <v>43693</v>
      </c>
      <c r="W1" s="497">
        <f t="shared" si="0"/>
        <v>43700</v>
      </c>
      <c r="X1" s="497">
        <f t="shared" si="0"/>
        <v>43707</v>
      </c>
      <c r="Y1" s="497">
        <f t="shared" si="0"/>
        <v>43714</v>
      </c>
      <c r="Z1" s="497">
        <f t="shared" si="0"/>
        <v>43721</v>
      </c>
      <c r="AA1" s="497">
        <f t="shared" si="0"/>
        <v>43728</v>
      </c>
      <c r="AB1" s="497">
        <f t="shared" si="0"/>
        <v>43735</v>
      </c>
      <c r="AC1" s="497">
        <f t="shared" si="0"/>
        <v>43742</v>
      </c>
      <c r="AD1" s="497">
        <f t="shared" si="0"/>
        <v>43749</v>
      </c>
    </row>
    <row r="2" spans="1:33" x14ac:dyDescent="0.25">
      <c r="A2" s="500"/>
      <c r="B2" s="500"/>
      <c r="C2" s="500"/>
      <c r="D2" s="674" t="s">
        <v>583</v>
      </c>
      <c r="E2" s="675"/>
      <c r="F2" s="676"/>
      <c r="G2" s="676"/>
      <c r="H2" s="676"/>
      <c r="I2" s="677"/>
      <c r="K2" s="498"/>
      <c r="L2" s="498"/>
      <c r="M2" s="498" t="s">
        <v>582</v>
      </c>
      <c r="N2" s="499" t="s">
        <v>43</v>
      </c>
      <c r="O2" s="499" t="s">
        <v>28</v>
      </c>
      <c r="P2" s="499" t="s">
        <v>29</v>
      </c>
      <c r="Q2" s="499" t="s">
        <v>30</v>
      </c>
      <c r="R2" s="499" t="s">
        <v>31</v>
      </c>
      <c r="S2" s="586" t="s">
        <v>32</v>
      </c>
      <c r="T2" s="499" t="s">
        <v>33</v>
      </c>
      <c r="U2" s="499" t="s">
        <v>34</v>
      </c>
      <c r="V2" s="499" t="s">
        <v>35</v>
      </c>
      <c r="W2" s="499" t="s">
        <v>36</v>
      </c>
      <c r="X2" s="499" t="s">
        <v>37</v>
      </c>
      <c r="Y2" s="499" t="s">
        <v>38</v>
      </c>
      <c r="Z2" s="499" t="s">
        <v>39</v>
      </c>
      <c r="AA2" s="499" t="s">
        <v>40</v>
      </c>
      <c r="AB2" s="499" t="s">
        <v>41</v>
      </c>
      <c r="AC2" s="499" t="s">
        <v>42</v>
      </c>
      <c r="AD2" s="499" t="s">
        <v>43</v>
      </c>
    </row>
    <row r="3" spans="1:33" ht="18.75" x14ac:dyDescent="0.3">
      <c r="A3" s="503"/>
      <c r="B3" s="503"/>
      <c r="C3" s="503"/>
      <c r="D3" s="678" t="s">
        <v>585</v>
      </c>
      <c r="E3" s="679"/>
      <c r="F3" s="619"/>
      <c r="G3" s="680" t="s">
        <v>586</v>
      </c>
      <c r="H3" s="681"/>
      <c r="I3" s="504"/>
      <c r="K3" s="492"/>
      <c r="L3" s="501"/>
      <c r="M3" s="501" t="s">
        <v>584</v>
      </c>
      <c r="N3" s="502">
        <f>3345+6</f>
        <v>3351</v>
      </c>
      <c r="O3" s="502">
        <v>3345</v>
      </c>
      <c r="P3" s="502">
        <f>O3+O11</f>
        <v>3345</v>
      </c>
      <c r="Q3" s="502">
        <f t="shared" ref="Q3:AD3" si="1">P3+P11</f>
        <v>3435</v>
      </c>
      <c r="R3" s="502">
        <f>Q3+Q11-2</f>
        <v>3433</v>
      </c>
      <c r="S3" s="571">
        <f t="shared" si="1"/>
        <v>3433</v>
      </c>
      <c r="T3" s="502">
        <f t="shared" si="1"/>
        <v>3433</v>
      </c>
      <c r="U3" s="502">
        <f t="shared" si="1"/>
        <v>3433</v>
      </c>
      <c r="V3" s="502">
        <f t="shared" si="1"/>
        <v>3433</v>
      </c>
      <c r="W3" s="502">
        <f t="shared" si="1"/>
        <v>3433</v>
      </c>
      <c r="X3" s="502">
        <f t="shared" si="1"/>
        <v>3433</v>
      </c>
      <c r="Y3" s="502">
        <f t="shared" si="1"/>
        <v>3433</v>
      </c>
      <c r="Z3" s="502">
        <f t="shared" si="1"/>
        <v>3433</v>
      </c>
      <c r="AA3" s="502">
        <f t="shared" si="1"/>
        <v>3433</v>
      </c>
      <c r="AB3" s="502">
        <f t="shared" si="1"/>
        <v>3433</v>
      </c>
      <c r="AC3" s="502">
        <f t="shared" si="1"/>
        <v>3433</v>
      </c>
      <c r="AD3" s="502">
        <f t="shared" si="1"/>
        <v>3433</v>
      </c>
    </row>
    <row r="4" spans="1:33" ht="18.75" x14ac:dyDescent="0.3">
      <c r="A4" s="503"/>
      <c r="B4" s="503"/>
      <c r="C4" s="503"/>
      <c r="D4" s="513"/>
      <c r="E4" s="523"/>
      <c r="F4" s="555"/>
      <c r="G4" s="509"/>
      <c r="H4" s="555"/>
      <c r="I4" s="510"/>
      <c r="K4" s="587" t="s">
        <v>640</v>
      </c>
      <c r="L4" s="587"/>
      <c r="M4" s="588">
        <f>10164100+500000</f>
        <v>10664100</v>
      </c>
      <c r="N4" s="589">
        <f>M4</f>
        <v>10664100</v>
      </c>
      <c r="O4" s="589">
        <f>N4-N13+N23</f>
        <v>10164100</v>
      </c>
      <c r="P4" s="589">
        <f t="shared" ref="P4:AD4" si="2">O4-O13+O23</f>
        <v>9664100</v>
      </c>
      <c r="Q4" s="589">
        <f t="shared" si="2"/>
        <v>9164100</v>
      </c>
      <c r="R4" s="589">
        <f t="shared" si="2"/>
        <v>8664100</v>
      </c>
      <c r="S4" s="589">
        <f t="shared" si="2"/>
        <v>8164100</v>
      </c>
      <c r="T4" s="589">
        <f t="shared" si="2"/>
        <v>7664100</v>
      </c>
      <c r="U4" s="589">
        <f t="shared" si="2"/>
        <v>7164100</v>
      </c>
      <c r="V4" s="589">
        <f t="shared" si="2"/>
        <v>6664100</v>
      </c>
      <c r="W4" s="589">
        <f t="shared" si="2"/>
        <v>6164100</v>
      </c>
      <c r="X4" s="589">
        <f t="shared" si="2"/>
        <v>5664100</v>
      </c>
      <c r="Y4" s="589">
        <f t="shared" si="2"/>
        <v>5164100</v>
      </c>
      <c r="Z4" s="589">
        <f t="shared" si="2"/>
        <v>4664100</v>
      </c>
      <c r="AA4" s="589">
        <f t="shared" si="2"/>
        <v>4164100</v>
      </c>
      <c r="AB4" s="589">
        <f t="shared" si="2"/>
        <v>3664100</v>
      </c>
      <c r="AC4" s="589">
        <f t="shared" si="2"/>
        <v>3164100</v>
      </c>
      <c r="AD4" s="589">
        <f t="shared" si="2"/>
        <v>2664100</v>
      </c>
    </row>
    <row r="5" spans="1:33" ht="18.75" x14ac:dyDescent="0.3">
      <c r="A5" s="508"/>
      <c r="B5" s="508"/>
      <c r="C5" s="508"/>
      <c r="D5" s="513" t="s">
        <v>589</v>
      </c>
      <c r="E5" s="514">
        <f>SUM(E6:E8)</f>
        <v>8627340</v>
      </c>
      <c r="F5" s="593">
        <f>E5/E35</f>
        <v>0.10662584879735491</v>
      </c>
      <c r="G5" s="513" t="s">
        <v>590</v>
      </c>
      <c r="H5" s="603">
        <f>H6+H7</f>
        <v>63454367</v>
      </c>
      <c r="I5" s="515">
        <f>H5/$H$35</f>
        <v>0.78423659450930039</v>
      </c>
      <c r="K5" s="505" t="s">
        <v>587</v>
      </c>
      <c r="L5" s="505"/>
      <c r="M5" s="506">
        <f>16859431-5919847+1711665-500000</f>
        <v>12151249</v>
      </c>
      <c r="N5" s="507">
        <f>M5</f>
        <v>12151249</v>
      </c>
      <c r="O5" s="507">
        <f t="shared" ref="O5:AD5" si="3">N26</f>
        <v>16853431</v>
      </c>
      <c r="P5" s="507">
        <f t="shared" si="3"/>
        <v>11755916</v>
      </c>
      <c r="Q5" s="507">
        <f t="shared" si="3"/>
        <v>12415332</v>
      </c>
      <c r="R5" s="507">
        <f t="shared" si="3"/>
        <v>13710711</v>
      </c>
      <c r="S5" s="507">
        <f t="shared" si="3"/>
        <v>14306291</v>
      </c>
      <c r="T5" s="507">
        <f t="shared" si="3"/>
        <v>16625519</v>
      </c>
      <c r="U5" s="507">
        <f t="shared" si="3"/>
        <v>17197346</v>
      </c>
      <c r="V5" s="507">
        <f t="shared" si="3"/>
        <v>18069173</v>
      </c>
      <c r="W5" s="507">
        <f t="shared" si="3"/>
        <v>18641000</v>
      </c>
      <c r="X5" s="507">
        <f t="shared" si="3"/>
        <v>19512827</v>
      </c>
      <c r="Y5" s="507">
        <f t="shared" si="3"/>
        <v>20084654</v>
      </c>
      <c r="Z5" s="507">
        <f t="shared" si="3"/>
        <v>20956481</v>
      </c>
      <c r="AA5" s="507">
        <f t="shared" si="3"/>
        <v>21528308</v>
      </c>
      <c r="AB5" s="507">
        <f t="shared" si="3"/>
        <v>22400135</v>
      </c>
      <c r="AC5" s="507">
        <f t="shared" si="3"/>
        <v>22971962</v>
      </c>
      <c r="AD5" s="507">
        <f t="shared" si="3"/>
        <v>23543789</v>
      </c>
    </row>
    <row r="6" spans="1:33" x14ac:dyDescent="0.25">
      <c r="A6" s="511" t="str">
        <f t="shared" ref="A6:A13" si="4">L6</f>
        <v>Taquillas</v>
      </c>
      <c r="B6" s="512">
        <f t="shared" ref="B6:B13" si="5">M6/$M$14</f>
        <v>0.13695454470105958</v>
      </c>
      <c r="D6" s="516" t="s">
        <v>592</v>
      </c>
      <c r="E6" s="517">
        <v>4158040</v>
      </c>
      <c r="F6" s="594">
        <f>E6/E35</f>
        <v>5.1389483239718571E-2</v>
      </c>
      <c r="G6" s="518" t="s">
        <v>593</v>
      </c>
      <c r="H6" s="604">
        <v>300000</v>
      </c>
      <c r="I6" s="519">
        <f>H6/$H$35</f>
        <v>3.707719255205715E-3</v>
      </c>
      <c r="K6" s="567" t="s">
        <v>588</v>
      </c>
      <c r="L6" s="567" t="s">
        <v>588</v>
      </c>
      <c r="M6" s="584">
        <f t="shared" ref="M6:M25" si="6">SUM(N6:AD6)</f>
        <v>3122989</v>
      </c>
      <c r="N6" s="652">
        <v>27384</v>
      </c>
      <c r="O6" s="652">
        <f>2819+34650</f>
        <v>37469</v>
      </c>
      <c r="P6" s="652">
        <v>34650</v>
      </c>
      <c r="Q6" s="652">
        <f>734316+34267</f>
        <v>768583</v>
      </c>
      <c r="R6" s="652">
        <f>60291</f>
        <v>60291</v>
      </c>
      <c r="S6" s="568">
        <v>664612</v>
      </c>
      <c r="T6" s="568">
        <v>30000</v>
      </c>
      <c r="U6" s="568">
        <v>330000</v>
      </c>
      <c r="V6" s="568">
        <v>30000</v>
      </c>
      <c r="W6" s="568">
        <v>330000</v>
      </c>
      <c r="X6" s="568">
        <v>30000</v>
      </c>
      <c r="Y6" s="568">
        <v>330000</v>
      </c>
      <c r="Z6" s="568">
        <v>30000</v>
      </c>
      <c r="AA6" s="568">
        <v>330000</v>
      </c>
      <c r="AB6" s="568">
        <v>30000</v>
      </c>
      <c r="AC6" s="568">
        <v>30000</v>
      </c>
      <c r="AD6" s="568">
        <v>30000</v>
      </c>
    </row>
    <row r="7" spans="1:33" x14ac:dyDescent="0.25">
      <c r="A7" s="511" t="str">
        <f t="shared" si="4"/>
        <v>Patrocinadores</v>
      </c>
      <c r="B7" s="512">
        <f t="shared" si="5"/>
        <v>0.18784432261113904</v>
      </c>
      <c r="D7" s="516" t="s">
        <v>596</v>
      </c>
      <c r="E7" s="517">
        <f>1916000+300+2553000</f>
        <v>4469300</v>
      </c>
      <c r="F7" s="594">
        <f>E7/E35</f>
        <v>5.5236365557636342E-2</v>
      </c>
      <c r="G7" s="518" t="s">
        <v>597</v>
      </c>
      <c r="H7" s="604">
        <f>63609618-455251</f>
        <v>63154367</v>
      </c>
      <c r="I7" s="519">
        <f>H7/$H$35</f>
        <v>0.78052887525409465</v>
      </c>
      <c r="K7" s="567" t="s">
        <v>591</v>
      </c>
      <c r="L7" s="567" t="s">
        <v>591</v>
      </c>
      <c r="M7" s="584">
        <f t="shared" si="6"/>
        <v>4283434</v>
      </c>
      <c r="N7" s="653">
        <v>270844</v>
      </c>
      <c r="O7" s="653">
        <v>187040</v>
      </c>
      <c r="P7" s="653">
        <v>224225</v>
      </c>
      <c r="Q7" s="653">
        <v>246055</v>
      </c>
      <c r="R7" s="653">
        <v>257710</v>
      </c>
      <c r="S7" s="569">
        <v>263630</v>
      </c>
      <c r="T7" s="569">
        <f t="shared" ref="T7:AD7" si="7">S7-1000</f>
        <v>262630</v>
      </c>
      <c r="U7" s="569">
        <f t="shared" si="7"/>
        <v>261630</v>
      </c>
      <c r="V7" s="569">
        <f t="shared" si="7"/>
        <v>260630</v>
      </c>
      <c r="W7" s="569">
        <f t="shared" si="7"/>
        <v>259630</v>
      </c>
      <c r="X7" s="569">
        <f t="shared" si="7"/>
        <v>258630</v>
      </c>
      <c r="Y7" s="569">
        <f t="shared" si="7"/>
        <v>257630</v>
      </c>
      <c r="Z7" s="569">
        <f t="shared" si="7"/>
        <v>256630</v>
      </c>
      <c r="AA7" s="569">
        <f t="shared" si="7"/>
        <v>255630</v>
      </c>
      <c r="AB7" s="569">
        <f t="shared" si="7"/>
        <v>254630</v>
      </c>
      <c r="AC7" s="569">
        <f t="shared" si="7"/>
        <v>253630</v>
      </c>
      <c r="AD7" s="569">
        <f t="shared" si="7"/>
        <v>252630</v>
      </c>
    </row>
    <row r="8" spans="1:33" x14ac:dyDescent="0.25">
      <c r="A8" s="511" t="str">
        <f t="shared" si="4"/>
        <v>Ventas</v>
      </c>
      <c r="B8" s="512">
        <f t="shared" si="5"/>
        <v>0.17082054523624984</v>
      </c>
      <c r="D8" s="520" t="s">
        <v>599</v>
      </c>
      <c r="E8" s="521">
        <v>0</v>
      </c>
      <c r="F8" s="594">
        <f>E8/E35</f>
        <v>0</v>
      </c>
      <c r="G8" s="524"/>
      <c r="H8" s="602"/>
      <c r="I8" s="515"/>
      <c r="K8" s="567" t="s">
        <v>594</v>
      </c>
      <c r="L8" s="567" t="s">
        <v>595</v>
      </c>
      <c r="M8" s="584">
        <f t="shared" si="6"/>
        <v>3895239</v>
      </c>
      <c r="N8" s="652">
        <f>959086+1751596+1184557</f>
        <v>3895239</v>
      </c>
      <c r="O8" s="652">
        <v>0</v>
      </c>
      <c r="P8" s="652">
        <v>0</v>
      </c>
      <c r="Q8" s="652">
        <v>0</v>
      </c>
      <c r="R8" s="652">
        <v>0</v>
      </c>
      <c r="S8" s="568">
        <v>0</v>
      </c>
      <c r="T8" s="568">
        <v>0</v>
      </c>
      <c r="U8" s="568">
        <v>0</v>
      </c>
      <c r="V8" s="568">
        <v>0</v>
      </c>
      <c r="W8" s="568">
        <v>0</v>
      </c>
      <c r="X8" s="568">
        <v>0</v>
      </c>
      <c r="Y8" s="568">
        <v>0</v>
      </c>
      <c r="Z8" s="568">
        <v>0</v>
      </c>
      <c r="AA8" s="568">
        <v>0</v>
      </c>
      <c r="AB8" s="568">
        <v>0</v>
      </c>
      <c r="AC8" s="568">
        <v>0</v>
      </c>
      <c r="AD8" s="568">
        <v>0</v>
      </c>
      <c r="AF8" s="494"/>
      <c r="AG8" s="494"/>
    </row>
    <row r="9" spans="1:33" x14ac:dyDescent="0.25">
      <c r="A9" s="511" t="str">
        <f t="shared" si="4"/>
        <v>VentasCantera</v>
      </c>
      <c r="B9" s="512">
        <f t="shared" si="5"/>
        <v>6.5241112329171291E-2</v>
      </c>
      <c r="D9" s="522"/>
      <c r="E9" s="523"/>
      <c r="F9" s="593"/>
      <c r="G9" s="524"/>
      <c r="H9" s="602"/>
      <c r="I9" s="515"/>
      <c r="K9" s="567"/>
      <c r="L9" s="567" t="s">
        <v>598</v>
      </c>
      <c r="M9" s="584">
        <f t="shared" si="6"/>
        <v>1487700</v>
      </c>
      <c r="N9" s="652">
        <f>515850</f>
        <v>515850</v>
      </c>
      <c r="O9" s="652">
        <v>0</v>
      </c>
      <c r="P9" s="652">
        <v>0</v>
      </c>
      <c r="Q9" s="652">
        <v>0</v>
      </c>
      <c r="R9" s="652">
        <v>950</v>
      </c>
      <c r="S9" s="568">
        <v>970900</v>
      </c>
      <c r="T9" s="568">
        <v>0</v>
      </c>
      <c r="U9" s="568">
        <v>0</v>
      </c>
      <c r="V9" s="568">
        <v>0</v>
      </c>
      <c r="W9" s="568">
        <v>0</v>
      </c>
      <c r="X9" s="568">
        <v>0</v>
      </c>
      <c r="Y9" s="568">
        <v>0</v>
      </c>
      <c r="Z9" s="568">
        <v>0</v>
      </c>
      <c r="AA9" s="568">
        <v>0</v>
      </c>
      <c r="AB9" s="568">
        <v>0</v>
      </c>
      <c r="AC9" s="568">
        <v>0</v>
      </c>
      <c r="AD9" s="568">
        <v>0</v>
      </c>
    </row>
    <row r="10" spans="1:33" x14ac:dyDescent="0.25">
      <c r="A10" s="511" t="str">
        <f t="shared" si="4"/>
        <v>Comisiones</v>
      </c>
      <c r="B10" s="512">
        <f t="shared" si="5"/>
        <v>9.7848073854500343E-3</v>
      </c>
      <c r="D10" s="513" t="s">
        <v>642</v>
      </c>
      <c r="E10" s="514">
        <f>E11+E12+E13</f>
        <v>2164100</v>
      </c>
      <c r="F10" s="593">
        <f>E10/E35</f>
        <v>2.6746250800635626E-2</v>
      </c>
      <c r="G10" s="513" t="s">
        <v>604</v>
      </c>
      <c r="H10" s="603">
        <f>SUM(H11:H16)</f>
        <v>6619169</v>
      </c>
      <c r="I10" s="515">
        <f t="shared" ref="I10:I16" si="8">H10/$H$35</f>
        <v>8.1806734515869187E-2</v>
      </c>
      <c r="K10" s="567" t="s">
        <v>600</v>
      </c>
      <c r="L10" s="567" t="s">
        <v>600</v>
      </c>
      <c r="M10" s="584">
        <f t="shared" si="6"/>
        <v>223124</v>
      </c>
      <c r="N10" s="653">
        <v>60000</v>
      </c>
      <c r="O10" s="653">
        <f>15320+1915</f>
        <v>17235</v>
      </c>
      <c r="P10" s="653">
        <v>120000</v>
      </c>
      <c r="Q10" s="653">
        <v>0</v>
      </c>
      <c r="R10" s="653">
        <v>0</v>
      </c>
      <c r="S10" s="569">
        <v>3889</v>
      </c>
      <c r="T10" s="569">
        <v>2000</v>
      </c>
      <c r="U10" s="569">
        <f t="shared" ref="U10:AD10" si="9">T10</f>
        <v>2000</v>
      </c>
      <c r="V10" s="569">
        <f t="shared" si="9"/>
        <v>2000</v>
      </c>
      <c r="W10" s="569">
        <f t="shared" si="9"/>
        <v>2000</v>
      </c>
      <c r="X10" s="569">
        <f t="shared" si="9"/>
        <v>2000</v>
      </c>
      <c r="Y10" s="569">
        <f t="shared" si="9"/>
        <v>2000</v>
      </c>
      <c r="Z10" s="569">
        <f t="shared" si="9"/>
        <v>2000</v>
      </c>
      <c r="AA10" s="569">
        <f t="shared" si="9"/>
        <v>2000</v>
      </c>
      <c r="AB10" s="569">
        <f t="shared" si="9"/>
        <v>2000</v>
      </c>
      <c r="AC10" s="569">
        <f t="shared" si="9"/>
        <v>2000</v>
      </c>
      <c r="AD10" s="569">
        <f t="shared" si="9"/>
        <v>2000</v>
      </c>
    </row>
    <row r="11" spans="1:33" x14ac:dyDescent="0.25">
      <c r="A11" s="511" t="str">
        <f t="shared" si="4"/>
        <v>Nuevos Socios</v>
      </c>
      <c r="B11" s="512">
        <f t="shared" si="5"/>
        <v>4.4125567806420759E-3</v>
      </c>
      <c r="D11" s="525" t="s">
        <v>647</v>
      </c>
      <c r="E11" s="526">
        <f>N4</f>
        <v>10664100</v>
      </c>
      <c r="F11" s="594">
        <f>E11/E35</f>
        <v>0.13179829636479756</v>
      </c>
      <c r="G11" s="548" t="s">
        <v>607</v>
      </c>
      <c r="H11" s="616">
        <v>0</v>
      </c>
      <c r="I11" s="519">
        <f t="shared" si="8"/>
        <v>0</v>
      </c>
      <c r="K11" s="684" t="s">
        <v>601</v>
      </c>
      <c r="L11" s="567" t="s">
        <v>602</v>
      </c>
      <c r="M11" s="584">
        <f t="shared" si="6"/>
        <v>100620</v>
      </c>
      <c r="N11" s="653">
        <v>100530</v>
      </c>
      <c r="O11" s="653">
        <v>0</v>
      </c>
      <c r="P11" s="653">
        <f>30+60</f>
        <v>90</v>
      </c>
      <c r="Q11" s="653">
        <v>0</v>
      </c>
      <c r="R11" s="653">
        <f t="shared" ref="R11:AD11" si="10">Q11</f>
        <v>0</v>
      </c>
      <c r="S11" s="569">
        <f t="shared" si="10"/>
        <v>0</v>
      </c>
      <c r="T11" s="569">
        <f t="shared" si="10"/>
        <v>0</v>
      </c>
      <c r="U11" s="569">
        <f t="shared" si="10"/>
        <v>0</v>
      </c>
      <c r="V11" s="569">
        <f t="shared" si="10"/>
        <v>0</v>
      </c>
      <c r="W11" s="569">
        <f t="shared" si="10"/>
        <v>0</v>
      </c>
      <c r="X11" s="569">
        <f t="shared" si="10"/>
        <v>0</v>
      </c>
      <c r="Y11" s="569">
        <f t="shared" si="10"/>
        <v>0</v>
      </c>
      <c r="Z11" s="569">
        <f t="shared" si="10"/>
        <v>0</v>
      </c>
      <c r="AA11" s="569">
        <f t="shared" si="10"/>
        <v>0</v>
      </c>
      <c r="AB11" s="569">
        <f t="shared" si="10"/>
        <v>0</v>
      </c>
      <c r="AC11" s="569">
        <f t="shared" si="10"/>
        <v>0</v>
      </c>
      <c r="AD11" s="569">
        <f t="shared" si="10"/>
        <v>0</v>
      </c>
    </row>
    <row r="12" spans="1:33" x14ac:dyDescent="0.25">
      <c r="A12" s="511" t="str">
        <f t="shared" si="4"/>
        <v>Premios</v>
      </c>
      <c r="B12" s="512">
        <f t="shared" si="5"/>
        <v>5.2185873275333632E-2</v>
      </c>
      <c r="D12" s="525" t="str">
        <f>L13</f>
        <v>Ing Reservas</v>
      </c>
      <c r="E12" s="526">
        <f>M13*-1</f>
        <v>-8500000</v>
      </c>
      <c r="F12" s="594">
        <f>E12/E35</f>
        <v>-0.10505204556416192</v>
      </c>
      <c r="G12" s="617" t="s">
        <v>609</v>
      </c>
      <c r="H12" s="618">
        <v>0</v>
      </c>
      <c r="I12" s="592">
        <f t="shared" si="8"/>
        <v>0</v>
      </c>
      <c r="K12" s="685"/>
      <c r="L12" s="567" t="s">
        <v>605</v>
      </c>
      <c r="M12" s="584">
        <f t="shared" si="6"/>
        <v>1190000</v>
      </c>
      <c r="N12" s="653">
        <v>1050000</v>
      </c>
      <c r="O12" s="653">
        <v>0</v>
      </c>
      <c r="P12" s="653">
        <v>0</v>
      </c>
      <c r="Q12" s="653">
        <v>0</v>
      </c>
      <c r="R12" s="653">
        <v>0</v>
      </c>
      <c r="S12" s="569">
        <v>140000</v>
      </c>
      <c r="T12" s="569">
        <v>0</v>
      </c>
      <c r="U12" s="569">
        <v>0</v>
      </c>
      <c r="V12" s="569">
        <v>0</v>
      </c>
      <c r="W12" s="569">
        <v>0</v>
      </c>
      <c r="X12" s="569">
        <v>0</v>
      </c>
      <c r="Y12" s="569">
        <v>0</v>
      </c>
      <c r="Z12" s="569">
        <v>0</v>
      </c>
      <c r="AA12" s="569">
        <v>0</v>
      </c>
      <c r="AB12" s="569">
        <v>0</v>
      </c>
      <c r="AC12" s="569">
        <v>0</v>
      </c>
      <c r="AD12" s="569">
        <v>0</v>
      </c>
    </row>
    <row r="13" spans="1:33" s="583" customFormat="1" ht="18.75" x14ac:dyDescent="0.3">
      <c r="A13" s="511" t="str">
        <f t="shared" si="4"/>
        <v>Ing Reservas</v>
      </c>
      <c r="B13" s="512">
        <f t="shared" si="5"/>
        <v>0.37275623768095451</v>
      </c>
      <c r="C13" s="581"/>
      <c r="D13" s="525" t="str">
        <f>L23</f>
        <v>Pago Reservas</v>
      </c>
      <c r="E13" s="526">
        <f>M23</f>
        <v>0</v>
      </c>
      <c r="F13" s="594">
        <f>E13/E35</f>
        <v>0</v>
      </c>
      <c r="G13" s="548" t="s">
        <v>612</v>
      </c>
      <c r="H13" s="616">
        <f>515850+950+970900</f>
        <v>1487700</v>
      </c>
      <c r="I13" s="519">
        <f t="shared" si="8"/>
        <v>1.838657978656514E-2</v>
      </c>
      <c r="K13" s="686"/>
      <c r="L13" s="567" t="s">
        <v>643</v>
      </c>
      <c r="M13" s="584">
        <f t="shared" si="6"/>
        <v>8500000</v>
      </c>
      <c r="N13" s="653">
        <v>500000</v>
      </c>
      <c r="O13" s="653">
        <f>N13</f>
        <v>500000</v>
      </c>
      <c r="P13" s="653">
        <f t="shared" ref="P13:AD13" si="11">O13</f>
        <v>500000</v>
      </c>
      <c r="Q13" s="653">
        <f t="shared" si="11"/>
        <v>500000</v>
      </c>
      <c r="R13" s="653">
        <f t="shared" si="11"/>
        <v>500000</v>
      </c>
      <c r="S13" s="569">
        <f t="shared" si="11"/>
        <v>500000</v>
      </c>
      <c r="T13" s="569">
        <f t="shared" si="11"/>
        <v>500000</v>
      </c>
      <c r="U13" s="569">
        <f t="shared" si="11"/>
        <v>500000</v>
      </c>
      <c r="V13" s="569">
        <f t="shared" si="11"/>
        <v>500000</v>
      </c>
      <c r="W13" s="569">
        <f t="shared" si="11"/>
        <v>500000</v>
      </c>
      <c r="X13" s="569">
        <f t="shared" si="11"/>
        <v>500000</v>
      </c>
      <c r="Y13" s="569">
        <f t="shared" si="11"/>
        <v>500000</v>
      </c>
      <c r="Z13" s="569">
        <f t="shared" si="11"/>
        <v>500000</v>
      </c>
      <c r="AA13" s="569">
        <f t="shared" si="11"/>
        <v>500000</v>
      </c>
      <c r="AB13" s="569">
        <f t="shared" si="11"/>
        <v>500000</v>
      </c>
      <c r="AC13" s="569">
        <f t="shared" si="11"/>
        <v>500000</v>
      </c>
      <c r="AD13" s="569">
        <f t="shared" si="11"/>
        <v>500000</v>
      </c>
    </row>
    <row r="14" spans="1:33" ht="18.75" x14ac:dyDescent="0.3">
      <c r="A14" s="581"/>
      <c r="B14" s="582">
        <f>SUM(B6:B13)</f>
        <v>1</v>
      </c>
      <c r="D14" s="522"/>
      <c r="E14" s="596"/>
      <c r="G14" s="548" t="s">
        <v>615</v>
      </c>
      <c r="H14" s="616">
        <f>959086-941000-910+1751596-1140-1841100+1184557-1900-1169788</f>
        <v>-60599</v>
      </c>
      <c r="I14" s="519">
        <f t="shared" si="8"/>
        <v>-7.4894693048737043E-4</v>
      </c>
      <c r="K14" s="578" t="s">
        <v>608</v>
      </c>
      <c r="L14" s="579"/>
      <c r="M14" s="585">
        <f t="shared" si="6"/>
        <v>22803106</v>
      </c>
      <c r="N14" s="580">
        <f>SUM(N6:N13)</f>
        <v>6419847</v>
      </c>
      <c r="O14" s="580">
        <f t="shared" ref="O14:AD14" si="12">SUM(O6:O13)</f>
        <v>741744</v>
      </c>
      <c r="P14" s="580">
        <f t="shared" si="12"/>
        <v>878965</v>
      </c>
      <c r="Q14" s="580">
        <f t="shared" si="12"/>
        <v>1514638</v>
      </c>
      <c r="R14" s="580">
        <f t="shared" si="12"/>
        <v>818951</v>
      </c>
      <c r="S14" s="580">
        <f t="shared" si="12"/>
        <v>2543031</v>
      </c>
      <c r="T14" s="580">
        <f t="shared" si="12"/>
        <v>794630</v>
      </c>
      <c r="U14" s="580">
        <f t="shared" si="12"/>
        <v>1093630</v>
      </c>
      <c r="V14" s="580">
        <f t="shared" si="12"/>
        <v>792630</v>
      </c>
      <c r="W14" s="580">
        <f t="shared" si="12"/>
        <v>1091630</v>
      </c>
      <c r="X14" s="580">
        <f t="shared" si="12"/>
        <v>790630</v>
      </c>
      <c r="Y14" s="580">
        <f t="shared" si="12"/>
        <v>1089630</v>
      </c>
      <c r="Z14" s="580">
        <f t="shared" si="12"/>
        <v>788630</v>
      </c>
      <c r="AA14" s="580">
        <f t="shared" si="12"/>
        <v>1087630</v>
      </c>
      <c r="AB14" s="580">
        <f t="shared" si="12"/>
        <v>786630</v>
      </c>
      <c r="AC14" s="580">
        <f t="shared" si="12"/>
        <v>785630</v>
      </c>
      <c r="AD14" s="580">
        <f t="shared" si="12"/>
        <v>784630</v>
      </c>
    </row>
    <row r="15" spans="1:33" ht="18.75" x14ac:dyDescent="0.3">
      <c r="A15" s="682">
        <f>M14</f>
        <v>22803106</v>
      </c>
      <c r="B15" s="682"/>
      <c r="D15" s="513" t="s">
        <v>603</v>
      </c>
      <c r="E15" s="514">
        <f>SUM(E16:E19)</f>
        <v>35166480</v>
      </c>
      <c r="F15" s="593">
        <f>E15/E35</f>
        <v>0.43462478344602223</v>
      </c>
      <c r="G15" s="548" t="s">
        <v>617</v>
      </c>
      <c r="H15" s="616">
        <v>0</v>
      </c>
      <c r="I15" s="519">
        <f t="shared" si="8"/>
        <v>0</v>
      </c>
      <c r="K15" s="574" t="s">
        <v>610</v>
      </c>
      <c r="L15" s="575" t="str">
        <f>K15</f>
        <v>Sueldos</v>
      </c>
      <c r="M15" s="527">
        <f t="shared" si="6"/>
        <v>1389690</v>
      </c>
      <c r="N15" s="654">
        <v>82664</v>
      </c>
      <c r="O15" s="654">
        <v>79866</v>
      </c>
      <c r="P15" s="654">
        <v>85172</v>
      </c>
      <c r="Q15" s="654">
        <v>84882</v>
      </c>
      <c r="R15" s="654">
        <v>85994</v>
      </c>
      <c r="S15" s="572">
        <v>86426</v>
      </c>
      <c r="T15" s="572">
        <f t="shared" ref="T15:AD15" si="13">S15-1000</f>
        <v>85426</v>
      </c>
      <c r="U15" s="572">
        <f t="shared" si="13"/>
        <v>84426</v>
      </c>
      <c r="V15" s="572">
        <f t="shared" si="13"/>
        <v>83426</v>
      </c>
      <c r="W15" s="572">
        <f t="shared" si="13"/>
        <v>82426</v>
      </c>
      <c r="X15" s="572">
        <f t="shared" si="13"/>
        <v>81426</v>
      </c>
      <c r="Y15" s="572">
        <f t="shared" si="13"/>
        <v>80426</v>
      </c>
      <c r="Z15" s="572">
        <f t="shared" si="13"/>
        <v>79426</v>
      </c>
      <c r="AA15" s="572">
        <f t="shared" si="13"/>
        <v>78426</v>
      </c>
      <c r="AB15" s="572">
        <f t="shared" si="13"/>
        <v>77426</v>
      </c>
      <c r="AC15" s="572">
        <f t="shared" si="13"/>
        <v>76426</v>
      </c>
      <c r="AD15" s="572">
        <f t="shared" si="13"/>
        <v>75426</v>
      </c>
    </row>
    <row r="16" spans="1:33" x14ac:dyDescent="0.25">
      <c r="D16" s="525" t="s">
        <v>606</v>
      </c>
      <c r="E16" s="526">
        <v>0</v>
      </c>
      <c r="F16" s="594">
        <f>E16/E35</f>
        <v>0</v>
      </c>
      <c r="G16" s="611" t="s">
        <v>619</v>
      </c>
      <c r="H16" s="605">
        <f>E29-H26</f>
        <v>5192068</v>
      </c>
      <c r="I16" s="519">
        <f t="shared" si="8"/>
        <v>6.4169101659791422E-2</v>
      </c>
      <c r="K16" s="574" t="s">
        <v>613</v>
      </c>
      <c r="L16" s="575" t="str">
        <f>K16</f>
        <v xml:space="preserve">Mantenimiento </v>
      </c>
      <c r="M16" s="527">
        <f t="shared" si="6"/>
        <v>834649</v>
      </c>
      <c r="N16" s="654">
        <v>49097</v>
      </c>
      <c r="O16" s="654">
        <f>N16</f>
        <v>49097</v>
      </c>
      <c r="P16" s="654">
        <f t="shared" ref="P16:AD16" si="14">O16</f>
        <v>49097</v>
      </c>
      <c r="Q16" s="654">
        <f t="shared" si="14"/>
        <v>49097</v>
      </c>
      <c r="R16" s="654">
        <f t="shared" si="14"/>
        <v>49097</v>
      </c>
      <c r="S16" s="572">
        <f t="shared" si="14"/>
        <v>49097</v>
      </c>
      <c r="T16" s="572">
        <f t="shared" si="14"/>
        <v>49097</v>
      </c>
      <c r="U16" s="572">
        <f t="shared" si="14"/>
        <v>49097</v>
      </c>
      <c r="V16" s="572">
        <f t="shared" si="14"/>
        <v>49097</v>
      </c>
      <c r="W16" s="572">
        <f t="shared" si="14"/>
        <v>49097</v>
      </c>
      <c r="X16" s="572">
        <f t="shared" si="14"/>
        <v>49097</v>
      </c>
      <c r="Y16" s="572">
        <f t="shared" si="14"/>
        <v>49097</v>
      </c>
      <c r="Z16" s="572">
        <f t="shared" si="14"/>
        <v>49097</v>
      </c>
      <c r="AA16" s="572">
        <f t="shared" si="14"/>
        <v>49097</v>
      </c>
      <c r="AB16" s="572">
        <f t="shared" si="14"/>
        <v>49097</v>
      </c>
      <c r="AC16" s="572">
        <f t="shared" si="14"/>
        <v>49097</v>
      </c>
      <c r="AD16" s="572">
        <f t="shared" si="14"/>
        <v>49097</v>
      </c>
    </row>
    <row r="17" spans="1:30" ht="15.75" customHeight="1" x14ac:dyDescent="0.25">
      <c r="D17" s="590" t="s">
        <v>603</v>
      </c>
      <c r="E17" s="591">
        <f>11662680+35000</f>
        <v>11697680</v>
      </c>
      <c r="F17" s="595">
        <f>E17/E35</f>
        <v>0.14457237792411595</v>
      </c>
      <c r="G17" s="522"/>
      <c r="H17" s="602"/>
      <c r="I17" s="531"/>
      <c r="K17" s="574" t="s">
        <v>616</v>
      </c>
      <c r="L17" s="575" t="s">
        <v>592</v>
      </c>
      <c r="M17" s="527">
        <f t="shared" si="6"/>
        <v>0</v>
      </c>
      <c r="N17" s="654">
        <v>0</v>
      </c>
      <c r="O17" s="654">
        <v>0</v>
      </c>
      <c r="P17" s="654">
        <v>0</v>
      </c>
      <c r="Q17" s="654">
        <v>0</v>
      </c>
      <c r="R17" s="654">
        <v>0</v>
      </c>
      <c r="S17" s="572">
        <v>0</v>
      </c>
      <c r="T17" s="572">
        <v>0</v>
      </c>
      <c r="U17" s="572">
        <v>0</v>
      </c>
      <c r="V17" s="572">
        <v>0</v>
      </c>
      <c r="W17" s="572">
        <v>0</v>
      </c>
      <c r="X17" s="572">
        <v>0</v>
      </c>
      <c r="Y17" s="572">
        <v>0</v>
      </c>
      <c r="Z17" s="572">
        <v>0</v>
      </c>
      <c r="AA17" s="572">
        <v>0</v>
      </c>
      <c r="AB17" s="572">
        <v>0</v>
      </c>
      <c r="AC17" s="572">
        <v>0</v>
      </c>
      <c r="AD17" s="572">
        <v>0</v>
      </c>
    </row>
    <row r="18" spans="1:30" x14ac:dyDescent="0.25">
      <c r="D18" s="525" t="s">
        <v>611</v>
      </c>
      <c r="E18" s="526">
        <f>3852540+924+1308000+870+4689000+1490+1887000+1044+740000+948+2327000+684</f>
        <v>14809500</v>
      </c>
      <c r="F18" s="594">
        <f>E18/E35</f>
        <v>0.18303156103323012</v>
      </c>
      <c r="G18" s="513" t="s">
        <v>623</v>
      </c>
      <c r="H18" s="606">
        <f>H19</f>
        <v>7110640</v>
      </c>
      <c r="I18" s="515">
        <f>H18/$H$35</f>
        <v>8.7880856149453221E-2</v>
      </c>
      <c r="K18" s="574" t="s">
        <v>618</v>
      </c>
      <c r="L18" s="575" t="str">
        <f>K18</f>
        <v>Empleados</v>
      </c>
      <c r="M18" s="527">
        <f t="shared" si="6"/>
        <v>1109760</v>
      </c>
      <c r="N18" s="654">
        <v>65280</v>
      </c>
      <c r="O18" s="654">
        <f>N18</f>
        <v>65280</v>
      </c>
      <c r="P18" s="654">
        <f t="shared" ref="P18:AD18" si="15">O18</f>
        <v>65280</v>
      </c>
      <c r="Q18" s="654">
        <f t="shared" si="15"/>
        <v>65280</v>
      </c>
      <c r="R18" s="654">
        <f t="shared" si="15"/>
        <v>65280</v>
      </c>
      <c r="S18" s="572">
        <f t="shared" si="15"/>
        <v>65280</v>
      </c>
      <c r="T18" s="572">
        <f t="shared" si="15"/>
        <v>65280</v>
      </c>
      <c r="U18" s="572">
        <f t="shared" si="15"/>
        <v>65280</v>
      </c>
      <c r="V18" s="572">
        <f t="shared" si="15"/>
        <v>65280</v>
      </c>
      <c r="W18" s="572">
        <f t="shared" si="15"/>
        <v>65280</v>
      </c>
      <c r="X18" s="572">
        <f t="shared" si="15"/>
        <v>65280</v>
      </c>
      <c r="Y18" s="572">
        <f t="shared" si="15"/>
        <v>65280</v>
      </c>
      <c r="Z18" s="572">
        <f t="shared" si="15"/>
        <v>65280</v>
      </c>
      <c r="AA18" s="572">
        <f t="shared" si="15"/>
        <v>65280</v>
      </c>
      <c r="AB18" s="572">
        <f t="shared" si="15"/>
        <v>65280</v>
      </c>
      <c r="AC18" s="572">
        <f t="shared" si="15"/>
        <v>65280</v>
      </c>
      <c r="AD18" s="572">
        <f t="shared" si="15"/>
        <v>65280</v>
      </c>
    </row>
    <row r="19" spans="1:30" x14ac:dyDescent="0.25">
      <c r="D19" s="525" t="s">
        <v>614</v>
      </c>
      <c r="E19" s="526">
        <f>1486140+2484+1548000+660+3600000+3132+2017000+1884</f>
        <v>8659300</v>
      </c>
      <c r="F19" s="594">
        <f>E19/E35</f>
        <v>0.10702084448867616</v>
      </c>
      <c r="G19" s="532" t="s">
        <v>622</v>
      </c>
      <c r="H19" s="607">
        <f>M20</f>
        <v>7110640</v>
      </c>
      <c r="I19" s="519">
        <f>H19/$H$35</f>
        <v>8.7880856149453221E-2</v>
      </c>
      <c r="K19" s="574" t="s">
        <v>620</v>
      </c>
      <c r="L19" s="575" t="str">
        <f>K19</f>
        <v>Juveniles</v>
      </c>
      <c r="M19" s="527">
        <f t="shared" si="6"/>
        <v>340000</v>
      </c>
      <c r="N19" s="654">
        <v>20000</v>
      </c>
      <c r="O19" s="654">
        <f>N19</f>
        <v>20000</v>
      </c>
      <c r="P19" s="654">
        <f t="shared" ref="P19:AD19" si="16">O19</f>
        <v>20000</v>
      </c>
      <c r="Q19" s="654">
        <f t="shared" si="16"/>
        <v>20000</v>
      </c>
      <c r="R19" s="654">
        <f t="shared" si="16"/>
        <v>20000</v>
      </c>
      <c r="S19" s="572">
        <f t="shared" si="16"/>
        <v>20000</v>
      </c>
      <c r="T19" s="572">
        <f t="shared" si="16"/>
        <v>20000</v>
      </c>
      <c r="U19" s="572">
        <f t="shared" si="16"/>
        <v>20000</v>
      </c>
      <c r="V19" s="572">
        <f t="shared" si="16"/>
        <v>20000</v>
      </c>
      <c r="W19" s="572">
        <f t="shared" si="16"/>
        <v>20000</v>
      </c>
      <c r="X19" s="572">
        <f t="shared" si="16"/>
        <v>20000</v>
      </c>
      <c r="Y19" s="572">
        <f t="shared" si="16"/>
        <v>20000</v>
      </c>
      <c r="Z19" s="572">
        <f t="shared" si="16"/>
        <v>20000</v>
      </c>
      <c r="AA19" s="572">
        <f t="shared" si="16"/>
        <v>20000</v>
      </c>
      <c r="AB19" s="572">
        <f t="shared" si="16"/>
        <v>20000</v>
      </c>
      <c r="AC19" s="572">
        <f t="shared" si="16"/>
        <v>20000</v>
      </c>
      <c r="AD19" s="572">
        <f t="shared" si="16"/>
        <v>20000</v>
      </c>
    </row>
    <row r="20" spans="1:30" x14ac:dyDescent="0.25">
      <c r="D20" s="522"/>
      <c r="E20" s="596"/>
      <c r="F20" s="599"/>
      <c r="G20" s="528"/>
      <c r="H20" s="608"/>
      <c r="I20" s="533"/>
      <c r="K20" s="574" t="s">
        <v>621</v>
      </c>
      <c r="L20" s="575" t="s">
        <v>622</v>
      </c>
      <c r="M20" s="527">
        <f t="shared" si="6"/>
        <v>7110640</v>
      </c>
      <c r="N20" s="654">
        <f>1486140+2484</f>
        <v>1488624</v>
      </c>
      <c r="O20" s="654">
        <f>3600000+3132+2017000+1884</f>
        <v>5622016</v>
      </c>
      <c r="P20" s="654">
        <v>0</v>
      </c>
      <c r="Q20" s="654">
        <f t="shared" ref="Q20:AD20" si="17">P20</f>
        <v>0</v>
      </c>
      <c r="R20" s="654">
        <f t="shared" si="17"/>
        <v>0</v>
      </c>
      <c r="S20" s="572">
        <f t="shared" si="17"/>
        <v>0</v>
      </c>
      <c r="T20" s="572">
        <f t="shared" si="17"/>
        <v>0</v>
      </c>
      <c r="U20" s="572">
        <f t="shared" si="17"/>
        <v>0</v>
      </c>
      <c r="V20" s="572">
        <f t="shared" si="17"/>
        <v>0</v>
      </c>
      <c r="W20" s="572">
        <f t="shared" si="17"/>
        <v>0</v>
      </c>
      <c r="X20" s="572">
        <f t="shared" si="17"/>
        <v>0</v>
      </c>
      <c r="Y20" s="572">
        <f t="shared" si="17"/>
        <v>0</v>
      </c>
      <c r="Z20" s="572">
        <f t="shared" si="17"/>
        <v>0</v>
      </c>
      <c r="AA20" s="572">
        <f t="shared" si="17"/>
        <v>0</v>
      </c>
      <c r="AB20" s="572">
        <f t="shared" si="17"/>
        <v>0</v>
      </c>
      <c r="AC20" s="572">
        <f t="shared" si="17"/>
        <v>0</v>
      </c>
      <c r="AD20" s="572">
        <f t="shared" si="17"/>
        <v>0</v>
      </c>
    </row>
    <row r="21" spans="1:30" x14ac:dyDescent="0.25">
      <c r="D21" s="513" t="s">
        <v>595</v>
      </c>
      <c r="E21" s="530">
        <f>E22</f>
        <v>5382939</v>
      </c>
      <c r="F21" s="593">
        <f>E21/E35</f>
        <v>6.6528088599659321E-2</v>
      </c>
      <c r="G21" s="528"/>
      <c r="H21" s="608"/>
      <c r="I21" s="533"/>
      <c r="K21" s="687" t="s">
        <v>601</v>
      </c>
      <c r="L21" s="575" t="s">
        <v>596</v>
      </c>
      <c r="M21" s="527">
        <f t="shared" si="6"/>
        <v>0</v>
      </c>
      <c r="N21" s="654">
        <v>0</v>
      </c>
      <c r="O21" s="654">
        <f>N21</f>
        <v>0</v>
      </c>
      <c r="P21" s="654">
        <f t="shared" ref="P21:AD21" si="18">O21</f>
        <v>0</v>
      </c>
      <c r="Q21" s="654">
        <f t="shared" si="18"/>
        <v>0</v>
      </c>
      <c r="R21" s="654">
        <f t="shared" si="18"/>
        <v>0</v>
      </c>
      <c r="S21" s="572">
        <f t="shared" si="18"/>
        <v>0</v>
      </c>
      <c r="T21" s="572">
        <f t="shared" si="18"/>
        <v>0</v>
      </c>
      <c r="U21" s="572">
        <f t="shared" si="18"/>
        <v>0</v>
      </c>
      <c r="V21" s="572">
        <f t="shared" si="18"/>
        <v>0</v>
      </c>
      <c r="W21" s="572">
        <f t="shared" si="18"/>
        <v>0</v>
      </c>
      <c r="X21" s="572">
        <f t="shared" si="18"/>
        <v>0</v>
      </c>
      <c r="Y21" s="572">
        <f t="shared" si="18"/>
        <v>0</v>
      </c>
      <c r="Z21" s="572">
        <f t="shared" si="18"/>
        <v>0</v>
      </c>
      <c r="AA21" s="572">
        <f t="shared" si="18"/>
        <v>0</v>
      </c>
      <c r="AB21" s="572">
        <f t="shared" si="18"/>
        <v>0</v>
      </c>
      <c r="AC21" s="572">
        <f t="shared" si="18"/>
        <v>0</v>
      </c>
      <c r="AD21" s="572">
        <f t="shared" si="18"/>
        <v>0</v>
      </c>
    </row>
    <row r="22" spans="1:30" x14ac:dyDescent="0.25">
      <c r="D22" s="525" t="s">
        <v>595</v>
      </c>
      <c r="E22" s="526">
        <f>M8+M9</f>
        <v>5382939</v>
      </c>
      <c r="F22" s="594">
        <f>E22/E35</f>
        <v>6.6528088599659321E-2</v>
      </c>
      <c r="G22" s="513" t="s">
        <v>627</v>
      </c>
      <c r="H22" s="603">
        <f>SUM(H23:H24)</f>
        <v>0</v>
      </c>
      <c r="I22" s="515">
        <f>H22/$H$35</f>
        <v>0</v>
      </c>
      <c r="K22" s="688"/>
      <c r="L22" s="575" t="s">
        <v>624</v>
      </c>
      <c r="M22" s="527">
        <f t="shared" si="6"/>
        <v>54000</v>
      </c>
      <c r="N22" s="654">
        <v>12000</v>
      </c>
      <c r="O22" s="654">
        <v>3000</v>
      </c>
      <c r="P22" s="654">
        <v>0</v>
      </c>
      <c r="Q22" s="654">
        <v>0</v>
      </c>
      <c r="R22" s="654">
        <v>3000</v>
      </c>
      <c r="S22" s="572">
        <f t="shared" ref="S22:AD22" si="19">R22</f>
        <v>3000</v>
      </c>
      <c r="T22" s="572">
        <f t="shared" si="19"/>
        <v>3000</v>
      </c>
      <c r="U22" s="572">
        <f t="shared" si="19"/>
        <v>3000</v>
      </c>
      <c r="V22" s="572">
        <f t="shared" si="19"/>
        <v>3000</v>
      </c>
      <c r="W22" s="572">
        <f t="shared" si="19"/>
        <v>3000</v>
      </c>
      <c r="X22" s="572">
        <f t="shared" si="19"/>
        <v>3000</v>
      </c>
      <c r="Y22" s="572">
        <f t="shared" si="19"/>
        <v>3000</v>
      </c>
      <c r="Z22" s="572">
        <f t="shared" si="19"/>
        <v>3000</v>
      </c>
      <c r="AA22" s="572">
        <f t="shared" si="19"/>
        <v>3000</v>
      </c>
      <c r="AB22" s="572">
        <f t="shared" si="19"/>
        <v>3000</v>
      </c>
      <c r="AC22" s="572">
        <f t="shared" si="19"/>
        <v>3000</v>
      </c>
      <c r="AD22" s="572">
        <f t="shared" si="19"/>
        <v>3000</v>
      </c>
    </row>
    <row r="23" spans="1:30" ht="18.75" x14ac:dyDescent="0.3">
      <c r="C23" s="535"/>
      <c r="D23" s="522"/>
      <c r="E23" s="596"/>
      <c r="F23" s="599"/>
      <c r="G23" s="532" t="s">
        <v>592</v>
      </c>
      <c r="H23" s="609">
        <f>M17</f>
        <v>0</v>
      </c>
      <c r="I23" s="519">
        <f>H23/$H$35</f>
        <v>0</v>
      </c>
      <c r="K23" s="689"/>
      <c r="L23" s="575" t="s">
        <v>641</v>
      </c>
      <c r="M23" s="527">
        <f t="shared" si="6"/>
        <v>0</v>
      </c>
      <c r="N23" s="654">
        <v>0</v>
      </c>
      <c r="O23" s="654">
        <f>N23</f>
        <v>0</v>
      </c>
      <c r="P23" s="654">
        <f t="shared" ref="P23:AD24" si="20">O23</f>
        <v>0</v>
      </c>
      <c r="Q23" s="654">
        <f t="shared" si="20"/>
        <v>0</v>
      </c>
      <c r="R23" s="654">
        <f t="shared" si="20"/>
        <v>0</v>
      </c>
      <c r="S23" s="572">
        <f t="shared" si="20"/>
        <v>0</v>
      </c>
      <c r="T23" s="572">
        <f t="shared" si="20"/>
        <v>0</v>
      </c>
      <c r="U23" s="572">
        <f t="shared" si="20"/>
        <v>0</v>
      </c>
      <c r="V23" s="572">
        <f t="shared" si="20"/>
        <v>0</v>
      </c>
      <c r="W23" s="572">
        <f t="shared" si="20"/>
        <v>0</v>
      </c>
      <c r="X23" s="572">
        <f t="shared" si="20"/>
        <v>0</v>
      </c>
      <c r="Y23" s="572">
        <f t="shared" si="20"/>
        <v>0</v>
      </c>
      <c r="Z23" s="572">
        <f t="shared" si="20"/>
        <v>0</v>
      </c>
      <c r="AA23" s="572">
        <f t="shared" si="20"/>
        <v>0</v>
      </c>
      <c r="AB23" s="572">
        <f t="shared" si="20"/>
        <v>0</v>
      </c>
      <c r="AC23" s="572">
        <f t="shared" si="20"/>
        <v>0</v>
      </c>
      <c r="AD23" s="572">
        <f t="shared" si="20"/>
        <v>0</v>
      </c>
    </row>
    <row r="24" spans="1:30" ht="18.75" x14ac:dyDescent="0.3">
      <c r="A24" s="536" t="str">
        <f t="shared" ref="A24:A31" si="21">L15</f>
        <v>Sueldos</v>
      </c>
      <c r="B24" s="537">
        <f t="shared" ref="B24:B31" si="22">M15/$M$25</f>
        <v>0.12821509956093602</v>
      </c>
      <c r="C24" s="508"/>
      <c r="D24" s="513" t="s">
        <v>646</v>
      </c>
      <c r="E24" s="514">
        <f>E25+E26-E27</f>
        <v>20651249</v>
      </c>
      <c r="F24" s="593">
        <f>E24/E35</f>
        <v>0.25523011187115924</v>
      </c>
      <c r="G24" s="532" t="s">
        <v>596</v>
      </c>
      <c r="H24" s="609">
        <f>M21</f>
        <v>0</v>
      </c>
      <c r="I24" s="519">
        <f>H24/$H$35</f>
        <v>0</v>
      </c>
      <c r="K24" s="574" t="s">
        <v>625</v>
      </c>
      <c r="L24" s="575" t="str">
        <f>K24</f>
        <v>Intereses</v>
      </c>
      <c r="M24" s="527">
        <f t="shared" si="6"/>
        <v>0</v>
      </c>
      <c r="N24" s="654">
        <v>0</v>
      </c>
      <c r="O24" s="654">
        <f t="shared" ref="O24" si="23">N24</f>
        <v>0</v>
      </c>
      <c r="P24" s="654">
        <f t="shared" si="20"/>
        <v>0</v>
      </c>
      <c r="Q24" s="654">
        <f t="shared" si="20"/>
        <v>0</v>
      </c>
      <c r="R24" s="654">
        <f t="shared" si="20"/>
        <v>0</v>
      </c>
      <c r="S24" s="572">
        <f t="shared" si="20"/>
        <v>0</v>
      </c>
      <c r="T24" s="572">
        <f t="shared" si="20"/>
        <v>0</v>
      </c>
      <c r="U24" s="572">
        <f t="shared" si="20"/>
        <v>0</v>
      </c>
      <c r="V24" s="572">
        <f t="shared" si="20"/>
        <v>0</v>
      </c>
      <c r="W24" s="572">
        <f t="shared" si="20"/>
        <v>0</v>
      </c>
      <c r="X24" s="572">
        <f t="shared" si="20"/>
        <v>0</v>
      </c>
      <c r="Y24" s="572">
        <f t="shared" si="20"/>
        <v>0</v>
      </c>
      <c r="Z24" s="572">
        <f t="shared" si="20"/>
        <v>0</v>
      </c>
      <c r="AA24" s="572">
        <f t="shared" si="20"/>
        <v>0</v>
      </c>
      <c r="AB24" s="572">
        <f t="shared" si="20"/>
        <v>0</v>
      </c>
      <c r="AC24" s="572">
        <f t="shared" si="20"/>
        <v>0</v>
      </c>
      <c r="AD24" s="572">
        <f t="shared" si="20"/>
        <v>0</v>
      </c>
    </row>
    <row r="25" spans="1:30" ht="18.75" x14ac:dyDescent="0.3">
      <c r="A25" s="536" t="str">
        <f t="shared" si="21"/>
        <v xml:space="preserve">Mantenimiento </v>
      </c>
      <c r="B25" s="537">
        <f t="shared" si="22"/>
        <v>7.7006098218621186E-2</v>
      </c>
      <c r="C25" s="495"/>
      <c r="D25" s="548" t="s">
        <v>648</v>
      </c>
      <c r="E25" s="549">
        <f>N5</f>
        <v>12151249</v>
      </c>
      <c r="F25" s="594">
        <f>E25/E35</f>
        <v>0.15017806630699729</v>
      </c>
      <c r="G25" s="542"/>
      <c r="H25" s="610"/>
      <c r="I25" s="543"/>
      <c r="K25" s="576" t="s">
        <v>626</v>
      </c>
      <c r="L25" s="577"/>
      <c r="M25" s="534">
        <f t="shared" si="6"/>
        <v>10838739</v>
      </c>
      <c r="N25" s="573">
        <f>SUM(N15:N24)</f>
        <v>1717665</v>
      </c>
      <c r="O25" s="573">
        <f t="shared" ref="O25:AD25" si="24">SUM(O15:O24)</f>
        <v>5839259</v>
      </c>
      <c r="P25" s="573">
        <f t="shared" si="24"/>
        <v>219549</v>
      </c>
      <c r="Q25" s="573">
        <f t="shared" si="24"/>
        <v>219259</v>
      </c>
      <c r="R25" s="573">
        <f t="shared" si="24"/>
        <v>223371</v>
      </c>
      <c r="S25" s="573">
        <f t="shared" si="24"/>
        <v>223803</v>
      </c>
      <c r="T25" s="573">
        <f t="shared" si="24"/>
        <v>222803</v>
      </c>
      <c r="U25" s="573">
        <f t="shared" si="24"/>
        <v>221803</v>
      </c>
      <c r="V25" s="573">
        <f t="shared" si="24"/>
        <v>220803</v>
      </c>
      <c r="W25" s="573">
        <f t="shared" si="24"/>
        <v>219803</v>
      </c>
      <c r="X25" s="573">
        <f t="shared" si="24"/>
        <v>218803</v>
      </c>
      <c r="Y25" s="573">
        <f t="shared" si="24"/>
        <v>217803</v>
      </c>
      <c r="Z25" s="573">
        <f t="shared" si="24"/>
        <v>216803</v>
      </c>
      <c r="AA25" s="573">
        <f t="shared" si="24"/>
        <v>215803</v>
      </c>
      <c r="AB25" s="573">
        <f t="shared" si="24"/>
        <v>214803</v>
      </c>
      <c r="AC25" s="573">
        <f t="shared" si="24"/>
        <v>213803</v>
      </c>
      <c r="AD25" s="573">
        <f t="shared" si="24"/>
        <v>212803</v>
      </c>
    </row>
    <row r="26" spans="1:30" ht="18.75" x14ac:dyDescent="0.3">
      <c r="A26" s="536" t="str">
        <f t="shared" si="21"/>
        <v>Estadio</v>
      </c>
      <c r="B26" s="537">
        <f t="shared" si="22"/>
        <v>0</v>
      </c>
      <c r="C26" s="503"/>
      <c r="D26" s="548" t="str">
        <f>D12</f>
        <v>Ing Reservas</v>
      </c>
      <c r="E26" s="549">
        <f>M13</f>
        <v>8500000</v>
      </c>
      <c r="F26" s="594">
        <f>E26/E35</f>
        <v>0.10505204556416192</v>
      </c>
      <c r="G26" s="513" t="s">
        <v>630</v>
      </c>
      <c r="H26" s="603">
        <f>SUM(H27:H32)</f>
        <v>3728099</v>
      </c>
      <c r="I26" s="515">
        <f t="shared" ref="I26:I32" si="25">H26/$H$35</f>
        <v>4.6075814825377238E-2</v>
      </c>
      <c r="K26" s="538" t="s">
        <v>628</v>
      </c>
      <c r="L26" s="538"/>
      <c r="M26" s="507">
        <f t="shared" ref="M26:AD26" si="26">M5+M14-M25</f>
        <v>24115616</v>
      </c>
      <c r="N26" s="507">
        <f t="shared" si="26"/>
        <v>16853431</v>
      </c>
      <c r="O26" s="507">
        <f t="shared" si="26"/>
        <v>11755916</v>
      </c>
      <c r="P26" s="507">
        <f t="shared" si="26"/>
        <v>12415332</v>
      </c>
      <c r="Q26" s="507">
        <f t="shared" si="26"/>
        <v>13710711</v>
      </c>
      <c r="R26" s="507">
        <f t="shared" si="26"/>
        <v>14306291</v>
      </c>
      <c r="S26" s="507">
        <f t="shared" si="26"/>
        <v>16625519</v>
      </c>
      <c r="T26" s="507">
        <f t="shared" si="26"/>
        <v>17197346</v>
      </c>
      <c r="U26" s="507">
        <f t="shared" si="26"/>
        <v>18069173</v>
      </c>
      <c r="V26" s="507">
        <f t="shared" si="26"/>
        <v>18641000</v>
      </c>
      <c r="W26" s="507">
        <f t="shared" si="26"/>
        <v>19512827</v>
      </c>
      <c r="X26" s="507">
        <f t="shared" si="26"/>
        <v>20084654</v>
      </c>
      <c r="Y26" s="507">
        <f t="shared" si="26"/>
        <v>20956481</v>
      </c>
      <c r="Z26" s="507">
        <f t="shared" si="26"/>
        <v>21528308</v>
      </c>
      <c r="AA26" s="507">
        <f t="shared" si="26"/>
        <v>22400135</v>
      </c>
      <c r="AB26" s="507">
        <f t="shared" si="26"/>
        <v>22971962</v>
      </c>
      <c r="AC26" s="507">
        <f t="shared" si="26"/>
        <v>23543789</v>
      </c>
      <c r="AD26" s="507">
        <f t="shared" si="26"/>
        <v>24115616</v>
      </c>
    </row>
    <row r="27" spans="1:30" x14ac:dyDescent="0.25">
      <c r="A27" s="536" t="str">
        <f t="shared" si="21"/>
        <v>Empleados</v>
      </c>
      <c r="B27" s="537">
        <f t="shared" si="22"/>
        <v>0.10238829443166775</v>
      </c>
      <c r="C27" s="500"/>
      <c r="D27" s="548" t="str">
        <f>D13</f>
        <v>Pago Reservas</v>
      </c>
      <c r="E27" s="549">
        <f>M23*-1</f>
        <v>0</v>
      </c>
      <c r="F27" s="594">
        <f>E27/E35</f>
        <v>0</v>
      </c>
      <c r="G27" s="532" t="s">
        <v>632</v>
      </c>
      <c r="H27" s="609">
        <f>M15</f>
        <v>1389690</v>
      </c>
      <c r="I27" s="519">
        <f t="shared" si="25"/>
        <v>1.7175267905889434E-2</v>
      </c>
      <c r="K27" s="539"/>
      <c r="L27" s="539"/>
      <c r="M27" s="539"/>
      <c r="N27" s="540">
        <f>N1+7</f>
        <v>43644</v>
      </c>
      <c r="O27" s="540">
        <f t="shared" ref="O27:AD27" si="27">N27+7</f>
        <v>43651</v>
      </c>
      <c r="P27" s="540">
        <f t="shared" si="27"/>
        <v>43658</v>
      </c>
      <c r="Q27" s="540">
        <f t="shared" si="27"/>
        <v>43665</v>
      </c>
      <c r="R27" s="540">
        <f t="shared" si="27"/>
        <v>43672</v>
      </c>
      <c r="S27" s="540">
        <f t="shared" si="27"/>
        <v>43679</v>
      </c>
      <c r="T27" s="540">
        <f t="shared" si="27"/>
        <v>43686</v>
      </c>
      <c r="U27" s="540">
        <f t="shared" si="27"/>
        <v>43693</v>
      </c>
      <c r="V27" s="540">
        <f t="shared" si="27"/>
        <v>43700</v>
      </c>
      <c r="W27" s="540">
        <f t="shared" si="27"/>
        <v>43707</v>
      </c>
      <c r="X27" s="540">
        <f t="shared" si="27"/>
        <v>43714</v>
      </c>
      <c r="Y27" s="540">
        <f t="shared" si="27"/>
        <v>43721</v>
      </c>
      <c r="Z27" s="540">
        <f t="shared" si="27"/>
        <v>43728</v>
      </c>
      <c r="AA27" s="540">
        <f t="shared" si="27"/>
        <v>43735</v>
      </c>
      <c r="AB27" s="540">
        <f t="shared" si="27"/>
        <v>43742</v>
      </c>
      <c r="AC27" s="540">
        <f t="shared" si="27"/>
        <v>43749</v>
      </c>
      <c r="AD27" s="540">
        <f t="shared" si="27"/>
        <v>43756</v>
      </c>
    </row>
    <row r="28" spans="1:30" x14ac:dyDescent="0.25">
      <c r="A28" s="536" t="str">
        <f t="shared" si="21"/>
        <v>Juveniles</v>
      </c>
      <c r="B28" s="537">
        <f t="shared" si="22"/>
        <v>3.1368962754800167E-2</v>
      </c>
      <c r="C28" s="503"/>
      <c r="D28" s="528"/>
      <c r="E28" s="529"/>
      <c r="F28" s="594"/>
      <c r="G28" s="532" t="s">
        <v>613</v>
      </c>
      <c r="H28" s="609">
        <f>M16</f>
        <v>834649</v>
      </c>
      <c r="I28" s="519">
        <f t="shared" si="25"/>
        <v>1.0315480562127317E-2</v>
      </c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</row>
    <row r="29" spans="1:30" x14ac:dyDescent="0.25">
      <c r="A29" s="536" t="str">
        <f t="shared" si="21"/>
        <v>Compra</v>
      </c>
      <c r="B29" s="537">
        <f t="shared" si="22"/>
        <v>0.65603941565527135</v>
      </c>
      <c r="D29" s="513" t="s">
        <v>629</v>
      </c>
      <c r="E29" s="514">
        <f>SUM(E30:E34)</f>
        <v>8920167</v>
      </c>
      <c r="F29" s="593">
        <f>E29/E35</f>
        <v>0.11024491648516865</v>
      </c>
      <c r="G29" s="532" t="s">
        <v>618</v>
      </c>
      <c r="H29" s="609">
        <f>M18</f>
        <v>1109760</v>
      </c>
      <c r="I29" s="519">
        <f t="shared" si="25"/>
        <v>1.3715595068856981E-2</v>
      </c>
      <c r="K29" s="544"/>
      <c r="L29" s="544"/>
      <c r="M29" s="545" t="s">
        <v>603</v>
      </c>
      <c r="N29" s="546"/>
      <c r="O29" s="546">
        <v>22</v>
      </c>
      <c r="P29" s="546">
        <v>25</v>
      </c>
      <c r="Q29" s="546">
        <v>24</v>
      </c>
      <c r="R29" s="546">
        <v>25</v>
      </c>
      <c r="S29" s="546">
        <v>24</v>
      </c>
      <c r="T29" s="546"/>
      <c r="U29" s="546"/>
      <c r="V29" s="546"/>
      <c r="W29" s="546"/>
      <c r="X29" s="546"/>
      <c r="Y29" s="546"/>
      <c r="Z29" s="546"/>
      <c r="AA29" s="546"/>
      <c r="AB29" s="546"/>
      <c r="AC29" s="546"/>
      <c r="AD29" s="546"/>
    </row>
    <row r="30" spans="1:30" x14ac:dyDescent="0.25">
      <c r="A30" s="536" t="str">
        <f t="shared" si="21"/>
        <v>Entrenador</v>
      </c>
      <c r="B30" s="537">
        <f t="shared" si="22"/>
        <v>0</v>
      </c>
      <c r="D30" s="548" t="s">
        <v>584</v>
      </c>
      <c r="E30" s="549">
        <f>M11</f>
        <v>100620</v>
      </c>
      <c r="F30" s="594">
        <f>E30/E35</f>
        <v>1.2435690381959969E-3</v>
      </c>
      <c r="G30" s="532" t="s">
        <v>620</v>
      </c>
      <c r="H30" s="609">
        <f>M19</f>
        <v>340000</v>
      </c>
      <c r="I30" s="519">
        <f t="shared" si="25"/>
        <v>4.2020818225664775E-3</v>
      </c>
      <c r="K30" s="492"/>
      <c r="L30" s="690" t="s">
        <v>631</v>
      </c>
      <c r="M30" s="547" t="s">
        <v>73</v>
      </c>
      <c r="N30" s="546"/>
      <c r="O30" s="546">
        <v>345970</v>
      </c>
      <c r="P30" s="546">
        <v>414040</v>
      </c>
      <c r="Q30" s="546">
        <v>409350</v>
      </c>
      <c r="R30" s="546">
        <v>405290</v>
      </c>
      <c r="S30" s="546">
        <v>401840</v>
      </c>
      <c r="T30" s="546"/>
      <c r="U30" s="546"/>
      <c r="V30" s="546"/>
      <c r="W30" s="546"/>
      <c r="X30" s="546"/>
      <c r="Y30" s="546"/>
      <c r="Z30" s="546"/>
      <c r="AA30" s="546"/>
      <c r="AB30" s="546"/>
      <c r="AC30" s="546"/>
      <c r="AD30" s="546"/>
    </row>
    <row r="31" spans="1:30" x14ac:dyDescent="0.25">
      <c r="A31" s="536" t="str">
        <f t="shared" si="21"/>
        <v>Viajes+Venta</v>
      </c>
      <c r="B31" s="537">
        <f t="shared" si="22"/>
        <v>4.9821293787035556E-3</v>
      </c>
      <c r="D31" s="548" t="s">
        <v>605</v>
      </c>
      <c r="E31" s="549">
        <f>M12</f>
        <v>1190000</v>
      </c>
      <c r="F31" s="594">
        <f>E31/E35</f>
        <v>1.470728637898267E-2</v>
      </c>
      <c r="G31" s="532" t="s">
        <v>624</v>
      </c>
      <c r="H31" s="609">
        <f>M22</f>
        <v>54000</v>
      </c>
      <c r="I31" s="519">
        <f t="shared" si="25"/>
        <v>6.6738946593702876E-4</v>
      </c>
      <c r="K31" s="492"/>
      <c r="L31" s="690"/>
      <c r="M31" s="547" t="s">
        <v>65</v>
      </c>
      <c r="N31" s="546"/>
      <c r="O31" s="546">
        <v>79566</v>
      </c>
      <c r="P31" s="546">
        <v>84872</v>
      </c>
      <c r="Q31" s="546">
        <v>85038</v>
      </c>
      <c r="R31" s="546">
        <v>86476</v>
      </c>
      <c r="S31" s="546">
        <v>86476</v>
      </c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</row>
    <row r="32" spans="1:30" x14ac:dyDescent="0.25">
      <c r="A32" s="536" t="str">
        <f>L24</f>
        <v>Intereses</v>
      </c>
      <c r="B32" s="537">
        <f>M24/$M$25</f>
        <v>0</v>
      </c>
      <c r="D32" s="548" t="s">
        <v>588</v>
      </c>
      <c r="E32" s="549">
        <f>M6</f>
        <v>3122989</v>
      </c>
      <c r="F32" s="594">
        <f>E32/E35</f>
        <v>3.8597221496985468E-2</v>
      </c>
      <c r="G32" s="532" t="s">
        <v>625</v>
      </c>
      <c r="H32" s="609">
        <f>M24</f>
        <v>0</v>
      </c>
      <c r="I32" s="519">
        <f t="shared" si="25"/>
        <v>0</v>
      </c>
      <c r="K32" s="492"/>
      <c r="L32" s="690"/>
      <c r="M32" s="547" t="s">
        <v>633</v>
      </c>
      <c r="N32" s="546"/>
      <c r="O32" s="546">
        <v>280250</v>
      </c>
      <c r="P32" s="546">
        <v>325260</v>
      </c>
      <c r="Q32" s="546">
        <v>321450</v>
      </c>
      <c r="R32" s="546">
        <v>315120</v>
      </c>
      <c r="S32" s="546">
        <v>307290</v>
      </c>
      <c r="T32" s="546"/>
      <c r="U32" s="546"/>
      <c r="V32" s="546"/>
      <c r="W32" s="546"/>
      <c r="X32" s="546"/>
      <c r="Y32" s="546"/>
      <c r="Z32" s="546"/>
      <c r="AA32" s="546"/>
      <c r="AB32" s="546"/>
      <c r="AC32" s="546"/>
      <c r="AD32" s="546"/>
    </row>
    <row r="33" spans="1:30" ht="18.75" x14ac:dyDescent="0.3">
      <c r="A33" s="503"/>
      <c r="B33" s="551">
        <f>SUM(B24:B32)</f>
        <v>1</v>
      </c>
      <c r="D33" s="548" t="s">
        <v>591</v>
      </c>
      <c r="E33" s="549">
        <f>M7</f>
        <v>4283434</v>
      </c>
      <c r="F33" s="594">
        <f>E33/E35</f>
        <v>5.2939235734009459E-2</v>
      </c>
      <c r="G33" s="528"/>
      <c r="H33" s="608"/>
      <c r="I33" s="533"/>
      <c r="K33" s="492"/>
      <c r="L33" s="690"/>
      <c r="M33" s="547" t="s">
        <v>634</v>
      </c>
      <c r="N33" s="546"/>
      <c r="O33" s="546">
        <v>65410</v>
      </c>
      <c r="P33" s="546">
        <v>60046</v>
      </c>
      <c r="Q33" s="546">
        <v>58040</v>
      </c>
      <c r="R33" s="546">
        <v>59634</v>
      </c>
      <c r="S33" s="546">
        <v>58794</v>
      </c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</row>
    <row r="34" spans="1:30" ht="18.75" x14ac:dyDescent="0.3">
      <c r="A34" s="500"/>
      <c r="B34" s="553"/>
      <c r="D34" s="597" t="s">
        <v>600</v>
      </c>
      <c r="E34" s="598">
        <f>M10</f>
        <v>223124</v>
      </c>
      <c r="F34" s="594">
        <f>E34/E35</f>
        <v>2.7576038369950665E-3</v>
      </c>
      <c r="G34" s="614"/>
      <c r="H34" s="615"/>
      <c r="I34" s="613"/>
      <c r="K34" s="492"/>
      <c r="L34" s="690"/>
      <c r="M34" s="547" t="s">
        <v>635</v>
      </c>
      <c r="N34" s="550"/>
      <c r="O34" s="550" t="s">
        <v>644</v>
      </c>
      <c r="P34" s="550" t="s">
        <v>651</v>
      </c>
      <c r="Q34" s="550" t="s">
        <v>655</v>
      </c>
      <c r="R34" s="550" t="s">
        <v>658</v>
      </c>
      <c r="S34" s="550" t="s">
        <v>669</v>
      </c>
      <c r="T34" s="550"/>
      <c r="U34" s="550"/>
      <c r="V34" s="550"/>
      <c r="W34" s="550"/>
      <c r="X34" s="550"/>
      <c r="Y34" s="550"/>
      <c r="Z34" s="550"/>
      <c r="AA34" s="550"/>
      <c r="AB34" s="550"/>
      <c r="AC34" s="550"/>
      <c r="AD34" s="550"/>
    </row>
    <row r="35" spans="1:30" ht="18.75" x14ac:dyDescent="0.3">
      <c r="A35" s="691">
        <f>M25</f>
        <v>10838739</v>
      </c>
      <c r="B35" s="691"/>
      <c r="D35" s="600" t="s">
        <v>27</v>
      </c>
      <c r="E35" s="601">
        <f>E29+E21+E15+E5+E10+E24</f>
        <v>80912275</v>
      </c>
      <c r="F35" s="554">
        <f>F29+F21+F15+F5+F10+F24</f>
        <v>1</v>
      </c>
      <c r="G35" s="600" t="s">
        <v>27</v>
      </c>
      <c r="H35" s="601">
        <f>H26+H18+H10+H5+H22</f>
        <v>80912275</v>
      </c>
      <c r="I35" s="612">
        <f>H35/$H$35</f>
        <v>1</v>
      </c>
      <c r="K35" s="492"/>
      <c r="L35" s="690"/>
      <c r="M35" s="547" t="s">
        <v>636</v>
      </c>
      <c r="N35" s="552"/>
      <c r="O35" s="552">
        <v>5.5</v>
      </c>
      <c r="P35" s="552">
        <v>5.75</v>
      </c>
      <c r="Q35" s="552">
        <v>5.5</v>
      </c>
      <c r="R35" s="552">
        <v>5.5</v>
      </c>
      <c r="S35" s="552">
        <v>5.25</v>
      </c>
      <c r="T35" s="552"/>
      <c r="U35" s="552"/>
      <c r="V35" s="552"/>
      <c r="W35" s="552"/>
      <c r="X35" s="552"/>
      <c r="Y35" s="552"/>
      <c r="Z35" s="552"/>
      <c r="AA35" s="552"/>
      <c r="AB35" s="552"/>
      <c r="AC35" s="552"/>
      <c r="AD35" s="552"/>
    </row>
    <row r="36" spans="1:30" x14ac:dyDescent="0.25">
      <c r="E36" s="494"/>
      <c r="F36" s="555"/>
      <c r="G36" s="556"/>
      <c r="H36" s="557">
        <f>E35-H35</f>
        <v>0</v>
      </c>
      <c r="I36" s="494"/>
      <c r="K36" s="503"/>
      <c r="L36" s="690"/>
      <c r="M36" s="547" t="s">
        <v>637</v>
      </c>
      <c r="N36" s="552"/>
      <c r="O36" s="552">
        <v>5.5</v>
      </c>
      <c r="P36" s="552">
        <v>6</v>
      </c>
      <c r="Q36" s="552">
        <v>6.25</v>
      </c>
      <c r="R36" s="552">
        <v>6</v>
      </c>
      <c r="S36" s="552">
        <v>5.75</v>
      </c>
      <c r="T36" s="552"/>
      <c r="U36" s="552"/>
      <c r="V36" s="552"/>
      <c r="W36" s="552"/>
      <c r="X36" s="552"/>
      <c r="Y36" s="552"/>
      <c r="Z36" s="552"/>
      <c r="AA36" s="552"/>
      <c r="AB36" s="552"/>
      <c r="AC36" s="552"/>
      <c r="AD36" s="552"/>
    </row>
    <row r="37" spans="1:30" x14ac:dyDescent="0.25">
      <c r="E37" s="494"/>
      <c r="F37" s="494"/>
      <c r="H37" s="494"/>
      <c r="I37" s="494"/>
      <c r="K37" s="503"/>
      <c r="L37" s="690"/>
      <c r="M37" s="547" t="s">
        <v>638</v>
      </c>
      <c r="N37" s="552"/>
      <c r="O37" s="552">
        <v>11.75</v>
      </c>
      <c r="P37" s="552">
        <v>10.75</v>
      </c>
      <c r="Q37" s="552">
        <v>9.5</v>
      </c>
      <c r="R37" s="552">
        <v>9.75</v>
      </c>
      <c r="S37" s="552">
        <v>9.25</v>
      </c>
      <c r="T37" s="552"/>
      <c r="U37" s="552"/>
      <c r="V37" s="552"/>
      <c r="W37" s="552"/>
      <c r="X37" s="552"/>
      <c r="Y37" s="552"/>
      <c r="Z37" s="552"/>
      <c r="AA37" s="552"/>
      <c r="AB37" s="552"/>
      <c r="AC37" s="552"/>
      <c r="AD37" s="552"/>
    </row>
    <row r="38" spans="1:30" ht="15.75" x14ac:dyDescent="0.25">
      <c r="D38" s="560"/>
      <c r="E38" s="561"/>
      <c r="F38" s="494"/>
      <c r="G38" s="2"/>
      <c r="H38" s="562"/>
      <c r="I38" s="562"/>
      <c r="K38" s="503"/>
      <c r="L38" s="503"/>
      <c r="M38" s="558" t="s">
        <v>639</v>
      </c>
      <c r="N38" s="559"/>
      <c r="O38" s="559">
        <f t="shared" ref="O38:AD38" si="28">O30/O31</f>
        <v>4.3482140612824569</v>
      </c>
      <c r="P38" s="559">
        <f t="shared" si="28"/>
        <v>4.8784051277217459</v>
      </c>
      <c r="Q38" s="559">
        <f t="shared" si="28"/>
        <v>4.8137303323220211</v>
      </c>
      <c r="R38" s="559">
        <f t="shared" si="28"/>
        <v>4.6867338914843426</v>
      </c>
      <c r="S38" s="559">
        <f t="shared" si="28"/>
        <v>4.6468384291595353</v>
      </c>
      <c r="T38" s="559" t="e">
        <f t="shared" si="28"/>
        <v>#DIV/0!</v>
      </c>
      <c r="U38" s="559" t="e">
        <f t="shared" si="28"/>
        <v>#DIV/0!</v>
      </c>
      <c r="V38" s="559" t="e">
        <f t="shared" si="28"/>
        <v>#DIV/0!</v>
      </c>
      <c r="W38" s="559" t="e">
        <f t="shared" si="28"/>
        <v>#DIV/0!</v>
      </c>
      <c r="X38" s="559" t="e">
        <f t="shared" si="28"/>
        <v>#DIV/0!</v>
      </c>
      <c r="Y38" s="559" t="e">
        <f t="shared" si="28"/>
        <v>#DIV/0!</v>
      </c>
      <c r="Z38" s="559" t="e">
        <f t="shared" si="28"/>
        <v>#DIV/0!</v>
      </c>
      <c r="AA38" s="559" t="e">
        <f t="shared" si="28"/>
        <v>#DIV/0!</v>
      </c>
      <c r="AB38" s="559" t="e">
        <f t="shared" si="28"/>
        <v>#DIV/0!</v>
      </c>
      <c r="AC38" s="559" t="e">
        <f t="shared" si="28"/>
        <v>#DIV/0!</v>
      </c>
      <c r="AD38" s="559" t="e">
        <f t="shared" si="28"/>
        <v>#DIV/0!</v>
      </c>
    </row>
    <row r="39" spans="1:30" x14ac:dyDescent="0.25">
      <c r="E39" s="562"/>
      <c r="F39" s="494"/>
      <c r="H39" s="494"/>
      <c r="I39" s="494"/>
      <c r="K39" s="503"/>
      <c r="L39" s="503"/>
      <c r="M39" s="503"/>
      <c r="N39" s="343"/>
      <c r="O39" s="493"/>
      <c r="P39" s="692"/>
      <c r="Q39" s="692"/>
      <c r="R39" s="692"/>
      <c r="S39" s="692"/>
    </row>
    <row r="40" spans="1:30" x14ac:dyDescent="0.25">
      <c r="E40" s="494"/>
      <c r="F40" s="494"/>
      <c r="H40" s="494"/>
      <c r="I40" s="494"/>
      <c r="K40" s="503"/>
      <c r="L40" s="503"/>
      <c r="M40" s="50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</row>
    <row r="41" spans="1:30" x14ac:dyDescent="0.25">
      <c r="K41" s="503"/>
      <c r="L41" s="503"/>
      <c r="M41" s="50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</row>
    <row r="42" spans="1:30" x14ac:dyDescent="0.25">
      <c r="K42" s="503"/>
      <c r="L42" s="503"/>
      <c r="M42" s="503"/>
      <c r="O42" s="493"/>
      <c r="P42" s="683"/>
      <c r="Q42" s="683"/>
      <c r="R42" s="683"/>
      <c r="S42" s="683"/>
      <c r="V42" s="564"/>
    </row>
    <row r="43" spans="1:30" x14ac:dyDescent="0.25">
      <c r="K43" s="503"/>
      <c r="L43" s="503"/>
      <c r="M43" s="503"/>
      <c r="N43" s="564"/>
      <c r="O43" s="493"/>
      <c r="P43" s="565"/>
      <c r="Q43" s="565"/>
      <c r="R43" s="565"/>
      <c r="S43" s="565"/>
    </row>
    <row r="44" spans="1:30" x14ac:dyDescent="0.25">
      <c r="K44" s="503"/>
      <c r="L44" s="503"/>
      <c r="M44" s="503"/>
      <c r="O44" s="493"/>
      <c r="P44" s="683"/>
      <c r="Q44" s="683"/>
      <c r="R44" s="683"/>
      <c r="S44" s="683"/>
      <c r="Y44" s="564"/>
    </row>
    <row r="45" spans="1:30" x14ac:dyDescent="0.25">
      <c r="K45" s="503"/>
      <c r="L45" s="503"/>
      <c r="M45" s="503"/>
      <c r="O45" s="493"/>
      <c r="P45" s="683"/>
      <c r="Q45" s="683"/>
      <c r="R45" s="683"/>
      <c r="S45" s="566"/>
    </row>
    <row r="46" spans="1:30" x14ac:dyDescent="0.25">
      <c r="K46" s="503"/>
      <c r="L46" s="503"/>
      <c r="M46" s="503"/>
      <c r="O46" s="493"/>
    </row>
    <row r="47" spans="1:30" x14ac:dyDescent="0.25">
      <c r="K47" s="503"/>
      <c r="L47" s="503"/>
      <c r="M47" s="503"/>
      <c r="O47" s="493"/>
    </row>
    <row r="48" spans="1:30" x14ac:dyDescent="0.25">
      <c r="K48" s="503"/>
      <c r="L48" s="503"/>
      <c r="M48" s="503"/>
      <c r="O48" s="493"/>
    </row>
    <row r="49" spans="11:15" x14ac:dyDescent="0.25">
      <c r="K49" s="503"/>
      <c r="L49" s="503"/>
      <c r="M49" s="503"/>
      <c r="O49" s="493"/>
    </row>
    <row r="50" spans="11:15" x14ac:dyDescent="0.25">
      <c r="K50" s="503"/>
      <c r="L50" s="503"/>
      <c r="M50" s="503"/>
      <c r="O50" s="493"/>
    </row>
    <row r="51" spans="11:15" x14ac:dyDescent="0.25">
      <c r="K51" s="503"/>
      <c r="L51" s="503"/>
      <c r="M51" s="503"/>
      <c r="O51" s="493"/>
    </row>
    <row r="52" spans="11:15" x14ac:dyDescent="0.25">
      <c r="K52" s="503"/>
      <c r="L52" s="503"/>
      <c r="M52" s="503"/>
      <c r="O52" s="493"/>
    </row>
    <row r="53" spans="11:15" x14ac:dyDescent="0.25">
      <c r="K53" s="503"/>
      <c r="L53" s="503"/>
      <c r="M53" s="503"/>
      <c r="O53" s="493"/>
    </row>
    <row r="54" spans="11:15" x14ac:dyDescent="0.25">
      <c r="K54" s="503"/>
      <c r="L54" s="503"/>
      <c r="M54" s="503"/>
      <c r="O54" s="493"/>
    </row>
    <row r="55" spans="11:15" x14ac:dyDescent="0.25">
      <c r="K55" s="503"/>
      <c r="L55" s="503"/>
      <c r="M55" s="503"/>
      <c r="O55" s="493"/>
    </row>
    <row r="56" spans="11:15" x14ac:dyDescent="0.25">
      <c r="K56" s="503"/>
      <c r="L56" s="503"/>
      <c r="M56" s="503"/>
      <c r="O56" s="493"/>
    </row>
    <row r="57" spans="11:15" x14ac:dyDescent="0.25">
      <c r="K57" s="503"/>
      <c r="L57" s="503"/>
      <c r="M57" s="503"/>
      <c r="O57" s="493"/>
    </row>
    <row r="58" spans="11:15" x14ac:dyDescent="0.25">
      <c r="K58" s="503"/>
      <c r="L58" s="503"/>
      <c r="M58" s="503"/>
      <c r="O58" s="493"/>
    </row>
    <row r="59" spans="11:15" x14ac:dyDescent="0.25">
      <c r="K59" s="503"/>
      <c r="L59" s="503"/>
      <c r="M59" s="503"/>
      <c r="O59" s="493"/>
    </row>
    <row r="60" spans="11:15" x14ac:dyDescent="0.25">
      <c r="K60" s="503"/>
      <c r="L60" s="503"/>
      <c r="M60" s="503"/>
      <c r="O60" s="493"/>
    </row>
    <row r="61" spans="11:15" x14ac:dyDescent="0.25">
      <c r="K61" s="503"/>
      <c r="L61" s="503"/>
      <c r="M61" s="503"/>
      <c r="O61" s="493"/>
    </row>
    <row r="62" spans="11:15" x14ac:dyDescent="0.25">
      <c r="K62" s="503"/>
      <c r="L62" s="503"/>
      <c r="M62" s="503"/>
      <c r="O62" s="493"/>
    </row>
    <row r="63" spans="11:15" x14ac:dyDescent="0.25">
      <c r="K63" s="503"/>
      <c r="L63" s="503"/>
      <c r="M63" s="503"/>
      <c r="O63" s="493"/>
    </row>
    <row r="64" spans="11:15" x14ac:dyDescent="0.25">
      <c r="K64" s="503"/>
      <c r="L64" s="503"/>
      <c r="M64" s="503"/>
      <c r="O64" s="493"/>
    </row>
    <row r="65" spans="11:15" x14ac:dyDescent="0.25">
      <c r="K65" s="503"/>
      <c r="L65" s="503"/>
      <c r="M65" s="503"/>
      <c r="O65" s="493"/>
    </row>
    <row r="66" spans="11:15" x14ac:dyDescent="0.25">
      <c r="K66" s="503"/>
      <c r="L66" s="503"/>
      <c r="M66" s="503"/>
      <c r="O66" s="493"/>
    </row>
    <row r="67" spans="11:15" x14ac:dyDescent="0.25">
      <c r="K67" s="503"/>
      <c r="L67" s="503"/>
      <c r="M67" s="503"/>
      <c r="O67" s="493"/>
    </row>
    <row r="68" spans="11:15" x14ac:dyDescent="0.25">
      <c r="K68" s="503"/>
      <c r="L68" s="503"/>
      <c r="M68" s="503"/>
      <c r="O68" s="493"/>
    </row>
    <row r="69" spans="11:15" x14ac:dyDescent="0.25">
      <c r="K69" s="503"/>
      <c r="L69" s="503"/>
      <c r="M69" s="503"/>
      <c r="O69" s="493"/>
    </row>
    <row r="70" spans="11:15" x14ac:dyDescent="0.25">
      <c r="K70" s="503"/>
      <c r="L70" s="503"/>
      <c r="M70" s="503"/>
      <c r="O70" s="493"/>
    </row>
    <row r="71" spans="11:15" x14ac:dyDescent="0.25">
      <c r="K71" s="503"/>
      <c r="L71" s="503"/>
      <c r="M71" s="503"/>
      <c r="O71" s="493"/>
    </row>
    <row r="72" spans="11:15" x14ac:dyDescent="0.25">
      <c r="K72" s="503"/>
      <c r="L72" s="503"/>
      <c r="M72" s="503"/>
      <c r="O72" s="493"/>
    </row>
    <row r="73" spans="11:15" x14ac:dyDescent="0.25">
      <c r="K73" s="503"/>
      <c r="L73" s="503"/>
      <c r="M73" s="503"/>
      <c r="O73" s="493"/>
    </row>
    <row r="74" spans="11:15" x14ac:dyDescent="0.25">
      <c r="K74" s="503"/>
      <c r="L74" s="503"/>
      <c r="M74" s="503"/>
      <c r="O74" s="493"/>
    </row>
    <row r="75" spans="11:15" x14ac:dyDescent="0.25">
      <c r="K75" s="503"/>
      <c r="L75" s="503"/>
      <c r="M75" s="503"/>
      <c r="O75" s="493"/>
    </row>
    <row r="76" spans="11:15" x14ac:dyDescent="0.25">
      <c r="K76" s="503"/>
      <c r="L76" s="503"/>
      <c r="M76" s="503"/>
      <c r="O76" s="493"/>
    </row>
    <row r="77" spans="11:15" x14ac:dyDescent="0.25">
      <c r="K77" s="503"/>
      <c r="L77" s="503"/>
      <c r="M77" s="503"/>
      <c r="O77" s="493"/>
    </row>
    <row r="78" spans="11:15" x14ac:dyDescent="0.25">
      <c r="K78" s="503"/>
      <c r="L78" s="503"/>
      <c r="M78" s="503"/>
      <c r="O78" s="493"/>
    </row>
    <row r="79" spans="11:15" x14ac:dyDescent="0.25">
      <c r="K79" s="503"/>
      <c r="L79" s="503"/>
      <c r="M79" s="503"/>
      <c r="O79" s="493"/>
    </row>
    <row r="80" spans="11:15" x14ac:dyDescent="0.25">
      <c r="K80" s="503"/>
      <c r="L80" s="503"/>
      <c r="M80" s="503"/>
      <c r="O80" s="493"/>
    </row>
    <row r="81" spans="11:15" x14ac:dyDescent="0.25">
      <c r="K81" s="503"/>
      <c r="L81" s="503"/>
      <c r="M81" s="503"/>
      <c r="O81" s="493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3" t="s">
        <v>444</v>
      </c>
      <c r="B1" s="693"/>
      <c r="C1" s="693"/>
      <c r="D1" s="693"/>
      <c r="E1" s="69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66</v>
      </c>
      <c r="D3" s="186">
        <f>Plantilla!G4</f>
        <v>0</v>
      </c>
      <c r="E3" s="265">
        <f>Plantilla!O4</f>
        <v>42468</v>
      </c>
      <c r="F3" s="115">
        <f>Plantilla!Q4</f>
        <v>3</v>
      </c>
      <c r="G3" s="142">
        <f>(F3/7)^0.5</f>
        <v>0.65465367070797709</v>
      </c>
      <c r="H3" s="142">
        <f>IF(F3=7,1,((F3+0.99)/7)^0.5)</f>
        <v>0.75498344352707503</v>
      </c>
      <c r="I3" s="195">
        <f ca="1">Plantilla!P4</f>
        <v>1</v>
      </c>
      <c r="J3" s="196">
        <f>Plantilla!I4</f>
        <v>24</v>
      </c>
      <c r="K3" s="49">
        <f>Plantilla!X4</f>
        <v>16.666666666666668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13.774097618578383</v>
      </c>
      <c r="W3" s="196">
        <f ca="1">IF(F3=7,V3,IF(TODAY()-E3&gt;335,(Q3+1+(LOG(J3)*4/3))*((F3+0.99)/7)^0.5,(Q3+((TODAY()-E3)^0.5)/(336^0.5)+(LOG(J3)*4/3))*((F3+0.99)/7)^0.5))</f>
        <v>15.885064297136116</v>
      </c>
      <c r="X3" s="83">
        <f ca="1">((K3+I3+(LOG(J3)*4/3))*0.597)+((L3+I3+(LOG(J3)*4/3))*0.276)</f>
        <v>15.727765885352309</v>
      </c>
      <c r="Y3" s="83">
        <f ca="1">((K3+I3+(LOG(J3)*4/3))*0.866)+((L3+I3+(LOG(J3)*4/3))*0.425)</f>
        <v>23.17888695073291</v>
      </c>
      <c r="Z3" s="83">
        <f ca="1">X3</f>
        <v>15.727765885352309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75</v>
      </c>
      <c r="D4" s="319" t="str">
        <f>Plantilla!G5</f>
        <v>CAB</v>
      </c>
      <c r="E4" s="265">
        <v>36526</v>
      </c>
      <c r="F4" s="115">
        <f>Plantilla!Q5</f>
        <v>4</v>
      </c>
      <c r="G4" s="142">
        <f t="shared" ref="G4:G26" si="0">(F4/7)^0.5</f>
        <v>0.7559289460184544</v>
      </c>
      <c r="H4" s="142">
        <f t="shared" ref="H4:H26" si="1">IF(F4=7,1,((F4+0.99)/7)^0.5)</f>
        <v>0.84430867747355465</v>
      </c>
      <c r="I4" s="195">
        <f>Plantilla!P5</f>
        <v>1.5</v>
      </c>
      <c r="J4" s="196">
        <f>Plantilla!I5</f>
        <v>8.4</v>
      </c>
      <c r="K4" s="49">
        <f>Plantilla!X5</f>
        <v>7.95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12.232723698361823</v>
      </c>
      <c r="W4" s="196">
        <f t="shared" ref="W4:W26" ca="1" si="7">IF(F4=7,V4,IF(TODAY()-E4&gt;335,(Q4+1+(LOG(J4)*4/3))*((F4+0.99)/7)^0.5,(Q4+((TODAY()-E4)^0.5)/(336^0.5)+(LOG(J4)*4/3))*((F4+0.99)/7)^0.5))</f>
        <v>13.662917423737786</v>
      </c>
      <c r="X4" s="83">
        <f t="shared" ref="X4:X26" si="8">((K4+I4+(LOG(J4)*4/3))*0.597)+((L4+I4+(LOG(J4)*4/3))*0.276)</f>
        <v>9.0497110889760286</v>
      </c>
      <c r="Y4" s="83">
        <f t="shared" ref="Y4:Y26" si="9">((K4+I4+(LOG(J4)*4/3))*0.866)+((L4+I4+(LOG(J4)*4/3))*0.425)</f>
        <v>13.365942744407853</v>
      </c>
      <c r="Z4" s="83">
        <f t="shared" ref="Z4:Z26" si="10">X4</f>
        <v>9.0497110889760286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77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85</v>
      </c>
      <c r="D7" s="319">
        <f>Plantilla!G7</f>
        <v>0</v>
      </c>
      <c r="E7" s="265">
        <v>36526</v>
      </c>
      <c r="F7" s="115">
        <f>Plantilla!Q7</f>
        <v>6</v>
      </c>
      <c r="G7" s="142">
        <f t="shared" si="0"/>
        <v>0.92582009977255142</v>
      </c>
      <c r="H7" s="142">
        <f t="shared" si="1"/>
        <v>0.99928545900129484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14.267829984503798</v>
      </c>
      <c r="W7" s="196">
        <f t="shared" ca="1" si="7"/>
        <v>15.400005939080417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39</v>
      </c>
      <c r="D8" s="319" t="str">
        <f>Plantilla!G8</f>
        <v>IMP</v>
      </c>
      <c r="E8" s="265">
        <v>36526</v>
      </c>
      <c r="F8" s="115">
        <f>Plantilla!Q8</f>
        <v>4</v>
      </c>
      <c r="G8" s="142">
        <f t="shared" si="0"/>
        <v>0.7559289460184544</v>
      </c>
      <c r="H8" s="142">
        <f t="shared" si="1"/>
        <v>0.84430867747355465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11.95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4.3562499999999993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1.0039</v>
      </c>
      <c r="V8" s="196">
        <f t="shared" ca="1" si="6"/>
        <v>15.257719484039626</v>
      </c>
      <c r="W8" s="196">
        <f t="shared" ca="1" si="7"/>
        <v>17.041581787129356</v>
      </c>
      <c r="X8" s="83">
        <f t="shared" si="8"/>
        <v>6.0516993250009463</v>
      </c>
      <c r="Y8" s="83">
        <f t="shared" si="9"/>
        <v>9.1506487727104471</v>
      </c>
      <c r="Z8" s="83">
        <f t="shared" si="10"/>
        <v>6.0516993250009463</v>
      </c>
      <c r="AA8" s="83">
        <f t="shared" si="11"/>
        <v>7.7936978828184289</v>
      </c>
      <c r="AB8" s="83">
        <f t="shared" si="12"/>
        <v>15.104065664376799</v>
      </c>
      <c r="AC8" s="83">
        <f t="shared" si="13"/>
        <v>3.8968489414092145</v>
      </c>
      <c r="AD8" s="83">
        <f t="shared" si="14"/>
        <v>3.5947676281216783</v>
      </c>
      <c r="AE8" s="83">
        <f t="shared" si="15"/>
        <v>5.7093368211344302</v>
      </c>
      <c r="AF8" s="83">
        <f t="shared" si="16"/>
        <v>10.920239475344426</v>
      </c>
      <c r="AG8" s="83">
        <f t="shared" si="17"/>
        <v>2.8546684105672151</v>
      </c>
      <c r="AH8" s="83">
        <f t="shared" si="18"/>
        <v>5.8150652807850678</v>
      </c>
      <c r="AI8" s="83">
        <f t="shared" si="19"/>
        <v>13.895740411226656</v>
      </c>
      <c r="AJ8" s="83">
        <f t="shared" si="20"/>
        <v>6.2530831850519943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11.388465510940106</v>
      </c>
      <c r="AN8" s="83">
        <f t="shared" si="24"/>
        <v>10.693678490378772</v>
      </c>
      <c r="AO8" s="83">
        <f t="shared" si="25"/>
        <v>3.4542389659509252</v>
      </c>
      <c r="AP8" s="83">
        <f t="shared" si="26"/>
        <v>2.1629709113405182</v>
      </c>
      <c r="AQ8" s="83">
        <f t="shared" si="27"/>
        <v>4.078097729381736</v>
      </c>
      <c r="AR8" s="83">
        <f t="shared" si="28"/>
        <v>8.9718150046398186</v>
      </c>
      <c r="AS8" s="83">
        <f t="shared" si="29"/>
        <v>2.039048864690868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2.8546684105672151</v>
      </c>
      <c r="AY8" s="83">
        <f t="shared" si="35"/>
        <v>6.04162626575072</v>
      </c>
      <c r="AZ8" s="83">
        <f t="shared" si="36"/>
        <v>1.4273342052836075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4.3952831083336479</v>
      </c>
      <c r="BF8" s="83">
        <f t="shared" si="42"/>
        <v>5.2562148512031257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7.3254718472227474</v>
      </c>
      <c r="BK8" s="83">
        <f t="shared" si="47"/>
        <v>3.987473335395475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2.7187318195878238</v>
      </c>
      <c r="BP8" s="83">
        <f t="shared" si="52"/>
        <v>1.0270764651776225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4.2895546486830103</v>
      </c>
      <c r="BU8" s="83">
        <f t="shared" si="57"/>
        <v>3.6853920221079388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4.2895546486830103</v>
      </c>
      <c r="BZ8" s="83">
        <f t="shared" si="62"/>
        <v>3.6853920221079388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34</v>
      </c>
      <c r="C9" s="115">
        <f ca="1">Plantilla!F9</f>
        <v>110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63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21</v>
      </c>
      <c r="D12" s="319" t="str">
        <f>Plantilla!G11</f>
        <v>CAB</v>
      </c>
      <c r="E12" s="265">
        <f>Plantilla!O11</f>
        <v>43626</v>
      </c>
      <c r="F12" s="115">
        <f>Plantilla!Q11</f>
        <v>5</v>
      </c>
      <c r="G12" s="142">
        <f t="shared" si="0"/>
        <v>0.84515425472851657</v>
      </c>
      <c r="H12" s="142">
        <f t="shared" si="1"/>
        <v>0.92504826128926143</v>
      </c>
      <c r="I12" s="195">
        <f ca="1">Plantilla!P11</f>
        <v>0.39272035185262583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9.1999999999999993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7.300876923704438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5.1389086618199826</v>
      </c>
      <c r="W12" s="196">
        <f t="shared" ca="1" si="7"/>
        <v>5.6246992734692114</v>
      </c>
      <c r="X12" s="83">
        <f t="shared" ca="1" si="8"/>
        <v>1.0964459522144683</v>
      </c>
      <c r="Y12" s="83">
        <f t="shared" ca="1" si="9"/>
        <v>1.6888290083721404</v>
      </c>
      <c r="Z12" s="83">
        <f t="shared" ca="1" si="10"/>
        <v>1.0964459522144683</v>
      </c>
      <c r="AA12" s="83">
        <f t="shared" ca="1" si="11"/>
        <v>2.0595350645391362</v>
      </c>
      <c r="AB12" s="83">
        <f t="shared" ca="1" si="12"/>
        <v>3.991347024300651</v>
      </c>
      <c r="AC12" s="83">
        <f t="shared" ca="1" si="13"/>
        <v>1.0297675322695681</v>
      </c>
      <c r="AD12" s="83">
        <f t="shared" ca="1" si="14"/>
        <v>2.1875405917835549</v>
      </c>
      <c r="AE12" s="83">
        <f t="shared" ca="1" si="15"/>
        <v>1.5087291751856462</v>
      </c>
      <c r="AF12" s="83">
        <f t="shared" ca="1" si="16"/>
        <v>2.8857438985693706</v>
      </c>
      <c r="AG12" s="83">
        <f t="shared" ca="1" si="17"/>
        <v>0.7543645875928231</v>
      </c>
      <c r="AH12" s="83">
        <f t="shared" ca="1" si="18"/>
        <v>3.5386686043557507</v>
      </c>
      <c r="AI12" s="83">
        <f t="shared" ca="1" si="19"/>
        <v>3.6720392623565989</v>
      </c>
      <c r="AJ12" s="83">
        <f t="shared" ca="1" si="20"/>
        <v>1.6524176680604694</v>
      </c>
      <c r="AK12" s="83">
        <f t="shared" ca="1" si="21"/>
        <v>1.5349549530582087</v>
      </c>
      <c r="AL12" s="83">
        <f t="shared" ca="1" si="22"/>
        <v>1.7589120502887827</v>
      </c>
      <c r="AM12" s="83">
        <f t="shared" ca="1" si="23"/>
        <v>3.009475656322691</v>
      </c>
      <c r="AN12" s="83">
        <f t="shared" ca="1" si="24"/>
        <v>2.8258736932048607</v>
      </c>
      <c r="AO12" s="83">
        <f t="shared" ca="1" si="25"/>
        <v>1.0005549530582087</v>
      </c>
      <c r="AP12" s="83">
        <f t="shared" ca="1" si="26"/>
        <v>0.53750794299858751</v>
      </c>
      <c r="AQ12" s="83">
        <f t="shared" ca="1" si="27"/>
        <v>1.0776636965611759</v>
      </c>
      <c r="AR12" s="83">
        <f t="shared" ca="1" si="28"/>
        <v>2.3708601324345868</v>
      </c>
      <c r="AS12" s="83">
        <f t="shared" ca="1" si="29"/>
        <v>0.53883184828058794</v>
      </c>
      <c r="AT12" s="83">
        <f t="shared" ca="1" si="30"/>
        <v>8.6766315909398131</v>
      </c>
      <c r="AU12" s="83">
        <f t="shared" ca="1" si="31"/>
        <v>0.51887511315908463</v>
      </c>
      <c r="AV12" s="83">
        <f t="shared" ca="1" si="32"/>
        <v>1.6884646781200905</v>
      </c>
      <c r="AW12" s="83">
        <f t="shared" ca="1" si="33"/>
        <v>0.25943755657954232</v>
      </c>
      <c r="AX12" s="83">
        <f t="shared" ca="1" si="34"/>
        <v>0.7543645875928231</v>
      </c>
      <c r="AY12" s="83">
        <f t="shared" ca="1" si="35"/>
        <v>1.5965388097202604</v>
      </c>
      <c r="AZ12" s="83">
        <f t="shared" ca="1" si="36"/>
        <v>0.37718229379641155</v>
      </c>
      <c r="BA12" s="83">
        <f t="shared" ca="1" si="37"/>
        <v>9.1913470243006508</v>
      </c>
      <c r="BB12" s="83">
        <f t="shared" ca="1" si="38"/>
        <v>1.0098107971480648</v>
      </c>
      <c r="BC12" s="83">
        <f t="shared" ca="1" si="39"/>
        <v>2.8292322103896588</v>
      </c>
      <c r="BD12" s="83">
        <f t="shared" ca="1" si="40"/>
        <v>0.50490539857403238</v>
      </c>
      <c r="BE12" s="83">
        <f t="shared" ca="1" si="41"/>
        <v>1.1614819840714894</v>
      </c>
      <c r="BF12" s="83">
        <f t="shared" ca="1" si="42"/>
        <v>1.3889887644566266</v>
      </c>
      <c r="BG12" s="83">
        <f t="shared" ca="1" si="43"/>
        <v>8.0975767284088729</v>
      </c>
      <c r="BH12" s="83">
        <f t="shared" ca="1" si="44"/>
        <v>2.9743075046032788</v>
      </c>
      <c r="BI12" s="83">
        <f t="shared" ca="1" si="45"/>
        <v>0.96191463285645684</v>
      </c>
      <c r="BJ12" s="83">
        <f t="shared" ca="1" si="46"/>
        <v>1.9358033067858158</v>
      </c>
      <c r="BK12" s="83">
        <f t="shared" ca="1" si="47"/>
        <v>1.0537156144153719</v>
      </c>
      <c r="BL12" s="83">
        <f t="shared" ca="1" si="48"/>
        <v>3.5019032162585479</v>
      </c>
      <c r="BM12" s="83">
        <f t="shared" ca="1" si="49"/>
        <v>2.8154372992387691</v>
      </c>
      <c r="BN12" s="83">
        <f t="shared" ca="1" si="50"/>
        <v>0.20755004526363385</v>
      </c>
      <c r="BO12" s="83">
        <f t="shared" ca="1" si="51"/>
        <v>0.71844246437411718</v>
      </c>
      <c r="BP12" s="83">
        <f t="shared" ca="1" si="52"/>
        <v>0.27141159765244427</v>
      </c>
      <c r="BQ12" s="83">
        <f t="shared" ca="1" si="53"/>
        <v>2.8033608424116983</v>
      </c>
      <c r="BR12" s="83">
        <f t="shared" ca="1" si="54"/>
        <v>4.1328722732506371</v>
      </c>
      <c r="BS12" s="83">
        <f t="shared" ca="1" si="55"/>
        <v>0.53883184828058794</v>
      </c>
      <c r="BT12" s="83">
        <f t="shared" ca="1" si="56"/>
        <v>1.1335425549013849</v>
      </c>
      <c r="BU12" s="83">
        <f t="shared" ca="1" si="57"/>
        <v>0.97388867392935885</v>
      </c>
      <c r="BV12" s="83">
        <f t="shared" ca="1" si="58"/>
        <v>4.182062896056796</v>
      </c>
      <c r="BW12" s="83">
        <f t="shared" ca="1" si="59"/>
        <v>3.5584125029251217</v>
      </c>
      <c r="BX12" s="83">
        <f t="shared" ca="1" si="60"/>
        <v>0.48295298994037877</v>
      </c>
      <c r="BY12" s="83">
        <f t="shared" ca="1" si="61"/>
        <v>1.1335425549013849</v>
      </c>
      <c r="BZ12" s="83">
        <f t="shared" ca="1" si="62"/>
        <v>0.97388867392935885</v>
      </c>
      <c r="CA12" s="83">
        <f t="shared" ca="1" si="63"/>
        <v>5.7997399723337111</v>
      </c>
      <c r="CB12" s="83">
        <f t="shared" ca="1" si="64"/>
        <v>2.8702555867490824</v>
      </c>
      <c r="CC12" s="83">
        <f t="shared" ca="1" si="65"/>
        <v>0.59071935959649635</v>
      </c>
      <c r="CD12" s="83">
        <f t="shared" ca="1" si="66"/>
        <v>3.7316868918660644</v>
      </c>
      <c r="CE12" s="83">
        <f t="shared" ca="1" si="67"/>
        <v>2.3164917996606391</v>
      </c>
      <c r="CF12" s="83">
        <f t="shared" ca="1" si="68"/>
        <v>6.2432567493625335</v>
      </c>
      <c r="CG12" s="83">
        <f t="shared" ca="1" si="69"/>
        <v>2.3164917996606391</v>
      </c>
      <c r="CH12" s="83">
        <f t="shared" ca="1" si="70"/>
        <v>3.2035019046576227</v>
      </c>
      <c r="CI12" s="83">
        <f t="shared" ca="1" si="71"/>
        <v>8.4641540762675902</v>
      </c>
      <c r="CJ12" s="83">
        <f t="shared" ca="1" si="72"/>
        <v>3.2035019046576227</v>
      </c>
      <c r="CK12" s="83">
        <f t="shared" ca="1" si="73"/>
        <v>2.2978367560751627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76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0.36978407636992311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9.687813420576072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2.4576093946809667</v>
      </c>
      <c r="W13" s="196">
        <f t="shared" ca="1" si="7"/>
        <v>2.6526247730125974</v>
      </c>
      <c r="X13" s="83">
        <f t="shared" ca="1" si="8"/>
        <v>1.3209145322004119</v>
      </c>
      <c r="Y13" s="83">
        <f t="shared" ca="1" si="9"/>
        <v>2.0039263013410444</v>
      </c>
      <c r="Z13" s="83">
        <f t="shared" ca="1" si="10"/>
        <v>1.3209145322004119</v>
      </c>
      <c r="AA13" s="83">
        <f t="shared" ca="1" si="11"/>
        <v>1.8393446719535083</v>
      </c>
      <c r="AB13" s="83">
        <f t="shared" ca="1" si="12"/>
        <v>3.5646214572742405</v>
      </c>
      <c r="AC13" s="83">
        <f t="shared" ca="1" si="13"/>
        <v>0.91967233597675413</v>
      </c>
      <c r="AD13" s="83">
        <f t="shared" ca="1" si="14"/>
        <v>2.0383799068312691</v>
      </c>
      <c r="AE13" s="83">
        <f t="shared" ca="1" si="15"/>
        <v>1.3474269108496628</v>
      </c>
      <c r="AF13" s="83">
        <f t="shared" ca="1" si="16"/>
        <v>2.5772213136092756</v>
      </c>
      <c r="AG13" s="83">
        <f t="shared" ca="1" si="17"/>
        <v>0.67371345542483141</v>
      </c>
      <c r="AH13" s="83">
        <f t="shared" ca="1" si="18"/>
        <v>3.2973792610505828</v>
      </c>
      <c r="AI13" s="83">
        <f t="shared" ca="1" si="19"/>
        <v>3.2794517406923016</v>
      </c>
      <c r="AJ13" s="83">
        <f t="shared" ca="1" si="20"/>
        <v>1.4757532833115354</v>
      </c>
      <c r="AK13" s="83">
        <f t="shared" ca="1" si="21"/>
        <v>1.4302917833647983</v>
      </c>
      <c r="AL13" s="83">
        <f t="shared" ca="1" si="22"/>
        <v>1.5079974168772534</v>
      </c>
      <c r="AM13" s="83">
        <f t="shared" ca="1" si="23"/>
        <v>2.6877245787847772</v>
      </c>
      <c r="AN13" s="83">
        <f t="shared" ca="1" si="24"/>
        <v>2.5237519917501623</v>
      </c>
      <c r="AO13" s="83">
        <f t="shared" ca="1" si="25"/>
        <v>0.42829178336479817</v>
      </c>
      <c r="AP13" s="83">
        <f t="shared" ca="1" si="26"/>
        <v>0.81061097969498119</v>
      </c>
      <c r="AQ13" s="83">
        <f t="shared" ca="1" si="27"/>
        <v>0.96244779346404497</v>
      </c>
      <c r="AR13" s="83">
        <f t="shared" ca="1" si="28"/>
        <v>2.117385145620899</v>
      </c>
      <c r="AS13" s="83">
        <f t="shared" ca="1" si="29"/>
        <v>0.48122389673202248</v>
      </c>
      <c r="AT13" s="83">
        <f t="shared" ca="1" si="30"/>
        <v>8.0850026556668819</v>
      </c>
      <c r="AU13" s="83">
        <f t="shared" ca="1" si="31"/>
        <v>0.85340078944565134</v>
      </c>
      <c r="AV13" s="83">
        <f t="shared" ca="1" si="32"/>
        <v>2.4424340869813523</v>
      </c>
      <c r="AW13" s="83">
        <f t="shared" ca="1" si="33"/>
        <v>0.42670039472282567</v>
      </c>
      <c r="AX13" s="83">
        <f t="shared" ca="1" si="34"/>
        <v>0.67371345542483141</v>
      </c>
      <c r="AY13" s="83">
        <f t="shared" ca="1" si="35"/>
        <v>1.4258485829096963</v>
      </c>
      <c r="AZ13" s="83">
        <f t="shared" ca="1" si="36"/>
        <v>0.3368567277124157</v>
      </c>
      <c r="BA13" s="83">
        <f t="shared" ca="1" si="37"/>
        <v>8.5646214572742405</v>
      </c>
      <c r="BB13" s="83">
        <f t="shared" ca="1" si="38"/>
        <v>1.6608492286903829</v>
      </c>
      <c r="BC13" s="83">
        <f t="shared" ca="1" si="39"/>
        <v>4.2471064229581064</v>
      </c>
      <c r="BD13" s="83">
        <f t="shared" ca="1" si="40"/>
        <v>0.83042461434519144</v>
      </c>
      <c r="BE13" s="83">
        <f t="shared" ca="1" si="41"/>
        <v>1.037304844066804</v>
      </c>
      <c r="BF13" s="83">
        <f t="shared" ca="1" si="42"/>
        <v>1.2404882671314357</v>
      </c>
      <c r="BG13" s="83">
        <f t="shared" ca="1" si="43"/>
        <v>7.5454315038586062</v>
      </c>
      <c r="BH13" s="83">
        <f t="shared" ca="1" si="44"/>
        <v>3.5399484755168</v>
      </c>
      <c r="BI13" s="83">
        <f t="shared" ca="1" si="45"/>
        <v>1.5820737712030919</v>
      </c>
      <c r="BJ13" s="83">
        <f t="shared" ca="1" si="46"/>
        <v>1.7288414067780067</v>
      </c>
      <c r="BK13" s="83">
        <f t="shared" ca="1" si="47"/>
        <v>0.94106006472039949</v>
      </c>
      <c r="BL13" s="83">
        <f t="shared" ca="1" si="48"/>
        <v>3.2631207752214855</v>
      </c>
      <c r="BM13" s="83">
        <f t="shared" ca="1" si="49"/>
        <v>3.0454791536576864</v>
      </c>
      <c r="BN13" s="83">
        <f t="shared" ca="1" si="50"/>
        <v>0.34136031577826048</v>
      </c>
      <c r="BO13" s="83">
        <f t="shared" ca="1" si="51"/>
        <v>0.64163186230936331</v>
      </c>
      <c r="BP13" s="83">
        <f t="shared" ca="1" si="52"/>
        <v>0.24239425909464837</v>
      </c>
      <c r="BQ13" s="83">
        <f t="shared" ca="1" si="53"/>
        <v>2.6122095444686435</v>
      </c>
      <c r="BR13" s="83">
        <f t="shared" ca="1" si="54"/>
        <v>4.4421031940546731</v>
      </c>
      <c r="BS13" s="83">
        <f t="shared" ca="1" si="55"/>
        <v>0.88622389673202251</v>
      </c>
      <c r="BT13" s="83">
        <f t="shared" ca="1" si="56"/>
        <v>1.0123524938658841</v>
      </c>
      <c r="BU13" s="83">
        <f t="shared" ca="1" si="57"/>
        <v>0.86976763557491465</v>
      </c>
      <c r="BV13" s="83">
        <f t="shared" ca="1" si="58"/>
        <v>3.8969027630597797</v>
      </c>
      <c r="BW13" s="83">
        <f t="shared" ca="1" si="59"/>
        <v>3.8176005746598585</v>
      </c>
      <c r="BX13" s="83">
        <f t="shared" ca="1" si="60"/>
        <v>0.79431919633018311</v>
      </c>
      <c r="BY13" s="83">
        <f t="shared" ca="1" si="61"/>
        <v>1.0123524938658841</v>
      </c>
      <c r="BZ13" s="83">
        <f t="shared" ca="1" si="62"/>
        <v>0.86976763557491465</v>
      </c>
      <c r="CA13" s="83">
        <f t="shared" ca="1" si="63"/>
        <v>5.4042761395400456</v>
      </c>
      <c r="CB13" s="83">
        <f t="shared" ca="1" si="64"/>
        <v>3.0673362042604451</v>
      </c>
      <c r="CC13" s="83">
        <f t="shared" ca="1" si="65"/>
        <v>0.97156397567658759</v>
      </c>
      <c r="CD13" s="83">
        <f t="shared" ca="1" si="66"/>
        <v>3.4772363116533418</v>
      </c>
      <c r="CE13" s="83">
        <f t="shared" ca="1" si="67"/>
        <v>3.2251677792398796</v>
      </c>
      <c r="CF13" s="83">
        <f t="shared" ca="1" si="68"/>
        <v>9.1407637608907955</v>
      </c>
      <c r="CG13" s="83">
        <f t="shared" ca="1" si="69"/>
        <v>3.2251677792398796</v>
      </c>
      <c r="CH13" s="83">
        <f t="shared" ca="1" si="70"/>
        <v>4.1496153080256715</v>
      </c>
      <c r="CI13" s="83">
        <f t="shared" ca="1" si="71"/>
        <v>11.986966775008435</v>
      </c>
      <c r="CJ13" s="83">
        <f t="shared" ca="1" si="72"/>
        <v>4.1496153080256715</v>
      </c>
      <c r="CK13" s="83">
        <f t="shared" ca="1" si="73"/>
        <v>2.1411553643185601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37</v>
      </c>
      <c r="D14" s="319" t="str">
        <f>Plantilla!G13</f>
        <v>IMP</v>
      </c>
      <c r="E14" s="265">
        <f>Plantilla!O13</f>
        <v>43630</v>
      </c>
      <c r="F14" s="115">
        <f>Plantilla!Q13</f>
        <v>5</v>
      </c>
      <c r="G14" s="142">
        <f t="shared" si="0"/>
        <v>0.84515425472851657</v>
      </c>
      <c r="H14" s="142">
        <f t="shared" si="1"/>
        <v>0.92504826128926143</v>
      </c>
      <c r="I14" s="195">
        <f ca="1">Plantilla!P13</f>
        <v>0.37970923784073518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7.4061924695178885</v>
      </c>
      <c r="T14" s="49">
        <f t="shared" si="4"/>
        <v>0.4</v>
      </c>
      <c r="U14" s="49">
        <f t="shared" si="5"/>
        <v>0.16</v>
      </c>
      <c r="V14" s="196">
        <f t="shared" ca="1" si="6"/>
        <v>0.73584931001408649</v>
      </c>
      <c r="W14" s="196">
        <f t="shared" ca="1" si="7"/>
        <v>0.80541051647203632</v>
      </c>
      <c r="X14" s="83">
        <f t="shared" ca="1" si="8"/>
        <v>1.785885079587836</v>
      </c>
      <c r="Y14" s="83">
        <f t="shared" ca="1" si="9"/>
        <v>2.7083775919219892</v>
      </c>
      <c r="Z14" s="83">
        <f t="shared" ca="1" si="10"/>
        <v>1.785885079587836</v>
      </c>
      <c r="AA14" s="83">
        <f t="shared" ca="1" si="11"/>
        <v>2.4670386037426391</v>
      </c>
      <c r="AB14" s="83">
        <f t="shared" ca="1" si="12"/>
        <v>4.7810825653927109</v>
      </c>
      <c r="AC14" s="83">
        <f t="shared" ca="1" si="13"/>
        <v>1.2335193018713195</v>
      </c>
      <c r="AD14" s="83">
        <f t="shared" ca="1" si="14"/>
        <v>2.565897650563465</v>
      </c>
      <c r="AE14" s="83">
        <f t="shared" ca="1" si="15"/>
        <v>1.8072492097184447</v>
      </c>
      <c r="AF14" s="83">
        <f t="shared" ca="1" si="16"/>
        <v>3.45672269477893</v>
      </c>
      <c r="AG14" s="83">
        <f t="shared" ca="1" si="17"/>
        <v>0.90362460485922236</v>
      </c>
      <c r="AH14" s="83">
        <f t="shared" ca="1" si="18"/>
        <v>4.1507167876761937</v>
      </c>
      <c r="AI14" s="83">
        <f t="shared" ca="1" si="19"/>
        <v>4.3985959601612938</v>
      </c>
      <c r="AJ14" s="83">
        <f t="shared" ca="1" si="20"/>
        <v>1.9793681820725821</v>
      </c>
      <c r="AK14" s="83">
        <f t="shared" ca="1" si="21"/>
        <v>1.8004407884205826</v>
      </c>
      <c r="AL14" s="83">
        <f t="shared" ca="1" si="22"/>
        <v>2.2232765484509134</v>
      </c>
      <c r="AM14" s="83">
        <f t="shared" ca="1" si="23"/>
        <v>3.6049362543061041</v>
      </c>
      <c r="AN14" s="83">
        <f t="shared" ca="1" si="24"/>
        <v>3.3850064562980391</v>
      </c>
      <c r="AO14" s="83">
        <f t="shared" ca="1" si="25"/>
        <v>0.13044078842058257</v>
      </c>
      <c r="AP14" s="83">
        <f t="shared" ca="1" si="26"/>
        <v>0.62095177883310049</v>
      </c>
      <c r="AQ14" s="83">
        <f t="shared" ca="1" si="27"/>
        <v>1.290892292656032</v>
      </c>
      <c r="AR14" s="83">
        <f t="shared" ca="1" si="28"/>
        <v>2.8399630438432704</v>
      </c>
      <c r="AS14" s="83">
        <f t="shared" ca="1" si="29"/>
        <v>0.645446146328016</v>
      </c>
      <c r="AT14" s="83">
        <f t="shared" ca="1" si="30"/>
        <v>10.177341941730718</v>
      </c>
      <c r="AU14" s="83">
        <f t="shared" ca="1" si="31"/>
        <v>0.36154073350105231</v>
      </c>
      <c r="AV14" s="83">
        <f t="shared" ca="1" si="32"/>
        <v>1.852857191660064</v>
      </c>
      <c r="AW14" s="83">
        <f t="shared" ca="1" si="33"/>
        <v>0.18077036675052616</v>
      </c>
      <c r="AX14" s="83">
        <f t="shared" ca="1" si="34"/>
        <v>0.90362460485922236</v>
      </c>
      <c r="AY14" s="83">
        <f t="shared" ca="1" si="35"/>
        <v>1.9124330261570845</v>
      </c>
      <c r="AZ14" s="83">
        <f t="shared" ca="1" si="36"/>
        <v>0.45181230242961118</v>
      </c>
      <c r="BA14" s="83">
        <f t="shared" ca="1" si="37"/>
        <v>10.78108256539271</v>
      </c>
      <c r="BB14" s="83">
        <f t="shared" ca="1" si="38"/>
        <v>0.70361388904435562</v>
      </c>
      <c r="BC14" s="83">
        <f t="shared" ca="1" si="39"/>
        <v>2.7923764935313833</v>
      </c>
      <c r="BD14" s="83">
        <f t="shared" ca="1" si="40"/>
        <v>0.35180694452217781</v>
      </c>
      <c r="BE14" s="83">
        <f t="shared" ca="1" si="41"/>
        <v>1.3912950265292787</v>
      </c>
      <c r="BF14" s="83">
        <f t="shared" ca="1" si="42"/>
        <v>1.6638167327566633</v>
      </c>
      <c r="BG14" s="83">
        <f t="shared" ca="1" si="43"/>
        <v>9.498133740110978</v>
      </c>
      <c r="BH14" s="83">
        <f t="shared" ca="1" si="44"/>
        <v>3.0463824006341191</v>
      </c>
      <c r="BI14" s="83">
        <f t="shared" ca="1" si="45"/>
        <v>0.67024089825964306</v>
      </c>
      <c r="BJ14" s="83">
        <f t="shared" ca="1" si="46"/>
        <v>2.3188250442154645</v>
      </c>
      <c r="BK14" s="83">
        <f t="shared" ca="1" si="47"/>
        <v>1.2622057972636758</v>
      </c>
      <c r="BL14" s="83">
        <f t="shared" ca="1" si="48"/>
        <v>4.107592457414623</v>
      </c>
      <c r="BM14" s="83">
        <f t="shared" ca="1" si="49"/>
        <v>3.1036661621532287</v>
      </c>
      <c r="BN14" s="83">
        <f t="shared" ca="1" si="50"/>
        <v>0.14461629340042093</v>
      </c>
      <c r="BO14" s="83">
        <f t="shared" ca="1" si="51"/>
        <v>0.86059486177068789</v>
      </c>
      <c r="BP14" s="83">
        <f t="shared" ca="1" si="52"/>
        <v>0.32511361444670439</v>
      </c>
      <c r="BQ14" s="83">
        <f t="shared" ca="1" si="53"/>
        <v>3.2882301824447766</v>
      </c>
      <c r="BR14" s="83">
        <f t="shared" ca="1" si="54"/>
        <v>4.5764721790950249</v>
      </c>
      <c r="BS14" s="83">
        <f t="shared" ca="1" si="55"/>
        <v>0.37544614632801587</v>
      </c>
      <c r="BT14" s="83">
        <f t="shared" ca="1" si="56"/>
        <v>1.3578274485715298</v>
      </c>
      <c r="BU14" s="83">
        <f t="shared" ca="1" si="57"/>
        <v>1.1665841459558215</v>
      </c>
      <c r="BV14" s="83">
        <f t="shared" ca="1" si="58"/>
        <v>4.9053925672536831</v>
      </c>
      <c r="BW14" s="83">
        <f t="shared" ca="1" si="59"/>
        <v>3.9454394824551224</v>
      </c>
      <c r="BX14" s="83">
        <f t="shared" ca="1" si="60"/>
        <v>0.33651099041251792</v>
      </c>
      <c r="BY14" s="83">
        <f t="shared" ca="1" si="61"/>
        <v>1.3578274485715298</v>
      </c>
      <c r="BZ14" s="83">
        <f t="shared" ca="1" si="62"/>
        <v>1.1665841459558215</v>
      </c>
      <c r="CA14" s="83">
        <f t="shared" ca="1" si="63"/>
        <v>6.8028630987628</v>
      </c>
      <c r="CB14" s="83">
        <f t="shared" ca="1" si="64"/>
        <v>3.1910688960264753</v>
      </c>
      <c r="CC14" s="83">
        <f t="shared" ca="1" si="65"/>
        <v>0.41160021967812105</v>
      </c>
      <c r="CD14" s="83">
        <f t="shared" ca="1" si="66"/>
        <v>4.3771195215494405</v>
      </c>
      <c r="CE14" s="83">
        <f t="shared" ca="1" si="67"/>
        <v>2.3549440165696018</v>
      </c>
      <c r="CF14" s="83">
        <f t="shared" ca="1" si="68"/>
        <v>6.6294989686321912</v>
      </c>
      <c r="CG14" s="83">
        <f t="shared" ca="1" si="69"/>
        <v>2.3549440165696018</v>
      </c>
      <c r="CH14" s="83">
        <f t="shared" ca="1" si="70"/>
        <v>3.6748900364010666</v>
      </c>
      <c r="CI14" s="83">
        <f t="shared" ca="1" si="71"/>
        <v>9.8073020320226192</v>
      </c>
      <c r="CJ14" s="83">
        <f t="shared" ca="1" si="72"/>
        <v>3.6748900364010666</v>
      </c>
      <c r="CK14" s="83">
        <f t="shared" ca="1" si="73"/>
        <v>2.6952706413481775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37</v>
      </c>
      <c r="D15" s="319" t="str">
        <f>Plantilla!G14</f>
        <v>RAP</v>
      </c>
      <c r="E15" s="265">
        <f>Plantilla!O14</f>
        <v>43627</v>
      </c>
      <c r="F15" s="115">
        <f>Plantilla!Q14</f>
        <v>6</v>
      </c>
      <c r="G15" s="142">
        <f t="shared" si="0"/>
        <v>0.92582009977255142</v>
      </c>
      <c r="H15" s="142">
        <f t="shared" si="1"/>
        <v>0.99928545900129484</v>
      </c>
      <c r="I15" s="195">
        <f ca="1">Plantilla!P14</f>
        <v>0.38949055134365018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10.727809172359331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6.3697227230094784</v>
      </c>
      <c r="W15" s="196">
        <f t="shared" ca="1" si="7"/>
        <v>6.8751707772787087</v>
      </c>
      <c r="X15" s="83">
        <f t="shared" ca="1" si="8"/>
        <v>1.2424241662758808</v>
      </c>
      <c r="Y15" s="83">
        <f t="shared" ca="1" si="9"/>
        <v>1.8710052676542519</v>
      </c>
      <c r="Z15" s="83">
        <f t="shared" ca="1" si="10"/>
        <v>1.2424241662758808</v>
      </c>
      <c r="AA15" s="83">
        <f t="shared" ca="1" si="11"/>
        <v>1.4400857615101426</v>
      </c>
      <c r="AB15" s="83">
        <f t="shared" ca="1" si="12"/>
        <v>2.790863878895625</v>
      </c>
      <c r="AC15" s="83">
        <f t="shared" ca="1" si="13"/>
        <v>0.72004288075507128</v>
      </c>
      <c r="AD15" s="83">
        <f t="shared" ca="1" si="14"/>
        <v>2.5682256031771584</v>
      </c>
      <c r="AE15" s="83">
        <f t="shared" ca="1" si="15"/>
        <v>1.0549465462225462</v>
      </c>
      <c r="AF15" s="83">
        <f t="shared" ca="1" si="16"/>
        <v>2.0177945844415368</v>
      </c>
      <c r="AG15" s="83">
        <f t="shared" ca="1" si="17"/>
        <v>0.52747327311127312</v>
      </c>
      <c r="AH15" s="83">
        <f t="shared" ca="1" si="18"/>
        <v>4.1544825933748157</v>
      </c>
      <c r="AI15" s="83">
        <f t="shared" ca="1" si="19"/>
        <v>2.5675947685839753</v>
      </c>
      <c r="AJ15" s="83">
        <f t="shared" ca="1" si="20"/>
        <v>1.1554176458627887</v>
      </c>
      <c r="AK15" s="83">
        <f t="shared" ca="1" si="21"/>
        <v>1.8020742677755694</v>
      </c>
      <c r="AL15" s="83">
        <f t="shared" ca="1" si="22"/>
        <v>3.4050279607906275</v>
      </c>
      <c r="AM15" s="83">
        <f t="shared" ca="1" si="23"/>
        <v>2.1043113646873013</v>
      </c>
      <c r="AN15" s="83">
        <f t="shared" ca="1" si="24"/>
        <v>1.9759316262581024</v>
      </c>
      <c r="AO15" s="83">
        <f t="shared" ca="1" si="25"/>
        <v>1.1340742677755695</v>
      </c>
      <c r="AP15" s="83">
        <f t="shared" ca="1" si="26"/>
        <v>0.69576879712193995</v>
      </c>
      <c r="AQ15" s="83">
        <f t="shared" ca="1" si="27"/>
        <v>0.75353324730181881</v>
      </c>
      <c r="AR15" s="83">
        <f t="shared" ca="1" si="28"/>
        <v>1.6577731440640011</v>
      </c>
      <c r="AS15" s="83">
        <f t="shared" ca="1" si="29"/>
        <v>0.3767666236509094</v>
      </c>
      <c r="AT15" s="83">
        <f t="shared" ca="1" si="30"/>
        <v>10.186575501677469</v>
      </c>
      <c r="AU15" s="83">
        <f t="shared" ca="1" si="31"/>
        <v>0.6228123042564313</v>
      </c>
      <c r="AV15" s="83">
        <f t="shared" ca="1" si="32"/>
        <v>2.0957231165164183</v>
      </c>
      <c r="AW15" s="83">
        <f t="shared" ca="1" si="33"/>
        <v>0.31140615212821565</v>
      </c>
      <c r="AX15" s="83">
        <f t="shared" ca="1" si="34"/>
        <v>0.52747327311127312</v>
      </c>
      <c r="AY15" s="83">
        <f t="shared" ca="1" si="35"/>
        <v>1.1163455515582501</v>
      </c>
      <c r="AZ15" s="83">
        <f t="shared" ca="1" si="36"/>
        <v>0.26373663655563656</v>
      </c>
      <c r="BA15" s="83">
        <f t="shared" ca="1" si="37"/>
        <v>10.790863878895625</v>
      </c>
      <c r="BB15" s="83">
        <f t="shared" ca="1" si="38"/>
        <v>1.2120885613605932</v>
      </c>
      <c r="BC15" s="83">
        <f t="shared" ca="1" si="39"/>
        <v>3.4797659972714894</v>
      </c>
      <c r="BD15" s="83">
        <f t="shared" ca="1" si="40"/>
        <v>0.60604428068029659</v>
      </c>
      <c r="BE15" s="83">
        <f t="shared" ca="1" si="41"/>
        <v>0.81214138875862685</v>
      </c>
      <c r="BF15" s="83">
        <f t="shared" ca="1" si="42"/>
        <v>0.97122062985567748</v>
      </c>
      <c r="BG15" s="83">
        <f t="shared" ca="1" si="43"/>
        <v>9.5067510773070456</v>
      </c>
      <c r="BH15" s="83">
        <f t="shared" ca="1" si="44"/>
        <v>4.8330779883382107</v>
      </c>
      <c r="BI15" s="83">
        <f t="shared" ca="1" si="45"/>
        <v>1.1545981948138457</v>
      </c>
      <c r="BJ15" s="83">
        <f t="shared" ca="1" si="46"/>
        <v>1.3535689812643781</v>
      </c>
      <c r="BK15" s="83">
        <f t="shared" ca="1" si="47"/>
        <v>0.7367880640284451</v>
      </c>
      <c r="BL15" s="83">
        <f t="shared" ca="1" si="48"/>
        <v>4.1113191378592333</v>
      </c>
      <c r="BM15" s="83">
        <f t="shared" ca="1" si="49"/>
        <v>4.8602150301547766</v>
      </c>
      <c r="BN15" s="83">
        <f t="shared" ca="1" si="50"/>
        <v>0.24912492170257253</v>
      </c>
      <c r="BO15" s="83">
        <f t="shared" ca="1" si="51"/>
        <v>0.5023554982012125</v>
      </c>
      <c r="BP15" s="83">
        <f t="shared" ca="1" si="52"/>
        <v>0.18977874376490253</v>
      </c>
      <c r="BQ15" s="83">
        <f t="shared" ca="1" si="53"/>
        <v>3.2912134830631654</v>
      </c>
      <c r="BR15" s="83">
        <f t="shared" ca="1" si="54"/>
        <v>7.1610509482597742</v>
      </c>
      <c r="BS15" s="83">
        <f t="shared" ca="1" si="55"/>
        <v>0.64676662365090953</v>
      </c>
      <c r="BT15" s="83">
        <f t="shared" ca="1" si="56"/>
        <v>0.79260534160635743</v>
      </c>
      <c r="BU15" s="83">
        <f t="shared" ca="1" si="57"/>
        <v>0.68097078645053244</v>
      </c>
      <c r="BV15" s="83">
        <f t="shared" ca="1" si="58"/>
        <v>4.9098430648975091</v>
      </c>
      <c r="BW15" s="83">
        <f t="shared" ca="1" si="59"/>
        <v>6.172277177816353</v>
      </c>
      <c r="BX15" s="83">
        <f t="shared" ca="1" si="60"/>
        <v>0.57969452934637067</v>
      </c>
      <c r="BY15" s="83">
        <f t="shared" ca="1" si="61"/>
        <v>0.79260534160635743</v>
      </c>
      <c r="BZ15" s="83">
        <f t="shared" ca="1" si="62"/>
        <v>0.68097078645053244</v>
      </c>
      <c r="CA15" s="83">
        <f t="shared" ca="1" si="63"/>
        <v>6.8090351075831395</v>
      </c>
      <c r="CB15" s="83">
        <f t="shared" ca="1" si="64"/>
        <v>4.9898231716115848</v>
      </c>
      <c r="CC15" s="83">
        <f t="shared" ca="1" si="65"/>
        <v>0.70904785407655258</v>
      </c>
      <c r="CD15" s="83">
        <f t="shared" ca="1" si="66"/>
        <v>4.3810907348316235</v>
      </c>
      <c r="CE15" s="83">
        <f t="shared" ca="1" si="67"/>
        <v>3.1480400809046207</v>
      </c>
      <c r="CF15" s="83">
        <f t="shared" ca="1" si="68"/>
        <v>7.7265127276364733</v>
      </c>
      <c r="CG15" s="83">
        <f t="shared" ca="1" si="69"/>
        <v>3.1480400809046207</v>
      </c>
      <c r="CH15" s="83">
        <f t="shared" ca="1" si="70"/>
        <v>4.4044406532026255</v>
      </c>
      <c r="CI15" s="83">
        <f t="shared" ca="1" si="71"/>
        <v>10.55869265020811</v>
      </c>
      <c r="CJ15" s="83">
        <f t="shared" ca="1" si="72"/>
        <v>4.4044406532026255</v>
      </c>
      <c r="CK15" s="83">
        <f t="shared" ca="1" si="73"/>
        <v>2.6977159697239061</v>
      </c>
    </row>
    <row r="16" spans="1:89" x14ac:dyDescent="0.25">
      <c r="A16" t="str">
        <f>Plantilla!D19</f>
        <v>J. Vartiainen</v>
      </c>
      <c r="B16" s="319">
        <f>Plantilla!E19</f>
        <v>19</v>
      </c>
      <c r="C16" s="115">
        <f ca="1">Plantilla!F19</f>
        <v>83</v>
      </c>
      <c r="D16" s="319" t="str">
        <f>Plantilla!G19</f>
        <v>CAB</v>
      </c>
      <c r="E16" s="265">
        <f>Plantilla!O19</f>
        <v>43628</v>
      </c>
      <c r="F16" s="115">
        <f>Plantilla!Q19</f>
        <v>6</v>
      </c>
      <c r="G16" s="142">
        <f t="shared" si="0"/>
        <v>0.92582009977255142</v>
      </c>
      <c r="H16" s="142">
        <f t="shared" si="1"/>
        <v>0.99928545900129484</v>
      </c>
      <c r="I16" s="195">
        <f ca="1">Plantilla!P19</f>
        <v>0.38624561461075513</v>
      </c>
      <c r="J16" s="196">
        <f>Plantilla!I19</f>
        <v>0.4</v>
      </c>
      <c r="K16" s="49">
        <f>Plantilla!X19</f>
        <v>0</v>
      </c>
      <c r="L16" s="49">
        <f>Plantilla!Y19</f>
        <v>7</v>
      </c>
      <c r="M16" s="49">
        <f>Plantilla!Z19</f>
        <v>8.6999999999999993</v>
      </c>
      <c r="N16" s="49">
        <f>Plantilla!AA19</f>
        <v>1</v>
      </c>
      <c r="O16" s="49">
        <f>Plantilla!AB19</f>
        <v>1</v>
      </c>
      <c r="P16" s="49">
        <f>Plantilla!AC19</f>
        <v>6</v>
      </c>
      <c r="Q16" s="49">
        <f>Plantilla!AD19</f>
        <v>1</v>
      </c>
      <c r="R16" s="196">
        <f t="shared" si="2"/>
        <v>1.5</v>
      </c>
      <c r="S16" s="196">
        <f t="shared" ca="1" si="3"/>
        <v>2.591006249402831</v>
      </c>
      <c r="T16" s="49">
        <f t="shared" si="4"/>
        <v>0.32999999999999996</v>
      </c>
      <c r="U16" s="49">
        <f t="shared" si="5"/>
        <v>0.31</v>
      </c>
      <c r="V16" s="196">
        <f t="shared" ca="1" si="6"/>
        <v>0.87490757432259247</v>
      </c>
      <c r="W16" s="196">
        <f t="shared" ca="1" si="7"/>
        <v>0.9443329402822952</v>
      </c>
      <c r="X16" s="83">
        <f t="shared" ca="1" si="8"/>
        <v>1.8059902514609376</v>
      </c>
      <c r="Y16" s="83">
        <f t="shared" ca="1" si="9"/>
        <v>2.7886556868683505</v>
      </c>
      <c r="Z16" s="83">
        <f t="shared" ca="1" si="10"/>
        <v>1.8059902514609376</v>
      </c>
      <c r="AA16" s="83">
        <f t="shared" ca="1" si="11"/>
        <v>3.5375200111727878</v>
      </c>
      <c r="AB16" s="83">
        <f t="shared" ca="1" si="12"/>
        <v>6.8556589363813716</v>
      </c>
      <c r="AC16" s="83">
        <f t="shared" ca="1" si="13"/>
        <v>1.7687600055863939</v>
      </c>
      <c r="AD16" s="83">
        <f t="shared" ca="1" si="14"/>
        <v>2.0362468268587666</v>
      </c>
      <c r="AE16" s="83">
        <f t="shared" ca="1" si="15"/>
        <v>2.5914390779521583</v>
      </c>
      <c r="AF16" s="83">
        <f t="shared" ca="1" si="16"/>
        <v>4.9566414110037318</v>
      </c>
      <c r="AG16" s="83">
        <f t="shared" ca="1" si="17"/>
        <v>1.2957195389760792</v>
      </c>
      <c r="AH16" s="83">
        <f t="shared" ca="1" si="18"/>
        <v>3.2939286905068283</v>
      </c>
      <c r="AI16" s="83">
        <f t="shared" ca="1" si="19"/>
        <v>6.307206221470862</v>
      </c>
      <c r="AJ16" s="83">
        <f t="shared" ca="1" si="20"/>
        <v>2.8382427996618875</v>
      </c>
      <c r="AK16" s="83">
        <f t="shared" ca="1" si="21"/>
        <v>1.4287950423756892</v>
      </c>
      <c r="AL16" s="83">
        <f t="shared" ca="1" si="22"/>
        <v>0.5031274545922465</v>
      </c>
      <c r="AM16" s="83">
        <f t="shared" ca="1" si="23"/>
        <v>5.1691668380315541</v>
      </c>
      <c r="AN16" s="83">
        <f t="shared" ca="1" si="24"/>
        <v>4.8538065269580111</v>
      </c>
      <c r="AO16" s="83">
        <f t="shared" ca="1" si="25"/>
        <v>0.14289504237568909</v>
      </c>
      <c r="AP16" s="83">
        <f t="shared" ca="1" si="26"/>
        <v>0.39042977367783499</v>
      </c>
      <c r="AQ16" s="83">
        <f t="shared" ca="1" si="27"/>
        <v>1.8510279128229705</v>
      </c>
      <c r="AR16" s="83">
        <f t="shared" ca="1" si="28"/>
        <v>4.0722614082105348</v>
      </c>
      <c r="AS16" s="83">
        <f t="shared" ca="1" si="29"/>
        <v>0.92551395641148526</v>
      </c>
      <c r="AT16" s="83">
        <f t="shared" ca="1" si="30"/>
        <v>8.0765420359440139</v>
      </c>
      <c r="AU16" s="83">
        <f t="shared" ca="1" si="31"/>
        <v>0.11123566172957833</v>
      </c>
      <c r="AV16" s="83">
        <f t="shared" ca="1" si="32"/>
        <v>1.1157080683597418</v>
      </c>
      <c r="AW16" s="83">
        <f t="shared" ca="1" si="33"/>
        <v>5.5617830864789164E-2</v>
      </c>
      <c r="AX16" s="83">
        <f t="shared" ca="1" si="34"/>
        <v>1.2957195389760792</v>
      </c>
      <c r="AY16" s="83">
        <f t="shared" ca="1" si="35"/>
        <v>2.742263574552549</v>
      </c>
      <c r="AZ16" s="83">
        <f t="shared" ca="1" si="36"/>
        <v>0.64785976948803958</v>
      </c>
      <c r="BA16" s="83">
        <f t="shared" ca="1" si="37"/>
        <v>8.5556589363813718</v>
      </c>
      <c r="BB16" s="83">
        <f t="shared" ca="1" si="38"/>
        <v>0.21648171090448703</v>
      </c>
      <c r="BC16" s="83">
        <f t="shared" ca="1" si="39"/>
        <v>1.5214680739461357</v>
      </c>
      <c r="BD16" s="83">
        <f t="shared" ca="1" si="40"/>
        <v>0.10824085545224352</v>
      </c>
      <c r="BE16" s="83">
        <f t="shared" ca="1" si="41"/>
        <v>1.994996750486979</v>
      </c>
      <c r="BF16" s="83">
        <f t="shared" ca="1" si="42"/>
        <v>2.3857693098607173</v>
      </c>
      <c r="BG16" s="83">
        <f t="shared" ca="1" si="43"/>
        <v>7.5375355229519885</v>
      </c>
      <c r="BH16" s="83">
        <f t="shared" ca="1" si="44"/>
        <v>0.76068079444303938</v>
      </c>
      <c r="BI16" s="83">
        <f t="shared" ca="1" si="45"/>
        <v>0.20621380366791056</v>
      </c>
      <c r="BJ16" s="83">
        <f t="shared" ca="1" si="46"/>
        <v>3.3249945841449651</v>
      </c>
      <c r="BK16" s="83">
        <f t="shared" ca="1" si="47"/>
        <v>1.8098939592046821</v>
      </c>
      <c r="BL16" s="83">
        <f t="shared" ca="1" si="48"/>
        <v>3.2597060547613026</v>
      </c>
      <c r="BM16" s="83">
        <f t="shared" ca="1" si="49"/>
        <v>0.74784591039731885</v>
      </c>
      <c r="BN16" s="83">
        <f t="shared" ca="1" si="50"/>
        <v>4.4494264691831327E-2</v>
      </c>
      <c r="BO16" s="83">
        <f t="shared" ca="1" si="51"/>
        <v>1.2340186085486469</v>
      </c>
      <c r="BP16" s="83">
        <f t="shared" ca="1" si="52"/>
        <v>0.46618480767393328</v>
      </c>
      <c r="BQ16" s="83">
        <f t="shared" ca="1" si="53"/>
        <v>2.6094759755963182</v>
      </c>
      <c r="BR16" s="83">
        <f t="shared" ca="1" si="54"/>
        <v>1.1003773921864439</v>
      </c>
      <c r="BS16" s="83">
        <f t="shared" ca="1" si="55"/>
        <v>0.11551395641148518</v>
      </c>
      <c r="BT16" s="83">
        <f t="shared" ca="1" si="56"/>
        <v>1.9470071379323093</v>
      </c>
      <c r="BU16" s="83">
        <f t="shared" ca="1" si="57"/>
        <v>1.6727807804770547</v>
      </c>
      <c r="BV16" s="83">
        <f t="shared" ca="1" si="58"/>
        <v>3.8928248160535244</v>
      </c>
      <c r="BW16" s="83">
        <f t="shared" ca="1" si="59"/>
        <v>0.94807010151055982</v>
      </c>
      <c r="BX16" s="83">
        <f t="shared" ca="1" si="60"/>
        <v>0.10353473130214597</v>
      </c>
      <c r="BY16" s="83">
        <f t="shared" ca="1" si="61"/>
        <v>1.9470071379323093</v>
      </c>
      <c r="BZ16" s="83">
        <f t="shared" ca="1" si="62"/>
        <v>1.6727807804770547</v>
      </c>
      <c r="CA16" s="83">
        <f t="shared" ca="1" si="63"/>
        <v>5.398620788856646</v>
      </c>
      <c r="CB16" s="83">
        <f t="shared" ca="1" si="64"/>
        <v>0.76581474806132765</v>
      </c>
      <c r="CC16" s="83">
        <f t="shared" ca="1" si="65"/>
        <v>0.126637522584443</v>
      </c>
      <c r="CD16" s="83">
        <f t="shared" ca="1" si="66"/>
        <v>3.4735975281708371</v>
      </c>
      <c r="CE16" s="83">
        <f t="shared" ca="1" si="67"/>
        <v>1.0807983058546946</v>
      </c>
      <c r="CF16" s="83">
        <f t="shared" ca="1" si="68"/>
        <v>3.8784719623654245</v>
      </c>
      <c r="CG16" s="83">
        <f t="shared" ca="1" si="69"/>
        <v>1.0807983058546946</v>
      </c>
      <c r="CH16" s="83">
        <f t="shared" ca="1" si="70"/>
        <v>1.9926516575667983</v>
      </c>
      <c r="CI16" s="83">
        <f t="shared" ca="1" si="71"/>
        <v>6.1713970839060979</v>
      </c>
      <c r="CJ16" s="83">
        <f t="shared" ca="1" si="72"/>
        <v>1.9926516575667983</v>
      </c>
      <c r="CK16" s="83">
        <f t="shared" ca="1" si="73"/>
        <v>2.1389147340953429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78</v>
      </c>
      <c r="D17" s="319" t="str">
        <f>Plantilla!G16</f>
        <v>POT</v>
      </c>
      <c r="E17" s="265">
        <f>Plantilla!O16</f>
        <v>43626</v>
      </c>
      <c r="F17" s="115">
        <f>Plantilla!Q16</f>
        <v>3</v>
      </c>
      <c r="G17" s="142">
        <f t="shared" si="0"/>
        <v>0.65465367070797709</v>
      </c>
      <c r="H17" s="142">
        <f t="shared" si="1"/>
        <v>0.75498344352707503</v>
      </c>
      <c r="I17" s="195">
        <f ca="1">Plantilla!P16</f>
        <v>0.39272035185262583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9.4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5.2773848327435839</v>
      </c>
      <c r="T17" s="49">
        <f t="shared" si="4"/>
        <v>0.36</v>
      </c>
      <c r="U17" s="49">
        <f t="shared" si="5"/>
        <v>0.34</v>
      </c>
      <c r="V17" s="196">
        <f t="shared" ca="1" si="6"/>
        <v>1.9059834311168955</v>
      </c>
      <c r="W17" s="196">
        <f t="shared" ca="1" si="7"/>
        <v>2.1980873223761015</v>
      </c>
      <c r="X17" s="83">
        <f t="shared" ca="1" si="8"/>
        <v>2.6499081262376247</v>
      </c>
      <c r="Y17" s="83">
        <f t="shared" ca="1" si="9"/>
        <v>4.0366487869103924</v>
      </c>
      <c r="Z17" s="83">
        <f t="shared" ca="1" si="10"/>
        <v>2.6499081262376247</v>
      </c>
      <c r="AA17" s="83">
        <f t="shared" ca="1" si="11"/>
        <v>4.0363305763328912</v>
      </c>
      <c r="AB17" s="83">
        <f t="shared" ca="1" si="12"/>
        <v>7.822346078164518</v>
      </c>
      <c r="AC17" s="83">
        <f t="shared" ca="1" si="13"/>
        <v>2.0181652881664456</v>
      </c>
      <c r="AD17" s="83">
        <f t="shared" ca="1" si="14"/>
        <v>2.4329183666031553</v>
      </c>
      <c r="AE17" s="83">
        <f t="shared" ca="1" si="15"/>
        <v>2.9568468175461877</v>
      </c>
      <c r="AF17" s="83">
        <f t="shared" ca="1" si="16"/>
        <v>5.6555562145129459</v>
      </c>
      <c r="AG17" s="83">
        <f t="shared" ca="1" si="17"/>
        <v>1.4784234087730939</v>
      </c>
      <c r="AH17" s="83">
        <f t="shared" ca="1" si="18"/>
        <v>3.9356032400933398</v>
      </c>
      <c r="AI17" s="83">
        <f t="shared" ca="1" si="19"/>
        <v>7.1965583919113572</v>
      </c>
      <c r="AJ17" s="83">
        <f t="shared" ca="1" si="20"/>
        <v>3.2384512763601103</v>
      </c>
      <c r="AK17" s="83">
        <f t="shared" ca="1" si="21"/>
        <v>1.7071317950534746</v>
      </c>
      <c r="AL17" s="83">
        <f t="shared" ca="1" si="22"/>
        <v>1.6595394939607369</v>
      </c>
      <c r="AM17" s="83">
        <f t="shared" ca="1" si="23"/>
        <v>5.8980489429360468</v>
      </c>
      <c r="AN17" s="83">
        <f t="shared" ca="1" si="24"/>
        <v>5.5382210233404781</v>
      </c>
      <c r="AO17" s="83">
        <f t="shared" ca="1" si="25"/>
        <v>0.47133179505347461</v>
      </c>
      <c r="AP17" s="83">
        <f t="shared" ca="1" si="26"/>
        <v>0.88483567051138123</v>
      </c>
      <c r="AQ17" s="83">
        <f t="shared" ca="1" si="27"/>
        <v>2.1120334411044199</v>
      </c>
      <c r="AR17" s="83">
        <f t="shared" ca="1" si="28"/>
        <v>4.6464735704297233</v>
      </c>
      <c r="AS17" s="83">
        <f t="shared" ca="1" si="29"/>
        <v>1.05601672055221</v>
      </c>
      <c r="AT17" s="83">
        <f t="shared" ca="1" si="30"/>
        <v>9.649894697787305</v>
      </c>
      <c r="AU17" s="83">
        <f t="shared" ca="1" si="31"/>
        <v>0.62690499016138734</v>
      </c>
      <c r="AV17" s="83">
        <f t="shared" ca="1" si="32"/>
        <v>1.7589474009022035</v>
      </c>
      <c r="AW17" s="83">
        <f t="shared" ca="1" si="33"/>
        <v>0.31345249508069367</v>
      </c>
      <c r="AX17" s="83">
        <f t="shared" ca="1" si="34"/>
        <v>1.4784234087730939</v>
      </c>
      <c r="AY17" s="83">
        <f t="shared" ca="1" si="35"/>
        <v>3.1289384312658073</v>
      </c>
      <c r="AZ17" s="83">
        <f t="shared" ca="1" si="36"/>
        <v>0.73921170438654693</v>
      </c>
      <c r="BA17" s="83">
        <f t="shared" ca="1" si="37"/>
        <v>10.222346078164518</v>
      </c>
      <c r="BB17" s="83">
        <f t="shared" ca="1" si="38"/>
        <v>1.2200535577756231</v>
      </c>
      <c r="BC17" s="83">
        <f t="shared" ca="1" si="39"/>
        <v>3.0771126890686493</v>
      </c>
      <c r="BD17" s="83">
        <f t="shared" ca="1" si="40"/>
        <v>0.61002677888781154</v>
      </c>
      <c r="BE17" s="83">
        <f t="shared" ca="1" si="41"/>
        <v>2.2763027087458747</v>
      </c>
      <c r="BF17" s="83">
        <f t="shared" ca="1" si="42"/>
        <v>2.7221764352012521</v>
      </c>
      <c r="BG17" s="83">
        <f t="shared" ca="1" si="43"/>
        <v>9.0058868948629414</v>
      </c>
      <c r="BH17" s="83">
        <f t="shared" ca="1" si="44"/>
        <v>3.1390656634882568</v>
      </c>
      <c r="BI17" s="83">
        <f t="shared" ca="1" si="45"/>
        <v>1.1621854048376488</v>
      </c>
      <c r="BJ17" s="83">
        <f t="shared" ca="1" si="46"/>
        <v>3.7938378479097912</v>
      </c>
      <c r="BK17" s="83">
        <f t="shared" ca="1" si="47"/>
        <v>2.065099364635433</v>
      </c>
      <c r="BL17" s="83">
        <f t="shared" ca="1" si="48"/>
        <v>3.8947138557806817</v>
      </c>
      <c r="BM17" s="83">
        <f t="shared" ca="1" si="49"/>
        <v>2.8687304723157894</v>
      </c>
      <c r="BN17" s="83">
        <f t="shared" ca="1" si="50"/>
        <v>0.2507619960645549</v>
      </c>
      <c r="BO17" s="83">
        <f t="shared" ca="1" si="51"/>
        <v>1.4080222940696132</v>
      </c>
      <c r="BP17" s="83">
        <f t="shared" ca="1" si="52"/>
        <v>0.53191953331518727</v>
      </c>
      <c r="BQ17" s="83">
        <f t="shared" ca="1" si="53"/>
        <v>3.1178155538401779</v>
      </c>
      <c r="BR17" s="83">
        <f t="shared" ca="1" si="54"/>
        <v>4.2015370565195704</v>
      </c>
      <c r="BS17" s="83">
        <f t="shared" ca="1" si="55"/>
        <v>0.65101672055220994</v>
      </c>
      <c r="BT17" s="83">
        <f t="shared" ca="1" si="56"/>
        <v>2.221546286198723</v>
      </c>
      <c r="BU17" s="83">
        <f t="shared" ca="1" si="57"/>
        <v>1.9086524430721423</v>
      </c>
      <c r="BV17" s="83">
        <f t="shared" ca="1" si="58"/>
        <v>4.6511674655648561</v>
      </c>
      <c r="BW17" s="83">
        <f t="shared" ca="1" si="59"/>
        <v>3.6151594546062862</v>
      </c>
      <c r="BX17" s="83">
        <f t="shared" ca="1" si="60"/>
        <v>0.58350387545790661</v>
      </c>
      <c r="BY17" s="83">
        <f t="shared" ca="1" si="61"/>
        <v>2.221546286198723</v>
      </c>
      <c r="BZ17" s="83">
        <f t="shared" ca="1" si="62"/>
        <v>1.9086524430721423</v>
      </c>
      <c r="CA17" s="83">
        <f t="shared" ca="1" si="63"/>
        <v>6.4503003753218113</v>
      </c>
      <c r="CB17" s="83">
        <f t="shared" ca="1" si="64"/>
        <v>2.9119997399572437</v>
      </c>
      <c r="CC17" s="83">
        <f t="shared" ca="1" si="65"/>
        <v>0.71370721956834859</v>
      </c>
      <c r="CD17" s="83">
        <f t="shared" ca="1" si="66"/>
        <v>4.1502725077347948</v>
      </c>
      <c r="CE17" s="83">
        <f t="shared" ca="1" si="67"/>
        <v>2.4784423067237138</v>
      </c>
      <c r="CF17" s="83">
        <f t="shared" ca="1" si="68"/>
        <v>6.5959616840132469</v>
      </c>
      <c r="CG17" s="83">
        <f t="shared" ca="1" si="69"/>
        <v>2.4784423067237138</v>
      </c>
      <c r="CH17" s="83">
        <f t="shared" ca="1" si="70"/>
        <v>3.240214315214812</v>
      </c>
      <c r="CI17" s="83">
        <f t="shared" ca="1" si="71"/>
        <v>8.6017917810072255</v>
      </c>
      <c r="CJ17" s="83">
        <f t="shared" ca="1" si="72"/>
        <v>3.240214315214812</v>
      </c>
      <c r="CK17" s="83">
        <f t="shared" ca="1" si="73"/>
        <v>2.5555865195411296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36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0.31036652147110561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9.3333333333333339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0.46811299415555219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3.1619377528460406</v>
      </c>
      <c r="W18" s="196">
        <f t="shared" ca="1" si="7"/>
        <v>3.4608416205804531</v>
      </c>
      <c r="X18" s="83">
        <f t="shared" ca="1" si="8"/>
        <v>1.3960871691845234</v>
      </c>
      <c r="Y18" s="83">
        <f t="shared" ca="1" si="9"/>
        <v>2.1150922513370216</v>
      </c>
      <c r="Z18" s="83">
        <f t="shared" ca="1" si="10"/>
        <v>1.3960871691845234</v>
      </c>
      <c r="AA18" s="83">
        <f t="shared" ca="1" si="11"/>
        <v>1.883776608590165</v>
      </c>
      <c r="AB18" s="83">
        <f t="shared" ca="1" si="12"/>
        <v>3.650729861608847</v>
      </c>
      <c r="AC18" s="83">
        <f t="shared" ca="1" si="13"/>
        <v>0.94188830429508252</v>
      </c>
      <c r="AD18" s="83">
        <f t="shared" ca="1" si="14"/>
        <v>2.3762070403962392</v>
      </c>
      <c r="AE18" s="83">
        <f t="shared" ca="1" si="15"/>
        <v>1.3799758876881443</v>
      </c>
      <c r="AF18" s="83">
        <f t="shared" ca="1" si="16"/>
        <v>2.6394776899431962</v>
      </c>
      <c r="AG18" s="83">
        <f t="shared" ca="1" si="17"/>
        <v>0.68998794384407214</v>
      </c>
      <c r="AH18" s="83">
        <f t="shared" ca="1" si="18"/>
        <v>3.8438643300527402</v>
      </c>
      <c r="AI18" s="83">
        <f t="shared" ca="1" si="19"/>
        <v>3.3586714726801392</v>
      </c>
      <c r="AJ18" s="83">
        <f t="shared" ca="1" si="20"/>
        <v>1.5114021627060625</v>
      </c>
      <c r="AK18" s="83">
        <f t="shared" ca="1" si="21"/>
        <v>1.6673385535553444</v>
      </c>
      <c r="AL18" s="83">
        <f t="shared" ca="1" si="22"/>
        <v>5.6746291586260025</v>
      </c>
      <c r="AM18" s="83">
        <f t="shared" ca="1" si="23"/>
        <v>2.7526503156530708</v>
      </c>
      <c r="AN18" s="83">
        <f t="shared" ca="1" si="24"/>
        <v>2.5847167420190638</v>
      </c>
      <c r="AO18" s="83">
        <f t="shared" ca="1" si="25"/>
        <v>0.60967188688867746</v>
      </c>
      <c r="AP18" s="83">
        <f t="shared" ca="1" si="26"/>
        <v>0.83541020014334788</v>
      </c>
      <c r="AQ18" s="83">
        <f t="shared" ca="1" si="27"/>
        <v>0.98569706263438872</v>
      </c>
      <c r="AR18" s="83">
        <f t="shared" ca="1" si="28"/>
        <v>2.1685335377956552</v>
      </c>
      <c r="AS18" s="83">
        <f t="shared" ca="1" si="29"/>
        <v>0.49284853131719436</v>
      </c>
      <c r="AT18" s="83">
        <f t="shared" ca="1" si="30"/>
        <v>9.4249556560254195</v>
      </c>
      <c r="AU18" s="83">
        <f t="shared" ca="1" si="31"/>
        <v>0.86459488200915013</v>
      </c>
      <c r="AV18" s="83">
        <f t="shared" ca="1" si="32"/>
        <v>1.429663849451392</v>
      </c>
      <c r="AW18" s="83">
        <f t="shared" ca="1" si="33"/>
        <v>0.43229744100457507</v>
      </c>
      <c r="AX18" s="83">
        <f t="shared" ca="1" si="34"/>
        <v>0.68998794384407214</v>
      </c>
      <c r="AY18" s="83">
        <f t="shared" ca="1" si="35"/>
        <v>1.460291944643539</v>
      </c>
      <c r="AZ18" s="83">
        <f t="shared" ca="1" si="36"/>
        <v>0.34499397192203607</v>
      </c>
      <c r="BA18" s="83">
        <f t="shared" ca="1" si="37"/>
        <v>9.9840631949421823</v>
      </c>
      <c r="BB18" s="83">
        <f t="shared" ca="1" si="38"/>
        <v>1.6826346549870381</v>
      </c>
      <c r="BC18" s="83">
        <f t="shared" ca="1" si="39"/>
        <v>3.0345521537464748</v>
      </c>
      <c r="BD18" s="83">
        <f t="shared" ca="1" si="40"/>
        <v>0.84131732749351906</v>
      </c>
      <c r="BE18" s="83">
        <f t="shared" ca="1" si="41"/>
        <v>1.0623623897281744</v>
      </c>
      <c r="BF18" s="83">
        <f t="shared" ca="1" si="42"/>
        <v>1.2704539918398787</v>
      </c>
      <c r="BG18" s="83">
        <f t="shared" ca="1" si="43"/>
        <v>8.7959596747440632</v>
      </c>
      <c r="BH18" s="83">
        <f t="shared" ca="1" si="44"/>
        <v>7.6344988469702653</v>
      </c>
      <c r="BI18" s="83">
        <f t="shared" ca="1" si="45"/>
        <v>1.602825896647732</v>
      </c>
      <c r="BJ18" s="83">
        <f t="shared" ca="1" si="46"/>
        <v>1.7706039828802909</v>
      </c>
      <c r="BK18" s="83">
        <f t="shared" ca="1" si="47"/>
        <v>0.96379268346473568</v>
      </c>
      <c r="BL18" s="83">
        <f t="shared" ca="1" si="48"/>
        <v>3.8039280772729716</v>
      </c>
      <c r="BM18" s="83">
        <f t="shared" ca="1" si="49"/>
        <v>7.8317378990461339</v>
      </c>
      <c r="BN18" s="83">
        <f t="shared" ca="1" si="50"/>
        <v>0.34583795280366003</v>
      </c>
      <c r="BO18" s="83">
        <f t="shared" ca="1" si="51"/>
        <v>0.65713137508959241</v>
      </c>
      <c r="BP18" s="83">
        <f t="shared" ca="1" si="52"/>
        <v>0.24824963058940161</v>
      </c>
      <c r="BQ18" s="83">
        <f t="shared" ca="1" si="53"/>
        <v>3.0451392744573655</v>
      </c>
      <c r="BR18" s="83">
        <f t="shared" ca="1" si="54"/>
        <v>11.552838602028979</v>
      </c>
      <c r="BS18" s="83">
        <f t="shared" ca="1" si="55"/>
        <v>0.89784853131719433</v>
      </c>
      <c r="BT18" s="83">
        <f t="shared" ca="1" si="56"/>
        <v>1.0368072806969124</v>
      </c>
      <c r="BU18" s="83">
        <f t="shared" ca="1" si="57"/>
        <v>0.89077808623255861</v>
      </c>
      <c r="BV18" s="83">
        <f t="shared" ca="1" si="58"/>
        <v>4.5427487536986932</v>
      </c>
      <c r="BW18" s="83">
        <f t="shared" ca="1" si="59"/>
        <v>9.9610086866626038</v>
      </c>
      <c r="BX18" s="83">
        <f t="shared" ca="1" si="60"/>
        <v>0.80473831325467038</v>
      </c>
      <c r="BY18" s="83">
        <f t="shared" ca="1" si="61"/>
        <v>1.0368072806969124</v>
      </c>
      <c r="BZ18" s="83">
        <f t="shared" ca="1" si="62"/>
        <v>0.89077808623255861</v>
      </c>
      <c r="CA18" s="83">
        <f t="shared" ca="1" si="63"/>
        <v>6.2999438760085171</v>
      </c>
      <c r="CB18" s="83">
        <f t="shared" ca="1" si="64"/>
        <v>8.0584032261399177</v>
      </c>
      <c r="CC18" s="83">
        <f t="shared" ca="1" si="65"/>
        <v>0.9843080195181092</v>
      </c>
      <c r="CD18" s="83">
        <f t="shared" ca="1" si="66"/>
        <v>4.0535296571465267</v>
      </c>
      <c r="CE18" s="83">
        <f t="shared" ca="1" si="67"/>
        <v>3.5160302578982097</v>
      </c>
      <c r="CF18" s="83">
        <f t="shared" ca="1" si="68"/>
        <v>5.7397218241715615</v>
      </c>
      <c r="CG18" s="83">
        <f t="shared" ca="1" si="69"/>
        <v>3.5160302578982097</v>
      </c>
      <c r="CH18" s="83">
        <f t="shared" ca="1" si="70"/>
        <v>4.2057094081998248</v>
      </c>
      <c r="CI18" s="83">
        <f t="shared" ca="1" si="71"/>
        <v>6.1048491805425114</v>
      </c>
      <c r="CJ18" s="83">
        <f t="shared" ca="1" si="72"/>
        <v>4.2057094081998248</v>
      </c>
      <c r="CK18" s="83">
        <f t="shared" ca="1" si="73"/>
        <v>2.4960157987355456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42</v>
      </c>
      <c r="D19" s="319">
        <f>Plantilla!G18</f>
        <v>0</v>
      </c>
      <c r="E19" s="265">
        <f>Plantilla!O18</f>
        <v>43639</v>
      </c>
      <c r="F19" s="115">
        <f>Plantilla!Q18</f>
        <v>4</v>
      </c>
      <c r="G19" s="142">
        <f t="shared" si="0"/>
        <v>0.7559289460184544</v>
      </c>
      <c r="H19" s="142">
        <f t="shared" si="1"/>
        <v>0.84430867747355465</v>
      </c>
      <c r="I19" s="195">
        <f ca="1">Plantilla!P18</f>
        <v>0.34946799693424763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9.6923076923076916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3.9752506839130586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1.7564079573805147</v>
      </c>
      <c r="W19" s="196">
        <f t="shared" ca="1" si="7"/>
        <v>1.961759087822742</v>
      </c>
      <c r="X19" s="83">
        <f t="shared" ca="1" si="8"/>
        <v>1.9045356774009505</v>
      </c>
      <c r="Y19" s="83">
        <f t="shared" ca="1" si="9"/>
        <v>2.8669903316433301</v>
      </c>
      <c r="Z19" s="83">
        <f t="shared" ca="1" si="10"/>
        <v>1.9045356774009505</v>
      </c>
      <c r="AA19" s="83">
        <f t="shared" ca="1" si="11"/>
        <v>2.1843028746149948</v>
      </c>
      <c r="AB19" s="83">
        <f t="shared" ca="1" si="12"/>
        <v>4.233145105843013</v>
      </c>
      <c r="AC19" s="83">
        <f t="shared" ca="1" si="13"/>
        <v>1.0921514373074974</v>
      </c>
      <c r="AD19" s="83">
        <f t="shared" ca="1" si="14"/>
        <v>2.6002577659598676</v>
      </c>
      <c r="AE19" s="83">
        <f t="shared" ca="1" si="15"/>
        <v>1.600128850008659</v>
      </c>
      <c r="AF19" s="83">
        <f t="shared" ca="1" si="16"/>
        <v>3.0605639115244982</v>
      </c>
      <c r="AG19" s="83">
        <f t="shared" ca="1" si="17"/>
        <v>0.8000644250043295</v>
      </c>
      <c r="AH19" s="83">
        <f t="shared" ca="1" si="18"/>
        <v>4.2062993272880211</v>
      </c>
      <c r="AI19" s="83">
        <f t="shared" ca="1" si="19"/>
        <v>3.894493497375572</v>
      </c>
      <c r="AJ19" s="83">
        <f t="shared" ca="1" si="20"/>
        <v>1.7525220738190073</v>
      </c>
      <c r="AK19" s="83">
        <f t="shared" ca="1" si="21"/>
        <v>1.8245506172911679</v>
      </c>
      <c r="AL19" s="83">
        <f t="shared" ca="1" si="22"/>
        <v>6.0170893222356909</v>
      </c>
      <c r="AM19" s="83">
        <f t="shared" ca="1" si="23"/>
        <v>3.1917914098056319</v>
      </c>
      <c r="AN19" s="83">
        <f t="shared" ca="1" si="24"/>
        <v>2.9970667349368529</v>
      </c>
      <c r="AO19" s="83">
        <f t="shared" ca="1" si="25"/>
        <v>0.37293523267578321</v>
      </c>
      <c r="AP19" s="83">
        <f t="shared" ca="1" si="26"/>
        <v>0.93114579048278778</v>
      </c>
      <c r="AQ19" s="83">
        <f t="shared" ca="1" si="27"/>
        <v>1.1429491785776136</v>
      </c>
      <c r="AR19" s="83">
        <f t="shared" ca="1" si="28"/>
        <v>2.5144881928707496</v>
      </c>
      <c r="AS19" s="83">
        <f t="shared" ca="1" si="29"/>
        <v>0.57147458928880679</v>
      </c>
      <c r="AT19" s="83">
        <f t="shared" ca="1" si="30"/>
        <v>10.313627441454265</v>
      </c>
      <c r="AU19" s="83">
        <f t="shared" ca="1" si="31"/>
        <v>0.81030886375959166</v>
      </c>
      <c r="AV19" s="83">
        <f t="shared" ca="1" si="32"/>
        <v>1.8263115160120027</v>
      </c>
      <c r="AW19" s="83">
        <f t="shared" ca="1" si="33"/>
        <v>0.40515443187979583</v>
      </c>
      <c r="AX19" s="83">
        <f t="shared" ca="1" si="34"/>
        <v>0.8000644250043295</v>
      </c>
      <c r="AY19" s="83">
        <f t="shared" ca="1" si="35"/>
        <v>1.6932580423372052</v>
      </c>
      <c r="AZ19" s="83">
        <f t="shared" ca="1" si="36"/>
        <v>0.40003221250216475</v>
      </c>
      <c r="BA19" s="83">
        <f t="shared" ca="1" si="37"/>
        <v>10.925452798150705</v>
      </c>
      <c r="BB19" s="83">
        <f t="shared" ca="1" si="38"/>
        <v>1.5769857117782824</v>
      </c>
      <c r="BC19" s="83">
        <f t="shared" ca="1" si="39"/>
        <v>3.4344629533195006</v>
      </c>
      <c r="BD19" s="83">
        <f t="shared" ca="1" si="40"/>
        <v>0.7884928558891412</v>
      </c>
      <c r="BE19" s="83">
        <f t="shared" ca="1" si="41"/>
        <v>1.2318452258003167</v>
      </c>
      <c r="BF19" s="83">
        <f t="shared" ca="1" si="42"/>
        <v>1.4731344968333684</v>
      </c>
      <c r="BG19" s="83">
        <f t="shared" ca="1" si="43"/>
        <v>9.625323915170771</v>
      </c>
      <c r="BH19" s="83">
        <f t="shared" ca="1" si="44"/>
        <v>7.8372659990944378</v>
      </c>
      <c r="BI19" s="83">
        <f t="shared" ca="1" si="45"/>
        <v>1.502187970508166</v>
      </c>
      <c r="BJ19" s="83">
        <f t="shared" ca="1" si="46"/>
        <v>2.0530753763338612</v>
      </c>
      <c r="BK19" s="83">
        <f t="shared" ca="1" si="47"/>
        <v>1.1175503079425555</v>
      </c>
      <c r="BL19" s="83">
        <f t="shared" ca="1" si="48"/>
        <v>4.1625975160954187</v>
      </c>
      <c r="BM19" s="83">
        <f t="shared" ca="1" si="49"/>
        <v>8.1397688225067935</v>
      </c>
      <c r="BN19" s="83">
        <f t="shared" ca="1" si="50"/>
        <v>0.32412354550383665</v>
      </c>
      <c r="BO19" s="83">
        <f t="shared" ca="1" si="51"/>
        <v>0.76196611905174227</v>
      </c>
      <c r="BP19" s="83">
        <f t="shared" ca="1" si="52"/>
        <v>0.28785386719732492</v>
      </c>
      <c r="BQ19" s="83">
        <f t="shared" ca="1" si="53"/>
        <v>3.3322631034359649</v>
      </c>
      <c r="BR19" s="83">
        <f t="shared" ca="1" si="54"/>
        <v>12.015824606114114</v>
      </c>
      <c r="BS19" s="83">
        <f t="shared" ca="1" si="55"/>
        <v>0.84147458928880681</v>
      </c>
      <c r="BT19" s="83">
        <f t="shared" ca="1" si="56"/>
        <v>1.2022132100594156</v>
      </c>
      <c r="BU19" s="83">
        <f t="shared" ca="1" si="57"/>
        <v>1.0328874058256952</v>
      </c>
      <c r="BV19" s="83">
        <f t="shared" ca="1" si="58"/>
        <v>4.9710810231585709</v>
      </c>
      <c r="BW19" s="83">
        <f t="shared" ca="1" si="59"/>
        <v>10.362324777274058</v>
      </c>
      <c r="BX19" s="83">
        <f t="shared" ca="1" si="60"/>
        <v>0.75421055780700452</v>
      </c>
      <c r="BY19" s="83">
        <f t="shared" ca="1" si="61"/>
        <v>1.2022132100594156</v>
      </c>
      <c r="BZ19" s="83">
        <f t="shared" ca="1" si="62"/>
        <v>1.0328874058256952</v>
      </c>
      <c r="CA19" s="83">
        <f t="shared" ca="1" si="63"/>
        <v>6.8939607156330949</v>
      </c>
      <c r="CB19" s="83">
        <f t="shared" ca="1" si="64"/>
        <v>8.3866648697294952</v>
      </c>
      <c r="CC19" s="83">
        <f t="shared" ca="1" si="65"/>
        <v>0.92250547566476582</v>
      </c>
      <c r="CD19" s="83">
        <f t="shared" ca="1" si="66"/>
        <v>4.4357338360491863</v>
      </c>
      <c r="CE19" s="83">
        <f t="shared" ca="1" si="67"/>
        <v>3.8234686001442095</v>
      </c>
      <c r="CF19" s="83">
        <f t="shared" ca="1" si="68"/>
        <v>7.0185213891792326</v>
      </c>
      <c r="CG19" s="83">
        <f t="shared" ca="1" si="69"/>
        <v>3.8234686001442095</v>
      </c>
      <c r="CH19" s="83">
        <f t="shared" ca="1" si="70"/>
        <v>4.9363877217372929</v>
      </c>
      <c r="CI19" s="83">
        <f t="shared" ca="1" si="71"/>
        <v>8.5331756498990856</v>
      </c>
      <c r="CJ19" s="83">
        <f t="shared" ca="1" si="72"/>
        <v>4.9363877217372929</v>
      </c>
      <c r="CK19" s="83">
        <f t="shared" ca="1" si="73"/>
        <v>2.7313631995376761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23</v>
      </c>
      <c r="D20" s="319" t="str">
        <f>Plantilla!G15</f>
        <v>CAB</v>
      </c>
      <c r="E20" s="265">
        <f>Plantilla!O15</f>
        <v>43626</v>
      </c>
      <c r="F20" s="115">
        <f>Plantilla!Q15</f>
        <v>6</v>
      </c>
      <c r="G20" s="142">
        <f t="shared" si="0"/>
        <v>0.92582009977255142</v>
      </c>
      <c r="H20" s="142">
        <f t="shared" si="1"/>
        <v>0.99928545900129484</v>
      </c>
      <c r="I20" s="195">
        <f ca="1">Plantilla!P15</f>
        <v>0.39272035185262583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7.8612327159479722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7.9503755359348656</v>
      </c>
      <c r="W20" s="196">
        <f t="shared" ca="1" si="7"/>
        <v>8.5812510104405071</v>
      </c>
      <c r="X20" s="83">
        <f t="shared" ca="1" si="8"/>
        <v>2.0910118375667777</v>
      </c>
      <c r="Y20" s="83">
        <f t="shared" ca="1" si="9"/>
        <v>3.1932992924383847</v>
      </c>
      <c r="Z20" s="83">
        <f t="shared" ca="1" si="10"/>
        <v>2.0910118375667777</v>
      </c>
      <c r="AA20" s="83">
        <f t="shared" ca="1" si="11"/>
        <v>3.3531203988367211</v>
      </c>
      <c r="AB20" s="83">
        <f t="shared" ca="1" si="12"/>
        <v>6.4982953465827924</v>
      </c>
      <c r="AC20" s="83">
        <f t="shared" ca="1" si="13"/>
        <v>1.6765601994183605</v>
      </c>
      <c r="AD20" s="83">
        <f t="shared" ca="1" si="14"/>
        <v>2.0225942924867044</v>
      </c>
      <c r="AE20" s="83">
        <f t="shared" ca="1" si="15"/>
        <v>2.4563556410082956</v>
      </c>
      <c r="AF20" s="83">
        <f t="shared" ca="1" si="16"/>
        <v>4.6982675355793591</v>
      </c>
      <c r="AG20" s="83">
        <f t="shared" ca="1" si="17"/>
        <v>1.2281778205041478</v>
      </c>
      <c r="AH20" s="83">
        <f t="shared" ca="1" si="18"/>
        <v>3.2718437084343748</v>
      </c>
      <c r="AI20" s="83">
        <f t="shared" ca="1" si="19"/>
        <v>5.9784317188561689</v>
      </c>
      <c r="AJ20" s="83">
        <f t="shared" ca="1" si="20"/>
        <v>2.6902942734852759</v>
      </c>
      <c r="AK20" s="83">
        <f t="shared" ca="1" si="21"/>
        <v>1.4192153228793263</v>
      </c>
      <c r="AL20" s="83">
        <f t="shared" ca="1" si="22"/>
        <v>1.4689976637906819</v>
      </c>
      <c r="AM20" s="83">
        <f t="shared" ca="1" si="23"/>
        <v>4.8997146913234255</v>
      </c>
      <c r="AN20" s="83">
        <f t="shared" ca="1" si="24"/>
        <v>4.6007931053806166</v>
      </c>
      <c r="AO20" s="83">
        <f t="shared" ca="1" si="25"/>
        <v>1.4192153228793263</v>
      </c>
      <c r="AP20" s="83">
        <f t="shared" ca="1" si="26"/>
        <v>0.6835090598158442</v>
      </c>
      <c r="AQ20" s="83">
        <f t="shared" ca="1" si="27"/>
        <v>1.754539743577354</v>
      </c>
      <c r="AR20" s="83">
        <f t="shared" ca="1" si="28"/>
        <v>3.8599874358701785</v>
      </c>
      <c r="AS20" s="83">
        <f t="shared" ca="1" si="29"/>
        <v>0.87726987178867699</v>
      </c>
      <c r="AT20" s="83">
        <f t="shared" ca="1" si="30"/>
        <v>8.0223908071741548</v>
      </c>
      <c r="AU20" s="83">
        <f t="shared" ca="1" si="31"/>
        <v>0.45477839505576301</v>
      </c>
      <c r="AV20" s="83">
        <f t="shared" ca="1" si="32"/>
        <v>1.5440005365487579</v>
      </c>
      <c r="AW20" s="83">
        <f t="shared" ca="1" si="33"/>
        <v>0.2273891975278815</v>
      </c>
      <c r="AX20" s="83">
        <f t="shared" ca="1" si="34"/>
        <v>1.2281778205041478</v>
      </c>
      <c r="AY20" s="83">
        <f t="shared" ca="1" si="35"/>
        <v>2.5993181386331172</v>
      </c>
      <c r="AZ20" s="83">
        <f t="shared" ca="1" si="36"/>
        <v>0.61408891025207391</v>
      </c>
      <c r="BA20" s="83">
        <f t="shared" ca="1" si="37"/>
        <v>8.4982953465827915</v>
      </c>
      <c r="BB20" s="83">
        <f t="shared" ca="1" si="38"/>
        <v>0.88506872268544645</v>
      </c>
      <c r="BC20" s="83">
        <f t="shared" ca="1" si="39"/>
        <v>2.5575607359671189</v>
      </c>
      <c r="BD20" s="83">
        <f t="shared" ca="1" si="40"/>
        <v>0.44253436134272323</v>
      </c>
      <c r="BE20" s="83">
        <f t="shared" ca="1" si="41"/>
        <v>1.8910039458555925</v>
      </c>
      <c r="BF20" s="83">
        <f t="shared" ca="1" si="42"/>
        <v>2.2614067806108116</v>
      </c>
      <c r="BG20" s="83">
        <f t="shared" ca="1" si="43"/>
        <v>7.4869982003394391</v>
      </c>
      <c r="BH20" s="83">
        <f t="shared" ca="1" si="44"/>
        <v>2.5359845631121023</v>
      </c>
      <c r="BI20" s="83">
        <f t="shared" ca="1" si="45"/>
        <v>0.84308917852645293</v>
      </c>
      <c r="BJ20" s="83">
        <f t="shared" ca="1" si="46"/>
        <v>3.1516732430926542</v>
      </c>
      <c r="BK20" s="83">
        <f t="shared" ca="1" si="47"/>
        <v>1.7155499714978573</v>
      </c>
      <c r="BL20" s="83">
        <f t="shared" ca="1" si="48"/>
        <v>3.2378505270480438</v>
      </c>
      <c r="BM20" s="83">
        <f t="shared" ca="1" si="49"/>
        <v>2.3845101329133609</v>
      </c>
      <c r="BN20" s="83">
        <f t="shared" ca="1" si="50"/>
        <v>0.18191135802230521</v>
      </c>
      <c r="BO20" s="83">
        <f t="shared" ca="1" si="51"/>
        <v>1.1696931623849025</v>
      </c>
      <c r="BP20" s="83">
        <f t="shared" ca="1" si="52"/>
        <v>0.44188408356762993</v>
      </c>
      <c r="BQ20" s="83">
        <f t="shared" ca="1" si="53"/>
        <v>2.5919800807077515</v>
      </c>
      <c r="BR20" s="83">
        <f t="shared" ca="1" si="54"/>
        <v>3.4988078157054709</v>
      </c>
      <c r="BS20" s="83">
        <f t="shared" ca="1" si="55"/>
        <v>0.47226987178867702</v>
      </c>
      <c r="BT20" s="83">
        <f t="shared" ca="1" si="56"/>
        <v>1.8455158784295129</v>
      </c>
      <c r="BU20" s="83">
        <f t="shared" ca="1" si="57"/>
        <v>1.5855840645662014</v>
      </c>
      <c r="BV20" s="83">
        <f t="shared" ca="1" si="58"/>
        <v>3.8667243826951703</v>
      </c>
      <c r="BW20" s="83">
        <f t="shared" ca="1" si="59"/>
        <v>3.0121112440137341</v>
      </c>
      <c r="BX20" s="83">
        <f t="shared" ca="1" si="60"/>
        <v>0.42329373693651789</v>
      </c>
      <c r="BY20" s="83">
        <f t="shared" ca="1" si="61"/>
        <v>1.8455158784295129</v>
      </c>
      <c r="BZ20" s="83">
        <f t="shared" ca="1" si="62"/>
        <v>1.5855840645662014</v>
      </c>
      <c r="CA20" s="83">
        <f t="shared" ca="1" si="63"/>
        <v>5.3624243636937416</v>
      </c>
      <c r="CB20" s="83">
        <f t="shared" ca="1" si="64"/>
        <v>2.4289743351915991</v>
      </c>
      <c r="CC20" s="83">
        <f t="shared" ca="1" si="65"/>
        <v>0.51774771129425323</v>
      </c>
      <c r="CD20" s="83">
        <f t="shared" ca="1" si="66"/>
        <v>3.4503079107126138</v>
      </c>
      <c r="CE20" s="83">
        <f t="shared" ca="1" si="67"/>
        <v>2.0596118755696349</v>
      </c>
      <c r="CF20" s="83">
        <f t="shared" ca="1" si="68"/>
        <v>5.6880805602522244</v>
      </c>
      <c r="CG20" s="83">
        <f t="shared" ca="1" si="69"/>
        <v>2.0596118755696349</v>
      </c>
      <c r="CH20" s="83">
        <f t="shared" ca="1" si="70"/>
        <v>2.8963307094393969</v>
      </c>
      <c r="CI20" s="83">
        <f t="shared" ca="1" si="71"/>
        <v>7.7891663294718425</v>
      </c>
      <c r="CJ20" s="83">
        <f t="shared" ca="1" si="72"/>
        <v>2.8963307094393969</v>
      </c>
      <c r="CK20" s="83">
        <f t="shared" ca="1" si="73"/>
        <v>2.1245738366456979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38</v>
      </c>
      <c r="D21" s="319" t="str">
        <f>Plantilla!G20</f>
        <v>IMP</v>
      </c>
      <c r="E21" s="265">
        <f>Plantilla!O20</f>
        <v>43650</v>
      </c>
      <c r="F21" s="115">
        <f>Plantilla!Q20</f>
        <v>7</v>
      </c>
      <c r="G21" s="142">
        <f t="shared" si="0"/>
        <v>1</v>
      </c>
      <c r="H21" s="142">
        <f t="shared" si="1"/>
        <v>1</v>
      </c>
      <c r="I21" s="195">
        <f ca="1">Plantilla!P20</f>
        <v>0.31036652147110561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8.6363636363636367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4.7102110927018881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4.1584941616246303</v>
      </c>
      <c r="W21" s="196">
        <f t="shared" ca="1" si="7"/>
        <v>4.1584941616246303</v>
      </c>
      <c r="X21" s="83">
        <f t="shared" ca="1" si="8"/>
        <v>3.4163367800582574</v>
      </c>
      <c r="Y21" s="83">
        <f t="shared" ca="1" si="9"/>
        <v>5.2037477469131845</v>
      </c>
      <c r="Z21" s="83">
        <f t="shared" ca="1" si="10"/>
        <v>3.4163367800582574</v>
      </c>
      <c r="AA21" s="83">
        <f t="shared" ca="1" si="11"/>
        <v>5.195071911237183</v>
      </c>
      <c r="AB21" s="83">
        <f t="shared" ca="1" si="12"/>
        <v>10.067968820227099</v>
      </c>
      <c r="AC21" s="83">
        <f t="shared" ca="1" si="13"/>
        <v>2.5975359556185915</v>
      </c>
      <c r="AD21" s="83">
        <f t="shared" ca="1" si="14"/>
        <v>2.309631124668595</v>
      </c>
      <c r="AE21" s="83">
        <f t="shared" ca="1" si="15"/>
        <v>3.8056922140458433</v>
      </c>
      <c r="AF21" s="83">
        <f t="shared" ca="1" si="16"/>
        <v>7.2791414570241928</v>
      </c>
      <c r="AG21" s="83">
        <f t="shared" ca="1" si="17"/>
        <v>1.9028461070229217</v>
      </c>
      <c r="AH21" s="83">
        <f t="shared" ca="1" si="18"/>
        <v>3.7361679957874334</v>
      </c>
      <c r="AI21" s="83">
        <f t="shared" ca="1" si="19"/>
        <v>9.2625313146089319</v>
      </c>
      <c r="AJ21" s="83">
        <f t="shared" ca="1" si="20"/>
        <v>4.1681390915740186</v>
      </c>
      <c r="AK21" s="83">
        <f t="shared" ca="1" si="21"/>
        <v>1.6206235202506529</v>
      </c>
      <c r="AL21" s="83">
        <f t="shared" ca="1" si="22"/>
        <v>5.9199656662935336</v>
      </c>
      <c r="AM21" s="83">
        <f t="shared" ca="1" si="23"/>
        <v>7.5912484904512327</v>
      </c>
      <c r="AN21" s="83">
        <f t="shared" ca="1" si="24"/>
        <v>7.1281219247207854</v>
      </c>
      <c r="AO21" s="83">
        <f t="shared" ca="1" si="25"/>
        <v>0.67935079297792555</v>
      </c>
      <c r="AP21" s="83">
        <f t="shared" ca="1" si="26"/>
        <v>1.0995750202254044</v>
      </c>
      <c r="AQ21" s="83">
        <f t="shared" ca="1" si="27"/>
        <v>2.7183515814613171</v>
      </c>
      <c r="AR21" s="83">
        <f t="shared" ca="1" si="28"/>
        <v>5.9803734792148964</v>
      </c>
      <c r="AS21" s="83">
        <f t="shared" ca="1" si="29"/>
        <v>1.3591757907306585</v>
      </c>
      <c r="AT21" s="83">
        <f t="shared" ca="1" si="30"/>
        <v>9.1608898390216549</v>
      </c>
      <c r="AU21" s="83">
        <f t="shared" ca="1" si="31"/>
        <v>0.78883594662952294</v>
      </c>
      <c r="AV21" s="83">
        <f t="shared" ca="1" si="32"/>
        <v>1.7779148643265399</v>
      </c>
      <c r="AW21" s="83">
        <f t="shared" ca="1" si="33"/>
        <v>0.39441797331476147</v>
      </c>
      <c r="AX21" s="83">
        <f t="shared" ca="1" si="34"/>
        <v>1.9028461070229217</v>
      </c>
      <c r="AY21" s="83">
        <f t="shared" ca="1" si="35"/>
        <v>4.02718752809084</v>
      </c>
      <c r="AZ21" s="83">
        <f t="shared" ca="1" si="36"/>
        <v>0.95142305351146084</v>
      </c>
      <c r="BA21" s="83">
        <f t="shared" ca="1" si="37"/>
        <v>9.7043324565907358</v>
      </c>
      <c r="BB21" s="83">
        <f t="shared" ca="1" si="38"/>
        <v>1.5351961115174562</v>
      </c>
      <c r="BC21" s="83">
        <f t="shared" ca="1" si="39"/>
        <v>3.3434508199451316</v>
      </c>
      <c r="BD21" s="83">
        <f t="shared" ca="1" si="40"/>
        <v>0.76759805575872808</v>
      </c>
      <c r="BE21" s="83">
        <f t="shared" ca="1" si="41"/>
        <v>2.9297789266860859</v>
      </c>
      <c r="BF21" s="83">
        <f t="shared" ca="1" si="42"/>
        <v>3.5036531494390304</v>
      </c>
      <c r="BG21" s="83">
        <f t="shared" ca="1" si="43"/>
        <v>8.5495168942564383</v>
      </c>
      <c r="BH21" s="83">
        <f t="shared" ca="1" si="44"/>
        <v>7.6904242811818904</v>
      </c>
      <c r="BI21" s="83">
        <f t="shared" ca="1" si="45"/>
        <v>1.4623804856747309</v>
      </c>
      <c r="BJ21" s="83">
        <f t="shared" ca="1" si="46"/>
        <v>4.8829648778101431</v>
      </c>
      <c r="BK21" s="83">
        <f t="shared" ca="1" si="47"/>
        <v>2.6579437685399543</v>
      </c>
      <c r="BL21" s="83">
        <f t="shared" ca="1" si="48"/>
        <v>3.6973506659610704</v>
      </c>
      <c r="BM21" s="83">
        <f t="shared" ca="1" si="49"/>
        <v>7.9954047488784852</v>
      </c>
      <c r="BN21" s="83">
        <f t="shared" ca="1" si="50"/>
        <v>0.31553437865180917</v>
      </c>
      <c r="BO21" s="83">
        <f t="shared" ca="1" si="51"/>
        <v>1.8122343876408777</v>
      </c>
      <c r="BP21" s="83">
        <f t="shared" ca="1" si="52"/>
        <v>0.68462187977544275</v>
      </c>
      <c r="BQ21" s="83">
        <f t="shared" ca="1" si="53"/>
        <v>2.9598213992601745</v>
      </c>
      <c r="BR21" s="83">
        <f t="shared" ca="1" si="54"/>
        <v>11.803407902812049</v>
      </c>
      <c r="BS21" s="83">
        <f t="shared" ca="1" si="55"/>
        <v>0.81917579073065849</v>
      </c>
      <c r="BT21" s="83">
        <f t="shared" ca="1" si="56"/>
        <v>2.8593031449444961</v>
      </c>
      <c r="BU21" s="83">
        <f t="shared" ca="1" si="57"/>
        <v>2.456584392135412</v>
      </c>
      <c r="BV21" s="83">
        <f t="shared" ca="1" si="58"/>
        <v>4.4154712677487851</v>
      </c>
      <c r="BW21" s="83">
        <f t="shared" ca="1" si="59"/>
        <v>10.179309452811626</v>
      </c>
      <c r="BX21" s="83">
        <f t="shared" ca="1" si="60"/>
        <v>0.73422422724747893</v>
      </c>
      <c r="BY21" s="83">
        <f t="shared" ca="1" si="61"/>
        <v>2.8593031449444961</v>
      </c>
      <c r="BZ21" s="83">
        <f t="shared" ca="1" si="62"/>
        <v>2.456584392135412</v>
      </c>
      <c r="CA21" s="83">
        <f t="shared" ca="1" si="63"/>
        <v>6.1234337801087539</v>
      </c>
      <c r="CB21" s="83">
        <f t="shared" ca="1" si="64"/>
        <v>8.2388320941032536</v>
      </c>
      <c r="CC21" s="83">
        <f t="shared" ca="1" si="65"/>
        <v>0.89805938539361063</v>
      </c>
      <c r="CD21" s="83">
        <f t="shared" ca="1" si="66"/>
        <v>3.9399589773758392</v>
      </c>
      <c r="CE21" s="83">
        <f t="shared" ca="1" si="67"/>
        <v>3.7374117553383188</v>
      </c>
      <c r="CF21" s="83">
        <f t="shared" ca="1" si="68"/>
        <v>6.8325328915757133</v>
      </c>
      <c r="CG21" s="83">
        <f t="shared" ca="1" si="69"/>
        <v>3.7374117553383188</v>
      </c>
      <c r="CH21" s="83">
        <f t="shared" ca="1" si="70"/>
        <v>4.8436492794189956</v>
      </c>
      <c r="CI21" s="83">
        <f t="shared" ca="1" si="71"/>
        <v>8.3070493148908984</v>
      </c>
      <c r="CJ21" s="83">
        <f t="shared" ca="1" si="72"/>
        <v>4.8436492794189956</v>
      </c>
      <c r="CK21" s="83">
        <f t="shared" ca="1" si="73"/>
        <v>2.426083114147684</v>
      </c>
    </row>
    <row r="22" spans="1:89" x14ac:dyDescent="0.25">
      <c r="A22" t="str">
        <f>Plantilla!D21</f>
        <v>K. Helms</v>
      </c>
      <c r="B22" s="319">
        <f>Plantilla!E21</f>
        <v>35</v>
      </c>
      <c r="C22" s="115">
        <f ca="1">Plantilla!F21</f>
        <v>98</v>
      </c>
      <c r="D22" s="319" t="str">
        <f>Plantilla!G21</f>
        <v>TEC</v>
      </c>
      <c r="E22" s="265">
        <v>36526</v>
      </c>
      <c r="F22" s="115">
        <f>Plantilla!Q21</f>
        <v>3</v>
      </c>
      <c r="G22" s="142">
        <f t="shared" si="0"/>
        <v>0.65465367070797709</v>
      </c>
      <c r="H22" s="142">
        <f t="shared" si="1"/>
        <v>0.75498344352707503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13.395120936256001</v>
      </c>
      <c r="W22" s="196">
        <f t="shared" ca="1" si="7"/>
        <v>15.448007066055764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1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1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38</v>
      </c>
      <c r="D25" s="319" t="str">
        <f>Plantilla!G24</f>
        <v>RAP</v>
      </c>
      <c r="E25" s="265">
        <v>36526</v>
      </c>
      <c r="F25" s="115">
        <f>Plantilla!Q24</f>
        <v>7</v>
      </c>
      <c r="G25" s="142">
        <f t="shared" si="0"/>
        <v>1</v>
      </c>
      <c r="H25" s="142">
        <f t="shared" si="1"/>
        <v>1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9.9499999999999993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3.7172023809523811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21.54448332279366</v>
      </c>
      <c r="W25" s="196">
        <f t="shared" ca="1" si="7"/>
        <v>21.54448332279366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1.9473654826788613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1.6892828319631767</v>
      </c>
      <c r="AV25" s="83">
        <f t="shared" si="32"/>
        <v>3.288383613578544</v>
      </c>
      <c r="AW25" s="83">
        <f t="shared" si="33"/>
        <v>0.84464141598158837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3.2876042806667978</v>
      </c>
      <c r="BC25" s="83">
        <f t="shared" si="39"/>
        <v>6.5299603108593107</v>
      </c>
      <c r="BD25" s="83">
        <f t="shared" si="40"/>
        <v>1.6438021403333989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10.404095673963567</v>
      </c>
      <c r="BI25" s="83">
        <f t="shared" si="45"/>
        <v>3.1316704807932734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10.011178424121665</v>
      </c>
      <c r="BN25" s="83">
        <f t="shared" si="50"/>
        <v>0.67571313278527056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14.710905553112655</v>
      </c>
      <c r="BS25" s="83">
        <f t="shared" si="55"/>
        <v>1.754255248577145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12.669887521655381</v>
      </c>
      <c r="BX25" s="83">
        <f t="shared" si="60"/>
        <v>1.5723324820580336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10.226062573900331</v>
      </c>
      <c r="CC25" s="83">
        <f t="shared" si="65"/>
        <v>1.9231835317734625</v>
      </c>
      <c r="CD25" s="83">
        <f t="shared" si="66"/>
        <v>4.8697602290542292</v>
      </c>
      <c r="CE25" s="83">
        <f t="shared" si="67"/>
        <v>6.1011258111754998</v>
      </c>
      <c r="CF25" s="83">
        <f t="shared" si="68"/>
        <v>12.882788221465669</v>
      </c>
      <c r="CG25" s="83">
        <f t="shared" si="69"/>
        <v>6.1011258111754998</v>
      </c>
      <c r="CH25" s="83">
        <f t="shared" si="70"/>
        <v>6.7435631101004549</v>
      </c>
      <c r="CI25" s="83">
        <f t="shared" si="71"/>
        <v>14.789447668904529</v>
      </c>
      <c r="CJ25" s="83">
        <f t="shared" si="72"/>
        <v>6.7435631101004549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69</v>
      </c>
      <c r="D26" s="319">
        <f>Plantilla!G25</f>
        <v>0</v>
      </c>
      <c r="E26" s="265">
        <v>36526</v>
      </c>
      <c r="F26" s="115">
        <f>Plantilla!Q25</f>
        <v>4</v>
      </c>
      <c r="G26" s="142">
        <f t="shared" si="0"/>
        <v>0.7559289460184544</v>
      </c>
      <c r="H26" s="142">
        <f t="shared" si="1"/>
        <v>0.84430867747355465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12.144593735687828</v>
      </c>
      <c r="W26" s="196">
        <f t="shared" ca="1" si="7"/>
        <v>13.564483711650171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4" t="s">
        <v>445</v>
      </c>
      <c r="B35" s="694"/>
      <c r="C35" s="694"/>
      <c r="D35" s="694"/>
      <c r="E35" s="69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66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16.666666666666668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15.727765885352309</v>
      </c>
      <c r="U37" s="83">
        <f ca="1">((H37+F37+(LOG(G37)*4/3))*0.866)+((I37+F37+(LOG(G37)*4/3))*0.425)</f>
        <v>23.17888695073291</v>
      </c>
      <c r="V37" s="83">
        <f ca="1">T37</f>
        <v>15.727765885352309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75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7.95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9.0497110889760286</v>
      </c>
      <c r="U38" s="83">
        <f t="shared" ref="U38:U60" si="91">((H38+F38+(LOG(G38)*4/3))*0.866)+((I38+F38+(LOG(G38)*4/3))*0.425)</f>
        <v>13.365942744407853</v>
      </c>
      <c r="V38" s="83">
        <f t="shared" ref="V38:V60" si="92">T38</f>
        <v>9.0497110889760286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77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85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39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11.95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4.3562499999999993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1.0039</v>
      </c>
      <c r="S42" s="196">
        <f t="shared" ca="1" si="89"/>
        <v>20.184065664376796</v>
      </c>
      <c r="T42" s="83">
        <f t="shared" si="90"/>
        <v>6.0516993250009463</v>
      </c>
      <c r="U42" s="83">
        <f t="shared" si="91"/>
        <v>9.1506487727104471</v>
      </c>
      <c r="V42" s="83">
        <f t="shared" si="92"/>
        <v>6.0516993250009463</v>
      </c>
      <c r="W42" s="83">
        <f t="shared" si="93"/>
        <v>7.7936978828184289</v>
      </c>
      <c r="X42" s="83">
        <f t="shared" si="94"/>
        <v>15.104065664376799</v>
      </c>
      <c r="Y42" s="83">
        <f t="shared" si="95"/>
        <v>3.8968489414092145</v>
      </c>
      <c r="Z42" s="83">
        <f t="shared" si="96"/>
        <v>3.5947676281216783</v>
      </c>
      <c r="AA42" s="83">
        <f t="shared" si="97"/>
        <v>5.7093368211344302</v>
      </c>
      <c r="AB42" s="83">
        <f t="shared" si="98"/>
        <v>10.920239475344426</v>
      </c>
      <c r="AC42" s="83">
        <f t="shared" si="99"/>
        <v>2.8546684105672151</v>
      </c>
      <c r="AD42" s="83">
        <f t="shared" si="100"/>
        <v>5.8150652807850678</v>
      </c>
      <c r="AE42" s="326">
        <f t="shared" si="101"/>
        <v>13.895740411226656</v>
      </c>
      <c r="AF42" s="83">
        <f t="shared" si="102"/>
        <v>6.2530831850519943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11.388465510940106</v>
      </c>
      <c r="AJ42" s="83">
        <f t="shared" si="106"/>
        <v>10.693678490378772</v>
      </c>
      <c r="AK42" s="83">
        <f t="shared" si="107"/>
        <v>3.4542389659509252</v>
      </c>
      <c r="AL42" s="83">
        <f t="shared" si="108"/>
        <v>2.1629709113405182</v>
      </c>
      <c r="AM42" s="83">
        <f t="shared" si="109"/>
        <v>4.078097729381736</v>
      </c>
      <c r="AN42" s="83">
        <f t="shared" si="110"/>
        <v>8.9718150046398186</v>
      </c>
      <c r="AO42" s="83">
        <f t="shared" si="111"/>
        <v>2.039048864690868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2.8546684105672151</v>
      </c>
      <c r="AU42" s="83">
        <f t="shared" si="117"/>
        <v>6.04162626575072</v>
      </c>
      <c r="AV42" s="83">
        <f t="shared" si="118"/>
        <v>1.4273342052836075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4.3952831083336479</v>
      </c>
      <c r="BB42" s="83">
        <f t="shared" si="124"/>
        <v>5.2562148512031257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7.3254718472227474</v>
      </c>
      <c r="BG42" s="83">
        <f t="shared" si="129"/>
        <v>3.987473335395475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2.7187318195878238</v>
      </c>
      <c r="BL42" s="83">
        <f t="shared" si="134"/>
        <v>1.0270764651776225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4.2895546486830103</v>
      </c>
      <c r="BQ42" s="83">
        <f t="shared" si="139"/>
        <v>3.6853920221079388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4.2895546486830103</v>
      </c>
      <c r="BV42" s="83">
        <f t="shared" si="144"/>
        <v>3.6853920221079388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34</v>
      </c>
      <c r="C43">
        <f t="shared" ca="1" si="164"/>
        <v>110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63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21</v>
      </c>
      <c r="D46" t="str">
        <f t="shared" si="170"/>
        <v>CAB</v>
      </c>
      <c r="E46" s="265">
        <f t="shared" si="170"/>
        <v>43626</v>
      </c>
      <c r="F46" s="195">
        <f t="shared" ca="1" si="77"/>
        <v>0.39272035185262583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9.1999999999999993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7.300876923704438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6.0804387282777403</v>
      </c>
      <c r="T46" s="83">
        <f t="shared" ca="1" si="90"/>
        <v>1.0964459522144683</v>
      </c>
      <c r="U46" s="83">
        <f t="shared" ca="1" si="91"/>
        <v>1.6888290083721404</v>
      </c>
      <c r="V46" s="83">
        <f t="shared" ca="1" si="92"/>
        <v>1.0964459522144683</v>
      </c>
      <c r="W46" s="83">
        <f t="shared" ca="1" si="93"/>
        <v>2.0595350645391362</v>
      </c>
      <c r="X46" s="83">
        <f t="shared" ca="1" si="94"/>
        <v>3.991347024300651</v>
      </c>
      <c r="Y46" s="83">
        <f t="shared" ca="1" si="95"/>
        <v>1.0297675322695681</v>
      </c>
      <c r="Z46" s="83">
        <f t="shared" ca="1" si="96"/>
        <v>2.1875405917835549</v>
      </c>
      <c r="AA46" s="83">
        <f t="shared" ca="1" si="97"/>
        <v>1.5087291751856462</v>
      </c>
      <c r="AB46" s="83">
        <f t="shared" ca="1" si="98"/>
        <v>2.8857438985693706</v>
      </c>
      <c r="AC46" s="83">
        <f t="shared" ca="1" si="99"/>
        <v>0.7543645875928231</v>
      </c>
      <c r="AD46" s="83">
        <f t="shared" ca="1" si="100"/>
        <v>3.5386686043557507</v>
      </c>
      <c r="AE46" s="326">
        <f t="shared" ca="1" si="101"/>
        <v>3.6720392623565989</v>
      </c>
      <c r="AF46" s="83">
        <f t="shared" ca="1" si="102"/>
        <v>1.6524176680604694</v>
      </c>
      <c r="AG46" s="83">
        <f t="shared" ca="1" si="103"/>
        <v>1.5349549530582087</v>
      </c>
      <c r="AH46" s="326">
        <f t="shared" ca="1" si="104"/>
        <v>1.7589120502887827</v>
      </c>
      <c r="AI46" s="83">
        <f t="shared" ca="1" si="105"/>
        <v>3.009475656322691</v>
      </c>
      <c r="AJ46" s="83">
        <f t="shared" ca="1" si="106"/>
        <v>2.8258736932048607</v>
      </c>
      <c r="AK46" s="83">
        <f t="shared" ca="1" si="107"/>
        <v>1.0005549530582087</v>
      </c>
      <c r="AL46" s="83">
        <f t="shared" ca="1" si="108"/>
        <v>0.53750794299858751</v>
      </c>
      <c r="AM46" s="83">
        <f t="shared" ca="1" si="109"/>
        <v>1.0776636965611759</v>
      </c>
      <c r="AN46" s="83">
        <f t="shared" ca="1" si="110"/>
        <v>2.3708601324345868</v>
      </c>
      <c r="AO46" s="83">
        <f t="shared" ca="1" si="111"/>
        <v>0.53883184828058794</v>
      </c>
      <c r="AP46" s="83">
        <f t="shared" ca="1" si="112"/>
        <v>8.6766315909398131</v>
      </c>
      <c r="AQ46" s="83">
        <f t="shared" ca="1" si="113"/>
        <v>0.51887511315908463</v>
      </c>
      <c r="AR46" s="83">
        <f t="shared" ca="1" si="114"/>
        <v>1.6884646781200905</v>
      </c>
      <c r="AS46" s="83">
        <f t="shared" ca="1" si="115"/>
        <v>0.25943755657954232</v>
      </c>
      <c r="AT46" s="83">
        <f t="shared" ca="1" si="116"/>
        <v>0.7543645875928231</v>
      </c>
      <c r="AU46" s="83">
        <f t="shared" ca="1" si="117"/>
        <v>1.5965388097202604</v>
      </c>
      <c r="AV46" s="83">
        <f t="shared" ca="1" si="118"/>
        <v>0.37718229379641155</v>
      </c>
      <c r="AW46" s="83">
        <f t="shared" ca="1" si="119"/>
        <v>9.1913470243006508</v>
      </c>
      <c r="AX46" s="83">
        <f t="shared" ca="1" si="120"/>
        <v>1.0098107971480648</v>
      </c>
      <c r="AY46" s="83">
        <f t="shared" ca="1" si="121"/>
        <v>2.8292322103896588</v>
      </c>
      <c r="AZ46" s="83">
        <f t="shared" ca="1" si="122"/>
        <v>0.50490539857403238</v>
      </c>
      <c r="BA46" s="83">
        <f t="shared" ca="1" si="123"/>
        <v>1.1614819840714894</v>
      </c>
      <c r="BB46" s="83">
        <f t="shared" ca="1" si="124"/>
        <v>1.3889887644566266</v>
      </c>
      <c r="BC46" s="83">
        <f t="shared" ca="1" si="125"/>
        <v>8.0975767284088729</v>
      </c>
      <c r="BD46" s="83">
        <f t="shared" ca="1" si="126"/>
        <v>2.9743075046032788</v>
      </c>
      <c r="BE46" s="83">
        <f t="shared" ca="1" si="127"/>
        <v>0.96191463285645684</v>
      </c>
      <c r="BF46" s="83">
        <f t="shared" ca="1" si="128"/>
        <v>1.9358033067858158</v>
      </c>
      <c r="BG46" s="83">
        <f t="shared" ca="1" si="129"/>
        <v>1.0537156144153719</v>
      </c>
      <c r="BH46" s="83">
        <f t="shared" ca="1" si="130"/>
        <v>3.5019032162585479</v>
      </c>
      <c r="BI46" s="83">
        <f t="shared" ca="1" si="131"/>
        <v>2.8154372992387691</v>
      </c>
      <c r="BJ46" s="83">
        <f t="shared" ca="1" si="132"/>
        <v>0.20755004526363385</v>
      </c>
      <c r="BK46" s="83">
        <f t="shared" ca="1" si="133"/>
        <v>0.71844246437411718</v>
      </c>
      <c r="BL46" s="83">
        <f t="shared" ca="1" si="134"/>
        <v>0.27141159765244427</v>
      </c>
      <c r="BM46" s="83">
        <f t="shared" ca="1" si="135"/>
        <v>2.8033608424116983</v>
      </c>
      <c r="BN46" s="83">
        <f t="shared" ca="1" si="136"/>
        <v>4.1328722732506371</v>
      </c>
      <c r="BO46" s="83">
        <f t="shared" ca="1" si="137"/>
        <v>0.53883184828058794</v>
      </c>
      <c r="BP46" s="83">
        <f t="shared" ca="1" si="138"/>
        <v>1.1335425549013849</v>
      </c>
      <c r="BQ46" s="83">
        <f t="shared" ca="1" si="139"/>
        <v>0.97388867392935885</v>
      </c>
      <c r="BR46" s="83">
        <f t="shared" ca="1" si="140"/>
        <v>4.182062896056796</v>
      </c>
      <c r="BS46" s="83">
        <f t="shared" ca="1" si="141"/>
        <v>3.5584125029251217</v>
      </c>
      <c r="BT46" s="83">
        <f t="shared" ca="1" si="142"/>
        <v>0.48295298994037877</v>
      </c>
      <c r="BU46" s="83">
        <f t="shared" ca="1" si="143"/>
        <v>1.1335425549013849</v>
      </c>
      <c r="BV46" s="83">
        <f t="shared" ca="1" si="144"/>
        <v>0.97388867392935885</v>
      </c>
      <c r="BW46" s="83">
        <f t="shared" ca="1" si="145"/>
        <v>5.7997399723337111</v>
      </c>
      <c r="BX46" s="83">
        <f t="shared" ca="1" si="146"/>
        <v>2.8702555867490824</v>
      </c>
      <c r="BY46" s="83">
        <f t="shared" ca="1" si="147"/>
        <v>0.59071935959649635</v>
      </c>
      <c r="BZ46" s="83">
        <f t="shared" ca="1" si="148"/>
        <v>3.7316868918660644</v>
      </c>
      <c r="CA46" s="83">
        <f t="shared" ca="1" si="149"/>
        <v>2.3164917996606391</v>
      </c>
      <c r="CB46" s="83">
        <f t="shared" ca="1" si="150"/>
        <v>6.2432567493625335</v>
      </c>
      <c r="CC46" s="83">
        <f t="shared" ca="1" si="151"/>
        <v>2.3164917996606391</v>
      </c>
      <c r="CD46" s="83">
        <f t="shared" ca="1" si="152"/>
        <v>3.2035019046576227</v>
      </c>
      <c r="CE46" s="83">
        <f t="shared" ca="1" si="153"/>
        <v>8.4641540762675902</v>
      </c>
      <c r="CF46" s="83">
        <f t="shared" ca="1" si="154"/>
        <v>3.2035019046576227</v>
      </c>
      <c r="CG46" s="83">
        <f t="shared" ca="1" si="155"/>
        <v>2.2978367560751627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76</v>
      </c>
      <c r="D47" t="str">
        <f t="shared" si="172"/>
        <v>RAP</v>
      </c>
      <c r="E47" s="265">
        <f t="shared" si="172"/>
        <v>43633</v>
      </c>
      <c r="F47" s="195">
        <f t="shared" ca="1" si="77"/>
        <v>0.36978407636992311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9.687813420576072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2.6545215374830748</v>
      </c>
      <c r="T47" s="83">
        <f t="shared" ca="1" si="90"/>
        <v>1.3209145322004119</v>
      </c>
      <c r="U47" s="83">
        <f t="shared" ca="1" si="91"/>
        <v>2.0039263013410444</v>
      </c>
      <c r="V47" s="83">
        <f t="shared" ca="1" si="92"/>
        <v>1.3209145322004119</v>
      </c>
      <c r="W47" s="83">
        <f t="shared" ca="1" si="93"/>
        <v>1.8393446719535083</v>
      </c>
      <c r="X47" s="83">
        <f t="shared" ca="1" si="94"/>
        <v>3.5646214572742405</v>
      </c>
      <c r="Y47" s="83">
        <f t="shared" ca="1" si="95"/>
        <v>0.91967233597675413</v>
      </c>
      <c r="Z47" s="83">
        <f t="shared" ca="1" si="96"/>
        <v>2.0383799068312691</v>
      </c>
      <c r="AA47" s="83">
        <f t="shared" ca="1" si="97"/>
        <v>1.3474269108496628</v>
      </c>
      <c r="AB47" s="83">
        <f t="shared" ca="1" si="98"/>
        <v>2.5772213136092756</v>
      </c>
      <c r="AC47" s="83">
        <f t="shared" ca="1" si="99"/>
        <v>0.67371345542483141</v>
      </c>
      <c r="AD47" s="83">
        <f t="shared" ca="1" si="100"/>
        <v>3.2973792610505828</v>
      </c>
      <c r="AE47" s="326">
        <f t="shared" ca="1" si="101"/>
        <v>3.2794517406923016</v>
      </c>
      <c r="AF47" s="83">
        <f t="shared" ca="1" si="102"/>
        <v>1.4757532833115354</v>
      </c>
      <c r="AG47" s="83">
        <f t="shared" ca="1" si="103"/>
        <v>1.4302917833647983</v>
      </c>
      <c r="AH47" s="326">
        <f t="shared" ca="1" si="104"/>
        <v>1.5079974168772534</v>
      </c>
      <c r="AI47" s="83">
        <f t="shared" ca="1" si="105"/>
        <v>2.6877245787847772</v>
      </c>
      <c r="AJ47" s="83">
        <f t="shared" ca="1" si="106"/>
        <v>2.5237519917501623</v>
      </c>
      <c r="AK47" s="83">
        <f t="shared" ca="1" si="107"/>
        <v>0.42829178336479817</v>
      </c>
      <c r="AL47" s="83">
        <f t="shared" ca="1" si="108"/>
        <v>0.81061097969498119</v>
      </c>
      <c r="AM47" s="83">
        <f t="shared" ca="1" si="109"/>
        <v>0.96244779346404497</v>
      </c>
      <c r="AN47" s="83">
        <f t="shared" ca="1" si="110"/>
        <v>2.117385145620899</v>
      </c>
      <c r="AO47" s="83">
        <f t="shared" ca="1" si="111"/>
        <v>0.48122389673202248</v>
      </c>
      <c r="AP47" s="83">
        <f t="shared" ca="1" si="112"/>
        <v>8.0850026556668819</v>
      </c>
      <c r="AQ47" s="83">
        <f t="shared" ca="1" si="113"/>
        <v>0.85340078944565134</v>
      </c>
      <c r="AR47" s="83">
        <f t="shared" ca="1" si="114"/>
        <v>2.4424340869813523</v>
      </c>
      <c r="AS47" s="83">
        <f t="shared" ca="1" si="115"/>
        <v>0.42670039472282567</v>
      </c>
      <c r="AT47" s="83">
        <f t="shared" ca="1" si="116"/>
        <v>0.67371345542483141</v>
      </c>
      <c r="AU47" s="83">
        <f t="shared" ca="1" si="117"/>
        <v>1.4258485829096963</v>
      </c>
      <c r="AV47" s="83">
        <f t="shared" ca="1" si="118"/>
        <v>0.3368567277124157</v>
      </c>
      <c r="AW47" s="83">
        <f t="shared" ca="1" si="119"/>
        <v>8.5646214572742405</v>
      </c>
      <c r="AX47" s="83">
        <f t="shared" ca="1" si="120"/>
        <v>1.6608492286903829</v>
      </c>
      <c r="AY47" s="83">
        <f t="shared" ca="1" si="121"/>
        <v>4.2471064229581064</v>
      </c>
      <c r="AZ47" s="83">
        <f t="shared" ca="1" si="122"/>
        <v>0.83042461434519144</v>
      </c>
      <c r="BA47" s="83">
        <f t="shared" ca="1" si="123"/>
        <v>1.037304844066804</v>
      </c>
      <c r="BB47" s="83">
        <f t="shared" ca="1" si="124"/>
        <v>1.2404882671314357</v>
      </c>
      <c r="BC47" s="83">
        <f t="shared" ca="1" si="125"/>
        <v>7.5454315038586062</v>
      </c>
      <c r="BD47" s="83">
        <f t="shared" ca="1" si="126"/>
        <v>3.5399484755168</v>
      </c>
      <c r="BE47" s="83">
        <f t="shared" ca="1" si="127"/>
        <v>1.5820737712030919</v>
      </c>
      <c r="BF47" s="83">
        <f t="shared" ca="1" si="128"/>
        <v>1.7288414067780067</v>
      </c>
      <c r="BG47" s="83">
        <f t="shared" ca="1" si="129"/>
        <v>0.94106006472039949</v>
      </c>
      <c r="BH47" s="83">
        <f t="shared" ca="1" si="130"/>
        <v>3.2631207752214855</v>
      </c>
      <c r="BI47" s="83">
        <f t="shared" ca="1" si="131"/>
        <v>3.0454791536576864</v>
      </c>
      <c r="BJ47" s="83">
        <f t="shared" ca="1" si="132"/>
        <v>0.34136031577826048</v>
      </c>
      <c r="BK47" s="83">
        <f t="shared" ca="1" si="133"/>
        <v>0.64163186230936331</v>
      </c>
      <c r="BL47" s="83">
        <f t="shared" ca="1" si="134"/>
        <v>0.24239425909464837</v>
      </c>
      <c r="BM47" s="83">
        <f t="shared" ca="1" si="135"/>
        <v>2.6122095444686435</v>
      </c>
      <c r="BN47" s="83">
        <f t="shared" ca="1" si="136"/>
        <v>4.4421031940546731</v>
      </c>
      <c r="BO47" s="83">
        <f t="shared" ca="1" si="137"/>
        <v>0.88622389673202251</v>
      </c>
      <c r="BP47" s="83">
        <f t="shared" ca="1" si="138"/>
        <v>1.0123524938658841</v>
      </c>
      <c r="BQ47" s="83">
        <f t="shared" ca="1" si="139"/>
        <v>0.86976763557491465</v>
      </c>
      <c r="BR47" s="83">
        <f t="shared" ca="1" si="140"/>
        <v>3.8969027630597797</v>
      </c>
      <c r="BS47" s="83">
        <f t="shared" ca="1" si="141"/>
        <v>3.8176005746598585</v>
      </c>
      <c r="BT47" s="83">
        <f t="shared" ca="1" si="142"/>
        <v>0.79431919633018311</v>
      </c>
      <c r="BU47" s="83">
        <f t="shared" ca="1" si="143"/>
        <v>1.0123524938658841</v>
      </c>
      <c r="BV47" s="83">
        <f t="shared" ca="1" si="144"/>
        <v>0.86976763557491465</v>
      </c>
      <c r="BW47" s="83">
        <f t="shared" ca="1" si="145"/>
        <v>5.4042761395400456</v>
      </c>
      <c r="BX47" s="83">
        <f t="shared" ca="1" si="146"/>
        <v>3.0673362042604451</v>
      </c>
      <c r="BY47" s="83">
        <f t="shared" ca="1" si="147"/>
        <v>0.97156397567658759</v>
      </c>
      <c r="BZ47" s="83">
        <f t="shared" ca="1" si="148"/>
        <v>3.4772363116533418</v>
      </c>
      <c r="CA47" s="83">
        <f t="shared" ca="1" si="149"/>
        <v>3.2251677792398796</v>
      </c>
      <c r="CB47" s="83">
        <f t="shared" ca="1" si="150"/>
        <v>9.1407637608907955</v>
      </c>
      <c r="CC47" s="83">
        <f t="shared" ca="1" si="151"/>
        <v>3.2251677792398796</v>
      </c>
      <c r="CD47" s="83">
        <f t="shared" ca="1" si="152"/>
        <v>4.1496153080256715</v>
      </c>
      <c r="CE47" s="83">
        <f t="shared" ca="1" si="153"/>
        <v>11.986966775008435</v>
      </c>
      <c r="CF47" s="83">
        <f t="shared" ca="1" si="154"/>
        <v>4.1496153080256715</v>
      </c>
      <c r="CG47" s="83">
        <f t="shared" ca="1" si="155"/>
        <v>2.1411553643185601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37</v>
      </c>
      <c r="D48" t="str">
        <f t="shared" si="174"/>
        <v>IMP</v>
      </c>
      <c r="E48" s="265">
        <f t="shared" si="174"/>
        <v>43630</v>
      </c>
      <c r="F48" s="195">
        <f t="shared" ca="1" si="77"/>
        <v>0.37970923784073518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7.4061924695178885</v>
      </c>
      <c r="Q48" s="196">
        <f t="shared" si="87"/>
        <v>0.4</v>
      </c>
      <c r="R48" s="196">
        <f t="shared" si="88"/>
        <v>0.16</v>
      </c>
      <c r="S48" s="196">
        <f t="shared" ca="1" si="89"/>
        <v>0.87066864527642784</v>
      </c>
      <c r="T48" s="83">
        <f t="shared" ca="1" si="90"/>
        <v>1.785885079587836</v>
      </c>
      <c r="U48" s="83">
        <f t="shared" ca="1" si="91"/>
        <v>2.7083775919219892</v>
      </c>
      <c r="V48" s="83">
        <f t="shared" ca="1" si="92"/>
        <v>1.785885079587836</v>
      </c>
      <c r="W48" s="83">
        <f t="shared" ca="1" si="93"/>
        <v>2.4670386037426391</v>
      </c>
      <c r="X48" s="83">
        <f t="shared" ca="1" si="94"/>
        <v>4.7810825653927109</v>
      </c>
      <c r="Y48" s="83">
        <f t="shared" ca="1" si="95"/>
        <v>1.2335193018713195</v>
      </c>
      <c r="Z48" s="83">
        <f t="shared" ca="1" si="96"/>
        <v>2.565897650563465</v>
      </c>
      <c r="AA48" s="83">
        <f t="shared" ca="1" si="97"/>
        <v>1.8072492097184447</v>
      </c>
      <c r="AB48" s="83">
        <f t="shared" ca="1" si="98"/>
        <v>3.45672269477893</v>
      </c>
      <c r="AC48" s="83">
        <f t="shared" ca="1" si="99"/>
        <v>0.90362460485922236</v>
      </c>
      <c r="AD48" s="83">
        <f t="shared" ca="1" si="100"/>
        <v>4.1507167876761937</v>
      </c>
      <c r="AE48" s="326">
        <f t="shared" ca="1" si="101"/>
        <v>4.3985959601612938</v>
      </c>
      <c r="AF48" s="83">
        <f t="shared" ca="1" si="102"/>
        <v>1.9793681820725821</v>
      </c>
      <c r="AG48" s="83">
        <f t="shared" ca="1" si="103"/>
        <v>1.8004407884205826</v>
      </c>
      <c r="AH48" s="326">
        <f t="shared" ca="1" si="104"/>
        <v>2.2232765484509134</v>
      </c>
      <c r="AI48" s="83">
        <f t="shared" ca="1" si="105"/>
        <v>3.6049362543061041</v>
      </c>
      <c r="AJ48" s="83">
        <f t="shared" ca="1" si="106"/>
        <v>3.3850064562980391</v>
      </c>
      <c r="AK48" s="83">
        <f t="shared" ca="1" si="107"/>
        <v>0.13044078842058257</v>
      </c>
      <c r="AL48" s="83">
        <f t="shared" ca="1" si="108"/>
        <v>0.62095177883310049</v>
      </c>
      <c r="AM48" s="83">
        <f t="shared" ca="1" si="109"/>
        <v>1.290892292656032</v>
      </c>
      <c r="AN48" s="83">
        <f t="shared" ca="1" si="110"/>
        <v>2.8399630438432704</v>
      </c>
      <c r="AO48" s="83">
        <f t="shared" ca="1" si="111"/>
        <v>0.645446146328016</v>
      </c>
      <c r="AP48" s="83">
        <f t="shared" ca="1" si="112"/>
        <v>10.177341941730718</v>
      </c>
      <c r="AQ48" s="83">
        <f t="shared" ca="1" si="113"/>
        <v>0.36154073350105231</v>
      </c>
      <c r="AR48" s="83">
        <f t="shared" ca="1" si="114"/>
        <v>1.852857191660064</v>
      </c>
      <c r="AS48" s="83">
        <f t="shared" ca="1" si="115"/>
        <v>0.18077036675052616</v>
      </c>
      <c r="AT48" s="83">
        <f t="shared" ca="1" si="116"/>
        <v>0.90362460485922236</v>
      </c>
      <c r="AU48" s="83">
        <f t="shared" ca="1" si="117"/>
        <v>1.9124330261570845</v>
      </c>
      <c r="AV48" s="83">
        <f t="shared" ca="1" si="118"/>
        <v>0.45181230242961118</v>
      </c>
      <c r="AW48" s="83">
        <f t="shared" ca="1" si="119"/>
        <v>10.78108256539271</v>
      </c>
      <c r="AX48" s="83">
        <f t="shared" ca="1" si="120"/>
        <v>0.70361388904435562</v>
      </c>
      <c r="AY48" s="83">
        <f t="shared" ca="1" si="121"/>
        <v>2.7923764935313833</v>
      </c>
      <c r="AZ48" s="83">
        <f t="shared" ca="1" si="122"/>
        <v>0.35180694452217781</v>
      </c>
      <c r="BA48" s="83">
        <f t="shared" ca="1" si="123"/>
        <v>1.3912950265292787</v>
      </c>
      <c r="BB48" s="83">
        <f t="shared" ca="1" si="124"/>
        <v>1.6638167327566633</v>
      </c>
      <c r="BC48" s="83">
        <f t="shared" ca="1" si="125"/>
        <v>9.498133740110978</v>
      </c>
      <c r="BD48" s="83">
        <f t="shared" ca="1" si="126"/>
        <v>3.0463824006341191</v>
      </c>
      <c r="BE48" s="83">
        <f t="shared" ca="1" si="127"/>
        <v>0.67024089825964306</v>
      </c>
      <c r="BF48" s="83">
        <f t="shared" ca="1" si="128"/>
        <v>2.3188250442154645</v>
      </c>
      <c r="BG48" s="83">
        <f t="shared" ca="1" si="129"/>
        <v>1.2622057972636758</v>
      </c>
      <c r="BH48" s="83">
        <f t="shared" ca="1" si="130"/>
        <v>4.107592457414623</v>
      </c>
      <c r="BI48" s="83">
        <f t="shared" ca="1" si="131"/>
        <v>3.1036661621532287</v>
      </c>
      <c r="BJ48" s="83">
        <f t="shared" ca="1" si="132"/>
        <v>0.14461629340042093</v>
      </c>
      <c r="BK48" s="83">
        <f t="shared" ca="1" si="133"/>
        <v>0.86059486177068789</v>
      </c>
      <c r="BL48" s="83">
        <f t="shared" ca="1" si="134"/>
        <v>0.32511361444670439</v>
      </c>
      <c r="BM48" s="83">
        <f t="shared" ca="1" si="135"/>
        <v>3.2882301824447766</v>
      </c>
      <c r="BN48" s="83">
        <f t="shared" ca="1" si="136"/>
        <v>4.5764721790950249</v>
      </c>
      <c r="BO48" s="83">
        <f t="shared" ca="1" si="137"/>
        <v>0.37544614632801587</v>
      </c>
      <c r="BP48" s="83">
        <f t="shared" ca="1" si="138"/>
        <v>1.3578274485715298</v>
      </c>
      <c r="BQ48" s="83">
        <f t="shared" ca="1" si="139"/>
        <v>1.1665841459558215</v>
      </c>
      <c r="BR48" s="83">
        <f t="shared" ca="1" si="140"/>
        <v>4.9053925672536831</v>
      </c>
      <c r="BS48" s="83">
        <f t="shared" ca="1" si="141"/>
        <v>3.9454394824551224</v>
      </c>
      <c r="BT48" s="83">
        <f t="shared" ca="1" si="142"/>
        <v>0.33651099041251792</v>
      </c>
      <c r="BU48" s="83">
        <f t="shared" ca="1" si="143"/>
        <v>1.3578274485715298</v>
      </c>
      <c r="BV48" s="83">
        <f t="shared" ca="1" si="144"/>
        <v>1.1665841459558215</v>
      </c>
      <c r="BW48" s="83">
        <f t="shared" ca="1" si="145"/>
        <v>6.8028630987628</v>
      </c>
      <c r="BX48" s="83">
        <f t="shared" ca="1" si="146"/>
        <v>3.1910688960264753</v>
      </c>
      <c r="BY48" s="83">
        <f t="shared" ca="1" si="147"/>
        <v>0.41160021967812105</v>
      </c>
      <c r="BZ48" s="83">
        <f t="shared" ca="1" si="148"/>
        <v>4.3771195215494405</v>
      </c>
      <c r="CA48" s="83">
        <f t="shared" ca="1" si="149"/>
        <v>2.3549440165696018</v>
      </c>
      <c r="CB48" s="83">
        <f t="shared" ca="1" si="150"/>
        <v>6.6294989686321912</v>
      </c>
      <c r="CC48" s="83">
        <f t="shared" ca="1" si="151"/>
        <v>2.3549440165696018</v>
      </c>
      <c r="CD48" s="83">
        <f t="shared" ca="1" si="152"/>
        <v>3.6748900364010666</v>
      </c>
      <c r="CE48" s="83">
        <f t="shared" ca="1" si="153"/>
        <v>9.8073020320226192</v>
      </c>
      <c r="CF48" s="83">
        <f t="shared" ca="1" si="154"/>
        <v>3.6748900364010666</v>
      </c>
      <c r="CG48" s="83">
        <f t="shared" ca="1" si="155"/>
        <v>2.6952706413481775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37</v>
      </c>
      <c r="D49" t="str">
        <f t="shared" si="176"/>
        <v>RAP</v>
      </c>
      <c r="E49" s="265">
        <f t="shared" si="176"/>
        <v>43627</v>
      </c>
      <c r="F49" s="195">
        <f t="shared" ca="1" si="77"/>
        <v>0.38949055134365018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10.727809172359331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6.8800868814301444</v>
      </c>
      <c r="T49" s="83">
        <f t="shared" ca="1" si="90"/>
        <v>1.2424241662758808</v>
      </c>
      <c r="U49" s="83">
        <f t="shared" ca="1" si="91"/>
        <v>1.8710052676542519</v>
      </c>
      <c r="V49" s="83">
        <f t="shared" ca="1" si="92"/>
        <v>1.2424241662758808</v>
      </c>
      <c r="W49" s="83">
        <f t="shared" ca="1" si="93"/>
        <v>1.4400857615101426</v>
      </c>
      <c r="X49" s="83">
        <f t="shared" ca="1" si="94"/>
        <v>2.790863878895625</v>
      </c>
      <c r="Y49" s="83">
        <f t="shared" ca="1" si="95"/>
        <v>0.72004288075507128</v>
      </c>
      <c r="Z49" s="83">
        <f t="shared" ca="1" si="96"/>
        <v>2.5682256031771584</v>
      </c>
      <c r="AA49" s="83">
        <f t="shared" ca="1" si="97"/>
        <v>1.0549465462225462</v>
      </c>
      <c r="AB49" s="83">
        <f t="shared" ca="1" si="98"/>
        <v>2.0177945844415368</v>
      </c>
      <c r="AC49" s="83">
        <f t="shared" ca="1" si="99"/>
        <v>0.52747327311127312</v>
      </c>
      <c r="AD49" s="83">
        <f t="shared" ca="1" si="100"/>
        <v>4.1544825933748157</v>
      </c>
      <c r="AE49" s="326">
        <f t="shared" ca="1" si="101"/>
        <v>2.5675947685839753</v>
      </c>
      <c r="AF49" s="83">
        <f t="shared" ca="1" si="102"/>
        <v>1.1554176458627887</v>
      </c>
      <c r="AG49" s="83">
        <f t="shared" ca="1" si="103"/>
        <v>1.8020742677755694</v>
      </c>
      <c r="AH49" s="326">
        <f t="shared" ca="1" si="104"/>
        <v>3.4050279607906275</v>
      </c>
      <c r="AI49" s="83">
        <f t="shared" ca="1" si="105"/>
        <v>2.1043113646873013</v>
      </c>
      <c r="AJ49" s="83">
        <f t="shared" ca="1" si="106"/>
        <v>1.9759316262581024</v>
      </c>
      <c r="AK49" s="83">
        <f t="shared" ca="1" si="107"/>
        <v>1.1340742677755695</v>
      </c>
      <c r="AL49" s="83">
        <f t="shared" ca="1" si="108"/>
        <v>0.69576879712193995</v>
      </c>
      <c r="AM49" s="83">
        <f t="shared" ca="1" si="109"/>
        <v>0.75353324730181881</v>
      </c>
      <c r="AN49" s="83">
        <f t="shared" ca="1" si="110"/>
        <v>1.6577731440640011</v>
      </c>
      <c r="AO49" s="83">
        <f t="shared" ca="1" si="111"/>
        <v>0.3767666236509094</v>
      </c>
      <c r="AP49" s="83">
        <f t="shared" ca="1" si="112"/>
        <v>10.186575501677469</v>
      </c>
      <c r="AQ49" s="83">
        <f t="shared" ca="1" si="113"/>
        <v>0.6228123042564313</v>
      </c>
      <c r="AR49" s="83">
        <f t="shared" ca="1" si="114"/>
        <v>2.0957231165164183</v>
      </c>
      <c r="AS49" s="83">
        <f t="shared" ca="1" si="115"/>
        <v>0.31140615212821565</v>
      </c>
      <c r="AT49" s="83">
        <f t="shared" ca="1" si="116"/>
        <v>0.52747327311127312</v>
      </c>
      <c r="AU49" s="83">
        <f t="shared" ca="1" si="117"/>
        <v>1.1163455515582501</v>
      </c>
      <c r="AV49" s="83">
        <f t="shared" ca="1" si="118"/>
        <v>0.26373663655563656</v>
      </c>
      <c r="AW49" s="83">
        <f t="shared" ca="1" si="119"/>
        <v>10.790863878895625</v>
      </c>
      <c r="AX49" s="83">
        <f t="shared" ca="1" si="120"/>
        <v>1.2120885613605932</v>
      </c>
      <c r="AY49" s="83">
        <f t="shared" ca="1" si="121"/>
        <v>3.4797659972714894</v>
      </c>
      <c r="AZ49" s="83">
        <f t="shared" ca="1" si="122"/>
        <v>0.60604428068029659</v>
      </c>
      <c r="BA49" s="83">
        <f t="shared" ca="1" si="123"/>
        <v>0.81214138875862685</v>
      </c>
      <c r="BB49" s="83">
        <f t="shared" ca="1" si="124"/>
        <v>0.97122062985567748</v>
      </c>
      <c r="BC49" s="83">
        <f t="shared" ca="1" si="125"/>
        <v>9.5067510773070456</v>
      </c>
      <c r="BD49" s="83">
        <f t="shared" ca="1" si="126"/>
        <v>4.8330779883382107</v>
      </c>
      <c r="BE49" s="83">
        <f t="shared" ca="1" si="127"/>
        <v>1.1545981948138457</v>
      </c>
      <c r="BF49" s="83">
        <f t="shared" ca="1" si="128"/>
        <v>1.3535689812643781</v>
      </c>
      <c r="BG49" s="83">
        <f t="shared" ca="1" si="129"/>
        <v>0.7367880640284451</v>
      </c>
      <c r="BH49" s="83">
        <f t="shared" ca="1" si="130"/>
        <v>4.1113191378592333</v>
      </c>
      <c r="BI49" s="83">
        <f t="shared" ca="1" si="131"/>
        <v>4.8602150301547766</v>
      </c>
      <c r="BJ49" s="83">
        <f t="shared" ca="1" si="132"/>
        <v>0.24912492170257253</v>
      </c>
      <c r="BK49" s="83">
        <f t="shared" ca="1" si="133"/>
        <v>0.5023554982012125</v>
      </c>
      <c r="BL49" s="83">
        <f t="shared" ca="1" si="134"/>
        <v>0.18977874376490253</v>
      </c>
      <c r="BM49" s="83">
        <f t="shared" ca="1" si="135"/>
        <v>3.2912134830631654</v>
      </c>
      <c r="BN49" s="83">
        <f t="shared" ca="1" si="136"/>
        <v>7.1610509482597742</v>
      </c>
      <c r="BO49" s="83">
        <f t="shared" ca="1" si="137"/>
        <v>0.64676662365090953</v>
      </c>
      <c r="BP49" s="83">
        <f t="shared" ca="1" si="138"/>
        <v>0.79260534160635743</v>
      </c>
      <c r="BQ49" s="83">
        <f t="shared" ca="1" si="139"/>
        <v>0.68097078645053244</v>
      </c>
      <c r="BR49" s="83">
        <f t="shared" ca="1" si="140"/>
        <v>4.9098430648975091</v>
      </c>
      <c r="BS49" s="83">
        <f t="shared" ca="1" si="141"/>
        <v>6.172277177816353</v>
      </c>
      <c r="BT49" s="83">
        <f t="shared" ca="1" si="142"/>
        <v>0.57969452934637067</v>
      </c>
      <c r="BU49" s="83">
        <f t="shared" ca="1" si="143"/>
        <v>0.79260534160635743</v>
      </c>
      <c r="BV49" s="83">
        <f t="shared" ca="1" si="144"/>
        <v>0.68097078645053244</v>
      </c>
      <c r="BW49" s="83">
        <f t="shared" ca="1" si="145"/>
        <v>6.8090351075831395</v>
      </c>
      <c r="BX49" s="83">
        <f t="shared" ca="1" si="146"/>
        <v>4.9898231716115848</v>
      </c>
      <c r="BY49" s="83">
        <f t="shared" ca="1" si="147"/>
        <v>0.70904785407655258</v>
      </c>
      <c r="BZ49" s="83">
        <f t="shared" ca="1" si="148"/>
        <v>4.3810907348316235</v>
      </c>
      <c r="CA49" s="83">
        <f t="shared" ca="1" si="149"/>
        <v>3.1480400809046207</v>
      </c>
      <c r="CB49" s="83">
        <f t="shared" ca="1" si="150"/>
        <v>7.7265127276364733</v>
      </c>
      <c r="CC49" s="83">
        <f t="shared" ca="1" si="151"/>
        <v>3.1480400809046207</v>
      </c>
      <c r="CD49" s="83">
        <f t="shared" ca="1" si="152"/>
        <v>4.4044406532026255</v>
      </c>
      <c r="CE49" s="83">
        <f t="shared" ca="1" si="153"/>
        <v>10.55869265020811</v>
      </c>
      <c r="CF49" s="83">
        <f t="shared" ca="1" si="154"/>
        <v>4.4044406532026255</v>
      </c>
      <c r="CG49" s="83">
        <f t="shared" ca="1" si="155"/>
        <v>2.6977159697239061</v>
      </c>
    </row>
    <row r="50" spans="1:85" x14ac:dyDescent="0.25">
      <c r="A50" t="str">
        <f t="shared" ref="A50:E50" si="178">A16</f>
        <v>J. Vartiainen</v>
      </c>
      <c r="B50">
        <f t="shared" si="178"/>
        <v>19</v>
      </c>
      <c r="C50">
        <f t="shared" ca="1" si="178"/>
        <v>83</v>
      </c>
      <c r="D50" t="str">
        <f t="shared" si="178"/>
        <v>CAB</v>
      </c>
      <c r="E50" s="265">
        <f t="shared" si="178"/>
        <v>43628</v>
      </c>
      <c r="F50" s="195">
        <f t="shared" ca="1" si="77"/>
        <v>0.38624561461075513</v>
      </c>
      <c r="G50" s="196">
        <f t="shared" ref="G50:H50" si="179">J16</f>
        <v>0.4</v>
      </c>
      <c r="H50" s="49">
        <f t="shared" si="179"/>
        <v>0</v>
      </c>
      <c r="I50" s="49">
        <f t="shared" si="79"/>
        <v>7</v>
      </c>
      <c r="J50" s="49">
        <f t="shared" si="80"/>
        <v>8.6999999999999993</v>
      </c>
      <c r="K50" s="49">
        <f t="shared" si="81"/>
        <v>1</v>
      </c>
      <c r="L50" s="49">
        <f t="shared" si="82"/>
        <v>1</v>
      </c>
      <c r="M50" s="49">
        <f t="shared" si="83"/>
        <v>6</v>
      </c>
      <c r="N50" s="49">
        <f t="shared" si="84"/>
        <v>1</v>
      </c>
      <c r="O50" s="196">
        <f t="shared" si="85"/>
        <v>1.5</v>
      </c>
      <c r="P50" s="196">
        <f t="shared" ca="1" si="86"/>
        <v>2.591006249402831</v>
      </c>
      <c r="Q50" s="196">
        <f t="shared" si="87"/>
        <v>0.32999999999999996</v>
      </c>
      <c r="R50" s="196">
        <f t="shared" si="88"/>
        <v>0.31</v>
      </c>
      <c r="S50" s="196">
        <f t="shared" ca="1" si="89"/>
        <v>0.94500818737628756</v>
      </c>
      <c r="T50" s="83">
        <f t="shared" ca="1" si="90"/>
        <v>1.8059902514609376</v>
      </c>
      <c r="U50" s="83">
        <f t="shared" ca="1" si="91"/>
        <v>2.7886556868683505</v>
      </c>
      <c r="V50" s="83">
        <f t="shared" ca="1" si="92"/>
        <v>1.8059902514609376</v>
      </c>
      <c r="W50" s="83">
        <f t="shared" ca="1" si="93"/>
        <v>3.5375200111727878</v>
      </c>
      <c r="X50" s="83">
        <f t="shared" ca="1" si="94"/>
        <v>6.8556589363813716</v>
      </c>
      <c r="Y50" s="83">
        <f t="shared" ca="1" si="95"/>
        <v>1.7687600055863939</v>
      </c>
      <c r="Z50" s="83">
        <f t="shared" ca="1" si="96"/>
        <v>2.0362468268587666</v>
      </c>
      <c r="AA50" s="83">
        <f t="shared" ca="1" si="97"/>
        <v>2.5914390779521583</v>
      </c>
      <c r="AB50" s="83">
        <f t="shared" ca="1" si="98"/>
        <v>4.9566414110037318</v>
      </c>
      <c r="AC50" s="83">
        <f t="shared" ca="1" si="99"/>
        <v>1.2957195389760792</v>
      </c>
      <c r="AD50" s="83">
        <f t="shared" ca="1" si="100"/>
        <v>3.2939286905068283</v>
      </c>
      <c r="AE50" s="326">
        <f t="shared" ca="1" si="101"/>
        <v>6.307206221470862</v>
      </c>
      <c r="AF50" s="83">
        <f t="shared" ca="1" si="102"/>
        <v>2.8382427996618875</v>
      </c>
      <c r="AG50" s="83">
        <f t="shared" ca="1" si="103"/>
        <v>1.4287950423756892</v>
      </c>
      <c r="AH50" s="326">
        <f t="shared" ca="1" si="104"/>
        <v>0.5031274545922465</v>
      </c>
      <c r="AI50" s="83">
        <f t="shared" ca="1" si="105"/>
        <v>5.1691668380315541</v>
      </c>
      <c r="AJ50" s="83">
        <f t="shared" ca="1" si="106"/>
        <v>4.8538065269580111</v>
      </c>
      <c r="AK50" s="83">
        <f t="shared" ca="1" si="107"/>
        <v>0.14289504237568909</v>
      </c>
      <c r="AL50" s="83">
        <f t="shared" ca="1" si="108"/>
        <v>0.39042977367783499</v>
      </c>
      <c r="AM50" s="83">
        <f t="shared" ca="1" si="109"/>
        <v>1.8510279128229705</v>
      </c>
      <c r="AN50" s="83">
        <f t="shared" ca="1" si="110"/>
        <v>4.0722614082105348</v>
      </c>
      <c r="AO50" s="83">
        <f t="shared" ca="1" si="111"/>
        <v>0.92551395641148526</v>
      </c>
      <c r="AP50" s="83">
        <f t="shared" ca="1" si="112"/>
        <v>8.0765420359440139</v>
      </c>
      <c r="AQ50" s="83">
        <f t="shared" ca="1" si="113"/>
        <v>0.11123566172957833</v>
      </c>
      <c r="AR50" s="83">
        <f t="shared" ca="1" si="114"/>
        <v>1.1157080683597418</v>
      </c>
      <c r="AS50" s="83">
        <f t="shared" ca="1" si="115"/>
        <v>5.5617830864789164E-2</v>
      </c>
      <c r="AT50" s="83">
        <f t="shared" ca="1" si="116"/>
        <v>1.2957195389760792</v>
      </c>
      <c r="AU50" s="83">
        <f t="shared" ca="1" si="117"/>
        <v>2.742263574552549</v>
      </c>
      <c r="AV50" s="83">
        <f t="shared" ca="1" si="118"/>
        <v>0.64785976948803958</v>
      </c>
      <c r="AW50" s="83">
        <f t="shared" ca="1" si="119"/>
        <v>8.5556589363813718</v>
      </c>
      <c r="AX50" s="83">
        <f t="shared" ca="1" si="120"/>
        <v>0.21648171090448703</v>
      </c>
      <c r="AY50" s="83">
        <f t="shared" ca="1" si="121"/>
        <v>1.5214680739461357</v>
      </c>
      <c r="AZ50" s="83">
        <f t="shared" ca="1" si="122"/>
        <v>0.10824085545224352</v>
      </c>
      <c r="BA50" s="83">
        <f t="shared" ca="1" si="123"/>
        <v>1.994996750486979</v>
      </c>
      <c r="BB50" s="83">
        <f t="shared" ca="1" si="124"/>
        <v>2.3857693098607173</v>
      </c>
      <c r="BC50" s="83">
        <f t="shared" ca="1" si="125"/>
        <v>7.5375355229519885</v>
      </c>
      <c r="BD50" s="83">
        <f t="shared" ca="1" si="126"/>
        <v>0.76068079444303938</v>
      </c>
      <c r="BE50" s="83">
        <f t="shared" ca="1" si="127"/>
        <v>0.20621380366791056</v>
      </c>
      <c r="BF50" s="83">
        <f t="shared" ca="1" si="128"/>
        <v>3.3249945841449651</v>
      </c>
      <c r="BG50" s="83">
        <f t="shared" ca="1" si="129"/>
        <v>1.8098939592046821</v>
      </c>
      <c r="BH50" s="83">
        <f t="shared" ca="1" si="130"/>
        <v>3.2597060547613026</v>
      </c>
      <c r="BI50" s="83">
        <f t="shared" ca="1" si="131"/>
        <v>0.74784591039731885</v>
      </c>
      <c r="BJ50" s="83">
        <f t="shared" ca="1" si="132"/>
        <v>4.4494264691831327E-2</v>
      </c>
      <c r="BK50" s="83">
        <f t="shared" ca="1" si="133"/>
        <v>1.2340186085486469</v>
      </c>
      <c r="BL50" s="83">
        <f t="shared" ca="1" si="134"/>
        <v>0.46618480767393328</v>
      </c>
      <c r="BM50" s="83">
        <f t="shared" ca="1" si="135"/>
        <v>2.6094759755963182</v>
      </c>
      <c r="BN50" s="83">
        <f t="shared" ca="1" si="136"/>
        <v>1.1003773921864439</v>
      </c>
      <c r="BO50" s="83">
        <f t="shared" ca="1" si="137"/>
        <v>0.11551395641148518</v>
      </c>
      <c r="BP50" s="83">
        <f t="shared" ca="1" si="138"/>
        <v>1.9470071379323093</v>
      </c>
      <c r="BQ50" s="83">
        <f t="shared" ca="1" si="139"/>
        <v>1.6727807804770547</v>
      </c>
      <c r="BR50" s="83">
        <f t="shared" ca="1" si="140"/>
        <v>3.8928248160535244</v>
      </c>
      <c r="BS50" s="83">
        <f t="shared" ca="1" si="141"/>
        <v>0.94807010151055982</v>
      </c>
      <c r="BT50" s="83">
        <f t="shared" ca="1" si="142"/>
        <v>0.10353473130214597</v>
      </c>
      <c r="BU50" s="83">
        <f t="shared" ca="1" si="143"/>
        <v>1.9470071379323093</v>
      </c>
      <c r="BV50" s="83">
        <f t="shared" ca="1" si="144"/>
        <v>1.6727807804770547</v>
      </c>
      <c r="BW50" s="83">
        <f t="shared" ca="1" si="145"/>
        <v>5.398620788856646</v>
      </c>
      <c r="BX50" s="83">
        <f t="shared" ca="1" si="146"/>
        <v>0.76581474806132765</v>
      </c>
      <c r="BY50" s="83">
        <f t="shared" ca="1" si="147"/>
        <v>0.126637522584443</v>
      </c>
      <c r="BZ50" s="83">
        <f t="shared" ca="1" si="148"/>
        <v>3.4735975281708371</v>
      </c>
      <c r="CA50" s="83">
        <f t="shared" ca="1" si="149"/>
        <v>1.0807983058546946</v>
      </c>
      <c r="CB50" s="83">
        <f t="shared" ca="1" si="150"/>
        <v>3.8784719623654245</v>
      </c>
      <c r="CC50" s="83">
        <f t="shared" ca="1" si="151"/>
        <v>1.0807983058546946</v>
      </c>
      <c r="CD50" s="83">
        <f t="shared" ca="1" si="152"/>
        <v>1.9926516575667983</v>
      </c>
      <c r="CE50" s="83">
        <f t="shared" ca="1" si="153"/>
        <v>6.1713970839060979</v>
      </c>
      <c r="CF50" s="83">
        <f t="shared" ca="1" si="154"/>
        <v>1.9926516575667983</v>
      </c>
      <c r="CG50" s="83">
        <f t="shared" ca="1" si="155"/>
        <v>2.1389147340953429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78</v>
      </c>
      <c r="D51" t="str">
        <f t="shared" si="180"/>
        <v>POT</v>
      </c>
      <c r="E51" s="265">
        <f t="shared" si="180"/>
        <v>43626</v>
      </c>
      <c r="F51" s="195">
        <f t="shared" ca="1" si="77"/>
        <v>0.39272035185262583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9.4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5.2773848327435839</v>
      </c>
      <c r="Q51" s="196">
        <f t="shared" si="87"/>
        <v>0.36</v>
      </c>
      <c r="R51" s="196">
        <f t="shared" si="88"/>
        <v>0.34</v>
      </c>
      <c r="S51" s="196">
        <f t="shared" ca="1" si="89"/>
        <v>2.9114377821416082</v>
      </c>
      <c r="T51" s="83">
        <f t="shared" ca="1" si="90"/>
        <v>2.6499081262376247</v>
      </c>
      <c r="U51" s="83">
        <f t="shared" ca="1" si="91"/>
        <v>4.0366487869103924</v>
      </c>
      <c r="V51" s="83">
        <f t="shared" ca="1" si="92"/>
        <v>2.6499081262376247</v>
      </c>
      <c r="W51" s="83">
        <f t="shared" ca="1" si="93"/>
        <v>4.0363305763328912</v>
      </c>
      <c r="X51" s="83">
        <f t="shared" ca="1" si="94"/>
        <v>7.822346078164518</v>
      </c>
      <c r="Y51" s="83">
        <f t="shared" ca="1" si="95"/>
        <v>2.0181652881664456</v>
      </c>
      <c r="Z51" s="83">
        <f t="shared" ca="1" si="96"/>
        <v>2.4329183666031553</v>
      </c>
      <c r="AA51" s="83">
        <f t="shared" ca="1" si="97"/>
        <v>2.9568468175461877</v>
      </c>
      <c r="AB51" s="83">
        <f t="shared" ca="1" si="98"/>
        <v>5.6555562145129459</v>
      </c>
      <c r="AC51" s="83">
        <f t="shared" ca="1" si="99"/>
        <v>1.4784234087730939</v>
      </c>
      <c r="AD51" s="83">
        <f t="shared" ca="1" si="100"/>
        <v>3.9356032400933398</v>
      </c>
      <c r="AE51" s="326">
        <f t="shared" ca="1" si="101"/>
        <v>7.1965583919113572</v>
      </c>
      <c r="AF51" s="83">
        <f t="shared" ca="1" si="102"/>
        <v>3.2384512763601103</v>
      </c>
      <c r="AG51" s="83">
        <f t="shared" ca="1" si="103"/>
        <v>1.7071317950534746</v>
      </c>
      <c r="AH51" s="326">
        <f t="shared" ca="1" si="104"/>
        <v>1.6595394939607369</v>
      </c>
      <c r="AI51" s="83">
        <f t="shared" ca="1" si="105"/>
        <v>5.8980489429360468</v>
      </c>
      <c r="AJ51" s="83">
        <f t="shared" ca="1" si="106"/>
        <v>5.5382210233404781</v>
      </c>
      <c r="AK51" s="83">
        <f t="shared" ca="1" si="107"/>
        <v>0.47133179505347461</v>
      </c>
      <c r="AL51" s="83">
        <f t="shared" ca="1" si="108"/>
        <v>0.88483567051138123</v>
      </c>
      <c r="AM51" s="83">
        <f t="shared" ca="1" si="109"/>
        <v>2.1120334411044199</v>
      </c>
      <c r="AN51" s="83">
        <f t="shared" ca="1" si="110"/>
        <v>4.6464735704297233</v>
      </c>
      <c r="AO51" s="83">
        <f t="shared" ca="1" si="111"/>
        <v>1.05601672055221</v>
      </c>
      <c r="AP51" s="83">
        <f t="shared" ca="1" si="112"/>
        <v>9.649894697787305</v>
      </c>
      <c r="AQ51" s="83">
        <f t="shared" ca="1" si="113"/>
        <v>0.62690499016138734</v>
      </c>
      <c r="AR51" s="83">
        <f t="shared" ca="1" si="114"/>
        <v>1.7589474009022035</v>
      </c>
      <c r="AS51" s="83">
        <f t="shared" ca="1" si="115"/>
        <v>0.31345249508069367</v>
      </c>
      <c r="AT51" s="83">
        <f t="shared" ca="1" si="116"/>
        <v>1.4784234087730939</v>
      </c>
      <c r="AU51" s="83">
        <f t="shared" ca="1" si="117"/>
        <v>3.1289384312658073</v>
      </c>
      <c r="AV51" s="83">
        <f t="shared" ca="1" si="118"/>
        <v>0.73921170438654693</v>
      </c>
      <c r="AW51" s="83">
        <f t="shared" ca="1" si="119"/>
        <v>10.222346078164518</v>
      </c>
      <c r="AX51" s="83">
        <f t="shared" ca="1" si="120"/>
        <v>1.2200535577756231</v>
      </c>
      <c r="AY51" s="83">
        <f t="shared" ca="1" si="121"/>
        <v>3.0771126890686493</v>
      </c>
      <c r="AZ51" s="83">
        <f t="shared" ca="1" si="122"/>
        <v>0.61002677888781154</v>
      </c>
      <c r="BA51" s="83">
        <f t="shared" ca="1" si="123"/>
        <v>2.2763027087458747</v>
      </c>
      <c r="BB51" s="83">
        <f t="shared" ca="1" si="124"/>
        <v>2.7221764352012521</v>
      </c>
      <c r="BC51" s="83">
        <f t="shared" ca="1" si="125"/>
        <v>9.0058868948629414</v>
      </c>
      <c r="BD51" s="83">
        <f t="shared" ca="1" si="126"/>
        <v>3.1390656634882568</v>
      </c>
      <c r="BE51" s="83">
        <f t="shared" ca="1" si="127"/>
        <v>1.1621854048376488</v>
      </c>
      <c r="BF51" s="83">
        <f t="shared" ca="1" si="128"/>
        <v>3.7938378479097912</v>
      </c>
      <c r="BG51" s="83">
        <f t="shared" ca="1" si="129"/>
        <v>2.065099364635433</v>
      </c>
      <c r="BH51" s="83">
        <f t="shared" ca="1" si="130"/>
        <v>3.8947138557806817</v>
      </c>
      <c r="BI51" s="83">
        <f t="shared" ca="1" si="131"/>
        <v>2.8687304723157894</v>
      </c>
      <c r="BJ51" s="83">
        <f t="shared" ca="1" si="132"/>
        <v>0.2507619960645549</v>
      </c>
      <c r="BK51" s="83">
        <f t="shared" ca="1" si="133"/>
        <v>1.4080222940696132</v>
      </c>
      <c r="BL51" s="83">
        <f t="shared" ca="1" si="134"/>
        <v>0.53191953331518727</v>
      </c>
      <c r="BM51" s="83">
        <f t="shared" ca="1" si="135"/>
        <v>3.1178155538401779</v>
      </c>
      <c r="BN51" s="83">
        <f t="shared" ca="1" si="136"/>
        <v>4.2015370565195704</v>
      </c>
      <c r="BO51" s="83">
        <f t="shared" ca="1" si="137"/>
        <v>0.65101672055220994</v>
      </c>
      <c r="BP51" s="83">
        <f t="shared" ca="1" si="138"/>
        <v>2.221546286198723</v>
      </c>
      <c r="BQ51" s="83">
        <f t="shared" ca="1" si="139"/>
        <v>1.9086524430721423</v>
      </c>
      <c r="BR51" s="83">
        <f t="shared" ca="1" si="140"/>
        <v>4.6511674655648561</v>
      </c>
      <c r="BS51" s="83">
        <f t="shared" ca="1" si="141"/>
        <v>3.6151594546062862</v>
      </c>
      <c r="BT51" s="83">
        <f t="shared" ca="1" si="142"/>
        <v>0.58350387545790661</v>
      </c>
      <c r="BU51" s="83">
        <f t="shared" ca="1" si="143"/>
        <v>2.221546286198723</v>
      </c>
      <c r="BV51" s="83">
        <f t="shared" ca="1" si="144"/>
        <v>1.9086524430721423</v>
      </c>
      <c r="BW51" s="83">
        <f t="shared" ca="1" si="145"/>
        <v>6.4503003753218113</v>
      </c>
      <c r="BX51" s="83">
        <f t="shared" ca="1" si="146"/>
        <v>2.9119997399572437</v>
      </c>
      <c r="BY51" s="83">
        <f t="shared" ca="1" si="147"/>
        <v>0.71370721956834859</v>
      </c>
      <c r="BZ51" s="83">
        <f t="shared" ca="1" si="148"/>
        <v>4.1502725077347948</v>
      </c>
      <c r="CA51" s="83">
        <f t="shared" ca="1" si="149"/>
        <v>2.4784423067237138</v>
      </c>
      <c r="CB51" s="83">
        <f t="shared" ca="1" si="150"/>
        <v>6.5959616840132469</v>
      </c>
      <c r="CC51" s="83">
        <f t="shared" ca="1" si="151"/>
        <v>2.4784423067237138</v>
      </c>
      <c r="CD51" s="83">
        <f t="shared" ca="1" si="152"/>
        <v>3.240214315214812</v>
      </c>
      <c r="CE51" s="83">
        <f t="shared" ca="1" si="153"/>
        <v>8.6017917810072255</v>
      </c>
      <c r="CF51" s="83">
        <f t="shared" ca="1" si="154"/>
        <v>3.240214315214812</v>
      </c>
      <c r="CG51" s="83">
        <f t="shared" ca="1" si="155"/>
        <v>2.5555865195411296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36</v>
      </c>
      <c r="D52" t="str">
        <f t="shared" si="182"/>
        <v>CAB</v>
      </c>
      <c r="E52" s="265">
        <f t="shared" si="182"/>
        <v>43650</v>
      </c>
      <c r="F52" s="195">
        <f t="shared" ca="1" si="77"/>
        <v>0.31036652147110561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9.3333333333333339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0.46811299415555219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3.7412552030063781</v>
      </c>
      <c r="T52" s="83">
        <f t="shared" ca="1" si="90"/>
        <v>1.3960871691845234</v>
      </c>
      <c r="U52" s="83">
        <f t="shared" ca="1" si="91"/>
        <v>2.1150922513370216</v>
      </c>
      <c r="V52" s="83">
        <f t="shared" ca="1" si="92"/>
        <v>1.3960871691845234</v>
      </c>
      <c r="W52" s="83">
        <f t="shared" ca="1" si="93"/>
        <v>1.883776608590165</v>
      </c>
      <c r="X52" s="83">
        <f t="shared" ca="1" si="94"/>
        <v>3.650729861608847</v>
      </c>
      <c r="Y52" s="83">
        <f t="shared" ca="1" si="95"/>
        <v>0.94188830429508252</v>
      </c>
      <c r="Z52" s="83">
        <f t="shared" ca="1" si="96"/>
        <v>2.3762070403962392</v>
      </c>
      <c r="AA52" s="83">
        <f t="shared" ca="1" si="97"/>
        <v>1.3799758876881443</v>
      </c>
      <c r="AB52" s="83">
        <f t="shared" ca="1" si="98"/>
        <v>2.6394776899431962</v>
      </c>
      <c r="AC52" s="83">
        <f t="shared" ca="1" si="99"/>
        <v>0.68998794384407214</v>
      </c>
      <c r="AD52" s="83">
        <f t="shared" ca="1" si="100"/>
        <v>3.8438643300527402</v>
      </c>
      <c r="AE52" s="326">
        <f t="shared" ca="1" si="101"/>
        <v>3.3586714726801392</v>
      </c>
      <c r="AF52" s="83">
        <f t="shared" ca="1" si="102"/>
        <v>1.5114021627060625</v>
      </c>
      <c r="AG52" s="83">
        <f t="shared" ca="1" si="103"/>
        <v>1.6673385535553444</v>
      </c>
      <c r="AH52" s="326">
        <f t="shared" ca="1" si="104"/>
        <v>5.6746291586260025</v>
      </c>
      <c r="AI52" s="83">
        <f t="shared" ca="1" si="105"/>
        <v>2.7526503156530708</v>
      </c>
      <c r="AJ52" s="83">
        <f t="shared" ca="1" si="106"/>
        <v>2.5847167420190638</v>
      </c>
      <c r="AK52" s="83">
        <f t="shared" ca="1" si="107"/>
        <v>0.60967188688867746</v>
      </c>
      <c r="AL52" s="83">
        <f t="shared" ca="1" si="108"/>
        <v>0.83541020014334788</v>
      </c>
      <c r="AM52" s="83">
        <f t="shared" ca="1" si="109"/>
        <v>0.98569706263438872</v>
      </c>
      <c r="AN52" s="83">
        <f t="shared" ca="1" si="110"/>
        <v>2.1685335377956552</v>
      </c>
      <c r="AO52" s="83">
        <f t="shared" ca="1" si="111"/>
        <v>0.49284853131719436</v>
      </c>
      <c r="AP52" s="83">
        <f t="shared" ca="1" si="112"/>
        <v>9.4249556560254195</v>
      </c>
      <c r="AQ52" s="83">
        <f t="shared" ca="1" si="113"/>
        <v>0.86459488200915013</v>
      </c>
      <c r="AR52" s="83">
        <f t="shared" ca="1" si="114"/>
        <v>1.429663849451392</v>
      </c>
      <c r="AS52" s="83">
        <f t="shared" ca="1" si="115"/>
        <v>0.43229744100457507</v>
      </c>
      <c r="AT52" s="83">
        <f t="shared" ca="1" si="116"/>
        <v>0.68998794384407214</v>
      </c>
      <c r="AU52" s="83">
        <f t="shared" ca="1" si="117"/>
        <v>1.460291944643539</v>
      </c>
      <c r="AV52" s="83">
        <f t="shared" ca="1" si="118"/>
        <v>0.34499397192203607</v>
      </c>
      <c r="AW52" s="83">
        <f t="shared" ca="1" si="119"/>
        <v>9.9840631949421823</v>
      </c>
      <c r="AX52" s="83">
        <f t="shared" ca="1" si="120"/>
        <v>1.6826346549870381</v>
      </c>
      <c r="AY52" s="83">
        <f t="shared" ca="1" si="121"/>
        <v>3.0345521537464748</v>
      </c>
      <c r="AZ52" s="83">
        <f t="shared" ca="1" si="122"/>
        <v>0.84131732749351906</v>
      </c>
      <c r="BA52" s="83">
        <f t="shared" ca="1" si="123"/>
        <v>1.0623623897281744</v>
      </c>
      <c r="BB52" s="83">
        <f t="shared" ca="1" si="124"/>
        <v>1.2704539918398787</v>
      </c>
      <c r="BC52" s="83">
        <f t="shared" ca="1" si="125"/>
        <v>8.7959596747440632</v>
      </c>
      <c r="BD52" s="83">
        <f t="shared" ca="1" si="126"/>
        <v>7.6344988469702653</v>
      </c>
      <c r="BE52" s="83">
        <f t="shared" ca="1" si="127"/>
        <v>1.602825896647732</v>
      </c>
      <c r="BF52" s="83">
        <f t="shared" ca="1" si="128"/>
        <v>1.7706039828802909</v>
      </c>
      <c r="BG52" s="83">
        <f t="shared" ca="1" si="129"/>
        <v>0.96379268346473568</v>
      </c>
      <c r="BH52" s="83">
        <f t="shared" ca="1" si="130"/>
        <v>3.8039280772729716</v>
      </c>
      <c r="BI52" s="83">
        <f t="shared" ca="1" si="131"/>
        <v>7.8317378990461339</v>
      </c>
      <c r="BJ52" s="83">
        <f t="shared" ca="1" si="132"/>
        <v>0.34583795280366003</v>
      </c>
      <c r="BK52" s="83">
        <f t="shared" ca="1" si="133"/>
        <v>0.65713137508959241</v>
      </c>
      <c r="BL52" s="83">
        <f t="shared" ca="1" si="134"/>
        <v>0.24824963058940161</v>
      </c>
      <c r="BM52" s="83">
        <f t="shared" ca="1" si="135"/>
        <v>3.0451392744573655</v>
      </c>
      <c r="BN52" s="83">
        <f t="shared" ca="1" si="136"/>
        <v>11.552838602028979</v>
      </c>
      <c r="BO52" s="83">
        <f t="shared" ca="1" si="137"/>
        <v>0.89784853131719433</v>
      </c>
      <c r="BP52" s="83">
        <f t="shared" ca="1" si="138"/>
        <v>1.0368072806969124</v>
      </c>
      <c r="BQ52" s="83">
        <f t="shared" ca="1" si="139"/>
        <v>0.89077808623255861</v>
      </c>
      <c r="BR52" s="83">
        <f t="shared" ca="1" si="140"/>
        <v>4.5427487536986932</v>
      </c>
      <c r="BS52" s="83">
        <f t="shared" ca="1" si="141"/>
        <v>9.9610086866626038</v>
      </c>
      <c r="BT52" s="83">
        <f t="shared" ca="1" si="142"/>
        <v>0.80473831325467038</v>
      </c>
      <c r="BU52" s="83">
        <f t="shared" ca="1" si="143"/>
        <v>1.0368072806969124</v>
      </c>
      <c r="BV52" s="83">
        <f t="shared" ca="1" si="144"/>
        <v>0.89077808623255861</v>
      </c>
      <c r="BW52" s="83">
        <f t="shared" ca="1" si="145"/>
        <v>6.2999438760085171</v>
      </c>
      <c r="BX52" s="83">
        <f t="shared" ca="1" si="146"/>
        <v>8.0584032261399177</v>
      </c>
      <c r="BY52" s="83">
        <f t="shared" ca="1" si="147"/>
        <v>0.9843080195181092</v>
      </c>
      <c r="BZ52" s="83">
        <f t="shared" ca="1" si="148"/>
        <v>4.0535296571465267</v>
      </c>
      <c r="CA52" s="83">
        <f t="shared" ca="1" si="149"/>
        <v>3.5160302578982097</v>
      </c>
      <c r="CB52" s="83">
        <f t="shared" ca="1" si="150"/>
        <v>5.7397218241715615</v>
      </c>
      <c r="CC52" s="83">
        <f t="shared" ca="1" si="151"/>
        <v>3.5160302578982097</v>
      </c>
      <c r="CD52" s="83">
        <f t="shared" ca="1" si="152"/>
        <v>4.2057094081998248</v>
      </c>
      <c r="CE52" s="83">
        <f t="shared" ca="1" si="153"/>
        <v>6.1048491805425114</v>
      </c>
      <c r="CF52" s="83">
        <f t="shared" ca="1" si="154"/>
        <v>4.2057094081998248</v>
      </c>
      <c r="CG52" s="83">
        <f t="shared" ca="1" si="155"/>
        <v>2.4960157987355456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42</v>
      </c>
      <c r="D53">
        <f t="shared" si="184"/>
        <v>0</v>
      </c>
      <c r="E53" s="265">
        <f t="shared" si="184"/>
        <v>43639</v>
      </c>
      <c r="F53" s="195">
        <f t="shared" ca="1" si="77"/>
        <v>0.34946799693424763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9.6923076923076916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3.9752506839130586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2.3235093280018884</v>
      </c>
      <c r="T53" s="83">
        <f t="shared" ca="1" si="90"/>
        <v>1.9045356774009505</v>
      </c>
      <c r="U53" s="83">
        <f t="shared" ca="1" si="91"/>
        <v>2.8669903316433301</v>
      </c>
      <c r="V53" s="83">
        <f t="shared" ca="1" si="92"/>
        <v>1.9045356774009505</v>
      </c>
      <c r="W53" s="83">
        <f t="shared" ca="1" si="93"/>
        <v>2.1843028746149948</v>
      </c>
      <c r="X53" s="83">
        <f t="shared" ca="1" si="94"/>
        <v>4.233145105843013</v>
      </c>
      <c r="Y53" s="83">
        <f t="shared" ca="1" si="95"/>
        <v>1.0921514373074974</v>
      </c>
      <c r="Z53" s="83">
        <f t="shared" ca="1" si="96"/>
        <v>2.6002577659598676</v>
      </c>
      <c r="AA53" s="83">
        <f t="shared" ca="1" si="97"/>
        <v>1.600128850008659</v>
      </c>
      <c r="AB53" s="83">
        <f t="shared" ca="1" si="98"/>
        <v>3.0605639115244982</v>
      </c>
      <c r="AC53" s="83">
        <f t="shared" ca="1" si="99"/>
        <v>0.8000644250043295</v>
      </c>
      <c r="AD53" s="83">
        <f t="shared" ca="1" si="100"/>
        <v>4.2062993272880211</v>
      </c>
      <c r="AE53" s="326">
        <f t="shared" ca="1" si="101"/>
        <v>3.894493497375572</v>
      </c>
      <c r="AF53" s="83">
        <f t="shared" ca="1" si="102"/>
        <v>1.7525220738190073</v>
      </c>
      <c r="AG53" s="83">
        <f t="shared" ca="1" si="103"/>
        <v>1.8245506172911679</v>
      </c>
      <c r="AH53" s="326">
        <f t="shared" ca="1" si="104"/>
        <v>6.0170893222356909</v>
      </c>
      <c r="AI53" s="83">
        <f t="shared" ca="1" si="105"/>
        <v>3.1917914098056319</v>
      </c>
      <c r="AJ53" s="83">
        <f t="shared" ca="1" si="106"/>
        <v>2.9970667349368529</v>
      </c>
      <c r="AK53" s="83">
        <f t="shared" ca="1" si="107"/>
        <v>0.37293523267578321</v>
      </c>
      <c r="AL53" s="83">
        <f t="shared" ca="1" si="108"/>
        <v>0.93114579048278778</v>
      </c>
      <c r="AM53" s="83">
        <f t="shared" ca="1" si="109"/>
        <v>1.1429491785776136</v>
      </c>
      <c r="AN53" s="83">
        <f t="shared" ca="1" si="110"/>
        <v>2.5144881928707496</v>
      </c>
      <c r="AO53" s="83">
        <f t="shared" ca="1" si="111"/>
        <v>0.57147458928880679</v>
      </c>
      <c r="AP53" s="83">
        <f t="shared" ca="1" si="112"/>
        <v>10.313627441454265</v>
      </c>
      <c r="AQ53" s="83">
        <f t="shared" ca="1" si="113"/>
        <v>0.81030886375959166</v>
      </c>
      <c r="AR53" s="83">
        <f t="shared" ca="1" si="114"/>
        <v>1.8263115160120027</v>
      </c>
      <c r="AS53" s="83">
        <f t="shared" ca="1" si="115"/>
        <v>0.40515443187979583</v>
      </c>
      <c r="AT53" s="83">
        <f t="shared" ca="1" si="116"/>
        <v>0.8000644250043295</v>
      </c>
      <c r="AU53" s="83">
        <f t="shared" ca="1" si="117"/>
        <v>1.6932580423372052</v>
      </c>
      <c r="AV53" s="83">
        <f t="shared" ca="1" si="118"/>
        <v>0.40003221250216475</v>
      </c>
      <c r="AW53" s="83">
        <f t="shared" ca="1" si="119"/>
        <v>10.925452798150705</v>
      </c>
      <c r="AX53" s="83">
        <f t="shared" ca="1" si="120"/>
        <v>1.5769857117782824</v>
      </c>
      <c r="AY53" s="83">
        <f t="shared" ca="1" si="121"/>
        <v>3.4344629533195006</v>
      </c>
      <c r="AZ53" s="83">
        <f t="shared" ca="1" si="122"/>
        <v>0.7884928558891412</v>
      </c>
      <c r="BA53" s="83">
        <f t="shared" ca="1" si="123"/>
        <v>1.2318452258003167</v>
      </c>
      <c r="BB53" s="83">
        <f t="shared" ca="1" si="124"/>
        <v>1.4731344968333684</v>
      </c>
      <c r="BC53" s="83">
        <f t="shared" ca="1" si="125"/>
        <v>9.625323915170771</v>
      </c>
      <c r="BD53" s="83">
        <f t="shared" ca="1" si="126"/>
        <v>7.8372659990944378</v>
      </c>
      <c r="BE53" s="83">
        <f t="shared" ca="1" si="127"/>
        <v>1.502187970508166</v>
      </c>
      <c r="BF53" s="83">
        <f t="shared" ca="1" si="128"/>
        <v>2.0530753763338612</v>
      </c>
      <c r="BG53" s="83">
        <f t="shared" ca="1" si="129"/>
        <v>1.1175503079425555</v>
      </c>
      <c r="BH53" s="83">
        <f t="shared" ca="1" si="130"/>
        <v>4.1625975160954187</v>
      </c>
      <c r="BI53" s="83">
        <f t="shared" ca="1" si="131"/>
        <v>8.1397688225067935</v>
      </c>
      <c r="BJ53" s="83">
        <f t="shared" ca="1" si="132"/>
        <v>0.32412354550383665</v>
      </c>
      <c r="BK53" s="83">
        <f t="shared" ca="1" si="133"/>
        <v>0.76196611905174227</v>
      </c>
      <c r="BL53" s="83">
        <f t="shared" ca="1" si="134"/>
        <v>0.28785386719732492</v>
      </c>
      <c r="BM53" s="83">
        <f t="shared" ca="1" si="135"/>
        <v>3.3322631034359649</v>
      </c>
      <c r="BN53" s="83">
        <f t="shared" ca="1" si="136"/>
        <v>12.015824606114114</v>
      </c>
      <c r="BO53" s="83">
        <f t="shared" ca="1" si="137"/>
        <v>0.84147458928880681</v>
      </c>
      <c r="BP53" s="83">
        <f t="shared" ca="1" si="138"/>
        <v>1.2022132100594156</v>
      </c>
      <c r="BQ53" s="83">
        <f t="shared" ca="1" si="139"/>
        <v>1.0328874058256952</v>
      </c>
      <c r="BR53" s="83">
        <f t="shared" ca="1" si="140"/>
        <v>4.9710810231585709</v>
      </c>
      <c r="BS53" s="83">
        <f t="shared" ca="1" si="141"/>
        <v>10.362324777274058</v>
      </c>
      <c r="BT53" s="83">
        <f t="shared" ca="1" si="142"/>
        <v>0.75421055780700452</v>
      </c>
      <c r="BU53" s="83">
        <f t="shared" ca="1" si="143"/>
        <v>1.2022132100594156</v>
      </c>
      <c r="BV53" s="83">
        <f t="shared" ca="1" si="144"/>
        <v>1.0328874058256952</v>
      </c>
      <c r="BW53" s="83">
        <f t="shared" ca="1" si="145"/>
        <v>6.8939607156330949</v>
      </c>
      <c r="BX53" s="83">
        <f t="shared" ca="1" si="146"/>
        <v>8.3866648697294952</v>
      </c>
      <c r="BY53" s="83">
        <f t="shared" ca="1" si="147"/>
        <v>0.92250547566476582</v>
      </c>
      <c r="BZ53" s="83">
        <f t="shared" ca="1" si="148"/>
        <v>4.4357338360491863</v>
      </c>
      <c r="CA53" s="83">
        <f t="shared" ca="1" si="149"/>
        <v>3.8234686001442095</v>
      </c>
      <c r="CB53" s="83">
        <f t="shared" ca="1" si="150"/>
        <v>7.0185213891792326</v>
      </c>
      <c r="CC53" s="83">
        <f t="shared" ca="1" si="151"/>
        <v>3.8234686001442095</v>
      </c>
      <c r="CD53" s="83">
        <f t="shared" ca="1" si="152"/>
        <v>4.9363877217372929</v>
      </c>
      <c r="CE53" s="83">
        <f t="shared" ca="1" si="153"/>
        <v>8.5331756498990856</v>
      </c>
      <c r="CF53" s="83">
        <f t="shared" ca="1" si="154"/>
        <v>4.9363877217372929</v>
      </c>
      <c r="CG53" s="83">
        <f t="shared" ca="1" si="155"/>
        <v>2.7313631995376761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23</v>
      </c>
      <c r="D54" t="str">
        <f t="shared" si="186"/>
        <v>CAB</v>
      </c>
      <c r="E54" s="265">
        <f t="shared" si="186"/>
        <v>43626</v>
      </c>
      <c r="F54" s="195">
        <f t="shared" ca="1" si="77"/>
        <v>0.39272035185262583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7.8612327159479722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8.5873870505598813</v>
      </c>
      <c r="T54" s="83">
        <f t="shared" ca="1" si="90"/>
        <v>2.0910118375667777</v>
      </c>
      <c r="U54" s="83">
        <f t="shared" ca="1" si="91"/>
        <v>3.1932992924383847</v>
      </c>
      <c r="V54" s="83">
        <f t="shared" ca="1" si="92"/>
        <v>2.0910118375667777</v>
      </c>
      <c r="W54" s="83">
        <f t="shared" ca="1" si="93"/>
        <v>3.3531203988367211</v>
      </c>
      <c r="X54" s="83">
        <f t="shared" ca="1" si="94"/>
        <v>6.4982953465827924</v>
      </c>
      <c r="Y54" s="83">
        <f t="shared" ca="1" si="95"/>
        <v>1.6765601994183605</v>
      </c>
      <c r="Z54" s="83">
        <f t="shared" ca="1" si="96"/>
        <v>2.0225942924867044</v>
      </c>
      <c r="AA54" s="83">
        <f t="shared" ca="1" si="97"/>
        <v>2.4563556410082956</v>
      </c>
      <c r="AB54" s="83">
        <f t="shared" ca="1" si="98"/>
        <v>4.6982675355793591</v>
      </c>
      <c r="AC54" s="83">
        <f t="shared" ca="1" si="99"/>
        <v>1.2281778205041478</v>
      </c>
      <c r="AD54" s="83">
        <f t="shared" ca="1" si="100"/>
        <v>3.2718437084343748</v>
      </c>
      <c r="AE54" s="326">
        <f t="shared" ca="1" si="101"/>
        <v>5.9784317188561689</v>
      </c>
      <c r="AF54" s="83">
        <f t="shared" ca="1" si="102"/>
        <v>2.6902942734852759</v>
      </c>
      <c r="AG54" s="83">
        <f t="shared" ca="1" si="103"/>
        <v>1.4192153228793263</v>
      </c>
      <c r="AH54" s="326">
        <f t="shared" ca="1" si="104"/>
        <v>1.4689976637906819</v>
      </c>
      <c r="AI54" s="83">
        <f t="shared" ca="1" si="105"/>
        <v>4.8997146913234255</v>
      </c>
      <c r="AJ54" s="83">
        <f t="shared" ca="1" si="106"/>
        <v>4.6007931053806166</v>
      </c>
      <c r="AK54" s="83">
        <f t="shared" ca="1" si="107"/>
        <v>1.4192153228793263</v>
      </c>
      <c r="AL54" s="83">
        <f t="shared" ca="1" si="108"/>
        <v>0.6835090598158442</v>
      </c>
      <c r="AM54" s="83">
        <f t="shared" ca="1" si="109"/>
        <v>1.754539743577354</v>
      </c>
      <c r="AN54" s="83">
        <f t="shared" ca="1" si="110"/>
        <v>3.8599874358701785</v>
      </c>
      <c r="AO54" s="83">
        <f t="shared" ca="1" si="111"/>
        <v>0.87726987178867699</v>
      </c>
      <c r="AP54" s="83">
        <f t="shared" ca="1" si="112"/>
        <v>8.0223908071741548</v>
      </c>
      <c r="AQ54" s="83">
        <f t="shared" ca="1" si="113"/>
        <v>0.45477839505576301</v>
      </c>
      <c r="AR54" s="83">
        <f t="shared" ca="1" si="114"/>
        <v>1.5440005365487579</v>
      </c>
      <c r="AS54" s="83">
        <f t="shared" ca="1" si="115"/>
        <v>0.2273891975278815</v>
      </c>
      <c r="AT54" s="83">
        <f t="shared" ca="1" si="116"/>
        <v>1.2281778205041478</v>
      </c>
      <c r="AU54" s="83">
        <f t="shared" ca="1" si="117"/>
        <v>2.5993181386331172</v>
      </c>
      <c r="AV54" s="83">
        <f t="shared" ca="1" si="118"/>
        <v>0.61408891025207391</v>
      </c>
      <c r="AW54" s="83">
        <f t="shared" ca="1" si="119"/>
        <v>8.4982953465827915</v>
      </c>
      <c r="AX54" s="83">
        <f t="shared" ca="1" si="120"/>
        <v>0.88506872268544645</v>
      </c>
      <c r="AY54" s="83">
        <f t="shared" ca="1" si="121"/>
        <v>2.5575607359671189</v>
      </c>
      <c r="AZ54" s="83">
        <f t="shared" ca="1" si="122"/>
        <v>0.44253436134272323</v>
      </c>
      <c r="BA54" s="83">
        <f t="shared" ca="1" si="123"/>
        <v>1.8910039458555925</v>
      </c>
      <c r="BB54" s="83">
        <f t="shared" ca="1" si="124"/>
        <v>2.2614067806108116</v>
      </c>
      <c r="BC54" s="83">
        <f t="shared" ca="1" si="125"/>
        <v>7.4869982003394391</v>
      </c>
      <c r="BD54" s="83">
        <f t="shared" ca="1" si="126"/>
        <v>2.5359845631121023</v>
      </c>
      <c r="BE54" s="83">
        <f t="shared" ca="1" si="127"/>
        <v>0.84308917852645293</v>
      </c>
      <c r="BF54" s="83">
        <f t="shared" ca="1" si="128"/>
        <v>3.1516732430926542</v>
      </c>
      <c r="BG54" s="83">
        <f t="shared" ca="1" si="129"/>
        <v>1.7155499714978573</v>
      </c>
      <c r="BH54" s="83">
        <f t="shared" ca="1" si="130"/>
        <v>3.2378505270480438</v>
      </c>
      <c r="BI54" s="83">
        <f t="shared" ca="1" si="131"/>
        <v>2.3845101329133609</v>
      </c>
      <c r="BJ54" s="83">
        <f t="shared" ca="1" si="132"/>
        <v>0.18191135802230521</v>
      </c>
      <c r="BK54" s="83">
        <f t="shared" ca="1" si="133"/>
        <v>1.1696931623849025</v>
      </c>
      <c r="BL54" s="83">
        <f t="shared" ca="1" si="134"/>
        <v>0.44188408356762993</v>
      </c>
      <c r="BM54" s="83">
        <f t="shared" ca="1" si="135"/>
        <v>2.5919800807077515</v>
      </c>
      <c r="BN54" s="83">
        <f t="shared" ca="1" si="136"/>
        <v>3.4988078157054709</v>
      </c>
      <c r="BO54" s="83">
        <f t="shared" ca="1" si="137"/>
        <v>0.47226987178867702</v>
      </c>
      <c r="BP54" s="83">
        <f t="shared" ca="1" si="138"/>
        <v>1.8455158784295129</v>
      </c>
      <c r="BQ54" s="83">
        <f t="shared" ca="1" si="139"/>
        <v>1.5855840645662014</v>
      </c>
      <c r="BR54" s="83">
        <f t="shared" ca="1" si="140"/>
        <v>3.8667243826951703</v>
      </c>
      <c r="BS54" s="83">
        <f t="shared" ca="1" si="141"/>
        <v>3.0121112440137341</v>
      </c>
      <c r="BT54" s="83">
        <f t="shared" ca="1" si="142"/>
        <v>0.42329373693651789</v>
      </c>
      <c r="BU54" s="83">
        <f t="shared" ca="1" si="143"/>
        <v>1.8455158784295129</v>
      </c>
      <c r="BV54" s="83">
        <f t="shared" ca="1" si="144"/>
        <v>1.5855840645662014</v>
      </c>
      <c r="BW54" s="83">
        <f t="shared" ca="1" si="145"/>
        <v>5.3624243636937416</v>
      </c>
      <c r="BX54" s="83">
        <f t="shared" ca="1" si="146"/>
        <v>2.4289743351915991</v>
      </c>
      <c r="BY54" s="83">
        <f t="shared" ca="1" si="147"/>
        <v>0.51774771129425323</v>
      </c>
      <c r="BZ54" s="83">
        <f t="shared" ca="1" si="148"/>
        <v>3.4503079107126138</v>
      </c>
      <c r="CA54" s="83">
        <f t="shared" ca="1" si="149"/>
        <v>2.0596118755696349</v>
      </c>
      <c r="CB54" s="83">
        <f t="shared" ca="1" si="150"/>
        <v>5.6880805602522244</v>
      </c>
      <c r="CC54" s="83">
        <f t="shared" ca="1" si="151"/>
        <v>2.0596118755696349</v>
      </c>
      <c r="CD54" s="83">
        <f t="shared" ca="1" si="152"/>
        <v>2.8963307094393969</v>
      </c>
      <c r="CE54" s="83">
        <f t="shared" ca="1" si="153"/>
        <v>7.7891663294718425</v>
      </c>
      <c r="CF54" s="83">
        <f t="shared" ca="1" si="154"/>
        <v>2.8963307094393969</v>
      </c>
      <c r="CG54" s="83">
        <f t="shared" ca="1" si="155"/>
        <v>2.1245738366456979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38</v>
      </c>
      <c r="D55" t="str">
        <f t="shared" si="188"/>
        <v>IMP</v>
      </c>
      <c r="E55" s="265">
        <f t="shared" si="188"/>
        <v>43650</v>
      </c>
      <c r="F55" s="195">
        <f t="shared" ca="1" si="77"/>
        <v>0.31036652147110561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8.6363636363636367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4.7102110927018881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4.1584941616246303</v>
      </c>
      <c r="T55" s="83">
        <f t="shared" ca="1" si="90"/>
        <v>3.4163367800582574</v>
      </c>
      <c r="U55" s="83">
        <f t="shared" ca="1" si="91"/>
        <v>5.2037477469131845</v>
      </c>
      <c r="V55" s="83">
        <f t="shared" ca="1" si="92"/>
        <v>3.4163367800582574</v>
      </c>
      <c r="W55" s="83">
        <f t="shared" ca="1" si="93"/>
        <v>5.195071911237183</v>
      </c>
      <c r="X55" s="83">
        <f t="shared" ca="1" si="94"/>
        <v>10.067968820227099</v>
      </c>
      <c r="Y55" s="83">
        <f t="shared" ca="1" si="95"/>
        <v>2.5975359556185915</v>
      </c>
      <c r="Z55" s="83">
        <f t="shared" ca="1" si="96"/>
        <v>2.309631124668595</v>
      </c>
      <c r="AA55" s="83">
        <f t="shared" ca="1" si="97"/>
        <v>3.8056922140458433</v>
      </c>
      <c r="AB55" s="83">
        <f t="shared" ca="1" si="98"/>
        <v>7.2791414570241928</v>
      </c>
      <c r="AC55" s="83">
        <f t="shared" ca="1" si="99"/>
        <v>1.9028461070229217</v>
      </c>
      <c r="AD55" s="83">
        <f t="shared" ca="1" si="100"/>
        <v>3.7361679957874334</v>
      </c>
      <c r="AE55" s="326">
        <f t="shared" ca="1" si="101"/>
        <v>9.2625313146089319</v>
      </c>
      <c r="AF55" s="83">
        <f t="shared" ca="1" si="102"/>
        <v>4.1681390915740186</v>
      </c>
      <c r="AG55" s="83">
        <f t="shared" ca="1" si="103"/>
        <v>1.6206235202506529</v>
      </c>
      <c r="AH55" s="326">
        <f t="shared" ca="1" si="104"/>
        <v>5.9199656662935336</v>
      </c>
      <c r="AI55" s="83">
        <f t="shared" ca="1" si="105"/>
        <v>7.5912484904512327</v>
      </c>
      <c r="AJ55" s="83">
        <f t="shared" ca="1" si="106"/>
        <v>7.1281219247207854</v>
      </c>
      <c r="AK55" s="83">
        <f t="shared" ca="1" si="107"/>
        <v>0.67935079297792555</v>
      </c>
      <c r="AL55" s="83">
        <f t="shared" ca="1" si="108"/>
        <v>1.0995750202254044</v>
      </c>
      <c r="AM55" s="83">
        <f t="shared" ca="1" si="109"/>
        <v>2.7183515814613171</v>
      </c>
      <c r="AN55" s="83">
        <f t="shared" ca="1" si="110"/>
        <v>5.9803734792148964</v>
      </c>
      <c r="AO55" s="83">
        <f t="shared" ca="1" si="111"/>
        <v>1.3591757907306585</v>
      </c>
      <c r="AP55" s="83">
        <f t="shared" ca="1" si="112"/>
        <v>9.1608898390216549</v>
      </c>
      <c r="AQ55" s="83">
        <f t="shared" ca="1" si="113"/>
        <v>0.78883594662952294</v>
      </c>
      <c r="AR55" s="83">
        <f t="shared" ca="1" si="114"/>
        <v>1.7779148643265399</v>
      </c>
      <c r="AS55" s="83">
        <f t="shared" ca="1" si="115"/>
        <v>0.39441797331476147</v>
      </c>
      <c r="AT55" s="83">
        <f t="shared" ca="1" si="116"/>
        <v>1.9028461070229217</v>
      </c>
      <c r="AU55" s="83">
        <f t="shared" ca="1" si="117"/>
        <v>4.02718752809084</v>
      </c>
      <c r="AV55" s="83">
        <f t="shared" ca="1" si="118"/>
        <v>0.95142305351146084</v>
      </c>
      <c r="AW55" s="83">
        <f t="shared" ca="1" si="119"/>
        <v>9.7043324565907358</v>
      </c>
      <c r="AX55" s="83">
        <f t="shared" ca="1" si="120"/>
        <v>1.5351961115174562</v>
      </c>
      <c r="AY55" s="83">
        <f t="shared" ca="1" si="121"/>
        <v>3.3434508199451316</v>
      </c>
      <c r="AZ55" s="83">
        <f t="shared" ca="1" si="122"/>
        <v>0.76759805575872808</v>
      </c>
      <c r="BA55" s="83">
        <f t="shared" ca="1" si="123"/>
        <v>2.9297789266860859</v>
      </c>
      <c r="BB55" s="83">
        <f t="shared" ca="1" si="124"/>
        <v>3.5036531494390304</v>
      </c>
      <c r="BC55" s="83">
        <f t="shared" ca="1" si="125"/>
        <v>8.5495168942564383</v>
      </c>
      <c r="BD55" s="83">
        <f t="shared" ca="1" si="126"/>
        <v>7.6904242811818904</v>
      </c>
      <c r="BE55" s="83">
        <f t="shared" ca="1" si="127"/>
        <v>1.4623804856747309</v>
      </c>
      <c r="BF55" s="83">
        <f t="shared" ca="1" si="128"/>
        <v>4.8829648778101431</v>
      </c>
      <c r="BG55" s="83">
        <f t="shared" ca="1" si="129"/>
        <v>2.6579437685399543</v>
      </c>
      <c r="BH55" s="83">
        <f t="shared" ca="1" si="130"/>
        <v>3.6973506659610704</v>
      </c>
      <c r="BI55" s="83">
        <f t="shared" ca="1" si="131"/>
        <v>7.9954047488784852</v>
      </c>
      <c r="BJ55" s="83">
        <f t="shared" ca="1" si="132"/>
        <v>0.31553437865180917</v>
      </c>
      <c r="BK55" s="83">
        <f t="shared" ca="1" si="133"/>
        <v>1.8122343876408777</v>
      </c>
      <c r="BL55" s="83">
        <f t="shared" ca="1" si="134"/>
        <v>0.68462187977544275</v>
      </c>
      <c r="BM55" s="83">
        <f t="shared" ca="1" si="135"/>
        <v>2.9598213992601745</v>
      </c>
      <c r="BN55" s="83">
        <f t="shared" ca="1" si="136"/>
        <v>11.803407902812049</v>
      </c>
      <c r="BO55" s="83">
        <f t="shared" ca="1" si="137"/>
        <v>0.81917579073065849</v>
      </c>
      <c r="BP55" s="83">
        <f t="shared" ca="1" si="138"/>
        <v>2.8593031449444961</v>
      </c>
      <c r="BQ55" s="83">
        <f t="shared" ca="1" si="139"/>
        <v>2.456584392135412</v>
      </c>
      <c r="BR55" s="83">
        <f t="shared" ca="1" si="140"/>
        <v>4.4154712677487851</v>
      </c>
      <c r="BS55" s="83">
        <f t="shared" ca="1" si="141"/>
        <v>10.179309452811626</v>
      </c>
      <c r="BT55" s="83">
        <f t="shared" ca="1" si="142"/>
        <v>0.73422422724747893</v>
      </c>
      <c r="BU55" s="83">
        <f t="shared" ca="1" si="143"/>
        <v>2.8593031449444961</v>
      </c>
      <c r="BV55" s="83">
        <f t="shared" ca="1" si="144"/>
        <v>2.456584392135412</v>
      </c>
      <c r="BW55" s="83">
        <f t="shared" ca="1" si="145"/>
        <v>6.1234337801087539</v>
      </c>
      <c r="BX55" s="83">
        <f t="shared" ca="1" si="146"/>
        <v>8.2388320941032536</v>
      </c>
      <c r="BY55" s="83">
        <f t="shared" ca="1" si="147"/>
        <v>0.89805938539361063</v>
      </c>
      <c r="BZ55" s="83">
        <f t="shared" ca="1" si="148"/>
        <v>3.9399589773758392</v>
      </c>
      <c r="CA55" s="83">
        <f t="shared" ca="1" si="149"/>
        <v>3.7374117553383188</v>
      </c>
      <c r="CB55" s="83">
        <f t="shared" ca="1" si="150"/>
        <v>6.8325328915757133</v>
      </c>
      <c r="CC55" s="83">
        <f t="shared" ca="1" si="151"/>
        <v>3.7374117553383188</v>
      </c>
      <c r="CD55" s="83">
        <f t="shared" ca="1" si="152"/>
        <v>4.8436492794189956</v>
      </c>
      <c r="CE55" s="83">
        <f t="shared" ca="1" si="153"/>
        <v>8.3070493148908984</v>
      </c>
      <c r="CF55" s="83">
        <f t="shared" ca="1" si="154"/>
        <v>4.8436492794189956</v>
      </c>
      <c r="CG55" s="83">
        <f t="shared" ca="1" si="155"/>
        <v>2.426083114147684</v>
      </c>
    </row>
    <row r="56" spans="1:85" x14ac:dyDescent="0.25">
      <c r="A56" t="str">
        <f t="shared" ref="A56:E56" si="190">A22</f>
        <v>K. Helms</v>
      </c>
      <c r="B56">
        <f t="shared" si="190"/>
        <v>35</v>
      </c>
      <c r="C56">
        <f t="shared" ca="1" si="190"/>
        <v>98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1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1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38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9.9499999999999993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3.7172023809523811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1.9473654826788613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1.6892828319631767</v>
      </c>
      <c r="AR59" s="83">
        <f t="shared" si="114"/>
        <v>3.288383613578544</v>
      </c>
      <c r="AS59" s="83">
        <f t="shared" si="115"/>
        <v>0.84464141598158837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3.2876042806667978</v>
      </c>
      <c r="AY59" s="83">
        <f t="shared" si="121"/>
        <v>6.5299603108593107</v>
      </c>
      <c r="AZ59" s="83">
        <f t="shared" si="122"/>
        <v>1.6438021403333989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10.404095673963567</v>
      </c>
      <c r="BE59" s="83">
        <f t="shared" si="127"/>
        <v>3.1316704807932734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10.011178424121665</v>
      </c>
      <c r="BJ59" s="83">
        <f t="shared" si="132"/>
        <v>0.67571313278527056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14.710905553112655</v>
      </c>
      <c r="BO59" s="83">
        <f t="shared" si="137"/>
        <v>1.754255248577145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12.669887521655381</v>
      </c>
      <c r="BT59" s="83">
        <f t="shared" si="142"/>
        <v>1.5723324820580336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10.226062573900331</v>
      </c>
      <c r="BY59" s="83">
        <f t="shared" si="147"/>
        <v>1.9231835317734625</v>
      </c>
      <c r="BZ59" s="83">
        <f t="shared" si="148"/>
        <v>4.8697602290542292</v>
      </c>
      <c r="CA59" s="83">
        <f t="shared" si="149"/>
        <v>6.1011258111754998</v>
      </c>
      <c r="CB59" s="83">
        <f t="shared" si="150"/>
        <v>12.882788221465669</v>
      </c>
      <c r="CC59" s="83">
        <f t="shared" si="151"/>
        <v>6.1011258111754998</v>
      </c>
      <c r="CD59" s="83">
        <f t="shared" si="152"/>
        <v>6.7435631101004549</v>
      </c>
      <c r="CE59" s="83">
        <f t="shared" si="153"/>
        <v>14.789447668904529</v>
      </c>
      <c r="CF59" s="83">
        <f t="shared" si="154"/>
        <v>6.7435631101004549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69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5" t="s">
        <v>443</v>
      </c>
      <c r="X1" s="695"/>
      <c r="Y1" s="695"/>
      <c r="Z1" s="695"/>
      <c r="AA1" s="695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1.8364475729820222</v>
      </c>
      <c r="F2" s="83">
        <f ca="1">D2*Plantilla!S4</f>
        <v>2.1178946587246439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5.7211907498919032</v>
      </c>
      <c r="R2" s="48">
        <f ca="1">Plantilla!AJ4</f>
        <v>10.215163513003191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1.6292641850247063</v>
      </c>
      <c r="F3" s="83">
        <f>D3*Plantilla!S5</f>
        <v>1.8197502510767145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4.7283230154312932</v>
      </c>
      <c r="R3" s="48">
        <f>Plantilla!AJ5</f>
        <v>9.4963602605149848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4.0861371240634003</v>
      </c>
      <c r="F6" s="83">
        <f>D6*Plantilla!S7</f>
        <v>4.4103788765928291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9.7287002220285981</v>
      </c>
      <c r="R6" s="48">
        <f>Plantilla!AJ7</f>
        <v>11.923871671566637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15.136423764012715</v>
      </c>
      <c r="C7" s="83">
        <f>Plantilla!AB8+Plantilla!J8+Plantilla!P8</f>
        <v>13.136423764012715</v>
      </c>
      <c r="D7" s="126">
        <f t="shared" si="1"/>
        <v>5.1761589115047677</v>
      </c>
      <c r="E7" s="83">
        <f>D7*Plantilla!R8</f>
        <v>3.912808350397829</v>
      </c>
      <c r="F7" s="83">
        <f>D7*Plantilla!S8</f>
        <v>4.3702758849655448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13.077946098801531</v>
      </c>
      <c r="R7" s="48">
        <f>Plantilla!AJ8</f>
        <v>12.807268538928145</v>
      </c>
      <c r="S7" s="48">
        <f>Plantilla!AK8</f>
        <v>1.0283139011210172</v>
      </c>
      <c r="T7" s="48">
        <f>Plantilla!AL8</f>
        <v>1.2269496634808901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4.6275086972602004</v>
      </c>
      <c r="C11" s="83">
        <f ca="1">Plantilla!AB11+Plantilla!J11+Plantilla!P11</f>
        <v>4.6275086972602004</v>
      </c>
      <c r="D11" s="126">
        <f t="shared" ca="1" si="1"/>
        <v>1.7353157614725752</v>
      </c>
      <c r="E11" s="83">
        <f ca="1">D11*Plantilla!R11</f>
        <v>1.4666094991060026</v>
      </c>
      <c r="F11" s="83">
        <f ca="1">D11*Plantilla!S11</f>
        <v>1.6052508279380564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7.3585841808773633</v>
      </c>
      <c r="R11" s="48">
        <f ca="1">Plantilla!AJ11</f>
        <v>5.8548134501582609</v>
      </c>
      <c r="S11" s="48">
        <f ca="1">Plantilla!AK11</f>
        <v>0.58020069578081601</v>
      </c>
      <c r="T11" s="48">
        <f ca="1">Plantilla!AL11</f>
        <v>0.38392560880821403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3.8767323986520643</v>
      </c>
      <c r="C12" s="83">
        <f ca="1">Plantilla!AB12+Plantilla!J12+Plantilla!P12</f>
        <v>6.8767323986520648</v>
      </c>
      <c r="D12" s="126">
        <f t="shared" ca="1" si="1"/>
        <v>2.2037746494945241</v>
      </c>
      <c r="E12" s="83">
        <f ca="1">D12*Plantilla!R12</f>
        <v>2.04029886587124</v>
      </c>
      <c r="F12" s="83">
        <f ca="1">D12*Plantilla!S12</f>
        <v>2.2021999621555532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9.6077708557948149</v>
      </c>
      <c r="R12" s="48">
        <f ca="1">Plantilla!AJ12</f>
        <v>4.6075588858613434</v>
      </c>
      <c r="S12" s="48">
        <f ca="1">Plantilla!AK12</f>
        <v>0.5801385918921651</v>
      </c>
      <c r="T12" s="48">
        <f ca="1">Plantilla!AL12</f>
        <v>0.2413712679056445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5.0158709108002846</v>
      </c>
      <c r="C13" s="83">
        <f ca="1">Plantilla!AB13+Plantilla!J13+Plantilla!P13</f>
        <v>3.015870910800285</v>
      </c>
      <c r="D13" s="126">
        <f t="shared" ca="1" si="1"/>
        <v>1.3809515915501067</v>
      </c>
      <c r="E13" s="83">
        <f ca="1">D13*Plantilla!R13</f>
        <v>1.1671171131726892</v>
      </c>
      <c r="F13" s="83">
        <f ca="1">D13*Plantilla!S13</f>
        <v>1.2774468686880645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6.6979106126222998</v>
      </c>
      <c r="R13" s="48">
        <f ca="1">Plantilla!AJ13</f>
        <v>2.8869378338662339</v>
      </c>
      <c r="S13" s="48">
        <f ca="1">Plantilla!AK13</f>
        <v>0.48126967286402289</v>
      </c>
      <c r="T13" s="48">
        <f ca="1">Plantilla!AL13</f>
        <v>0.23111096375601994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3.0256522243032</v>
      </c>
      <c r="C14" s="83">
        <f ca="1">Plantilla!AB14+Plantilla!J14+Plantilla!P14</f>
        <v>5.0256522243032</v>
      </c>
      <c r="D14" s="126">
        <f t="shared" ca="1" si="1"/>
        <v>1.6346195841136999</v>
      </c>
      <c r="E14" s="83">
        <f ca="1">D14*Plantilla!R14</f>
        <v>1.5133636664543122</v>
      </c>
      <c r="F14" s="83">
        <f ca="1">D14*Plantilla!S14</f>
        <v>1.6334515814035644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10.412412968603798</v>
      </c>
      <c r="R14" s="48">
        <f ca="1">Plantilla!AJ14</f>
        <v>7.0599821031351677</v>
      </c>
      <c r="S14" s="48">
        <f ca="1">Plantilla!AK14</f>
        <v>0.66205217794425608</v>
      </c>
      <c r="T14" s="48">
        <f ca="1">Plantilla!AL14</f>
        <v>0.33179565570122399</v>
      </c>
    </row>
    <row r="15" spans="1:27" x14ac:dyDescent="0.25">
      <c r="A15" t="str">
        <f>Plantilla!D19</f>
        <v>J. Vartiainen</v>
      </c>
      <c r="B15" s="83">
        <f ca="1">Plantilla!Y19++Plantilla!J19+Plantilla!P19</f>
        <v>7.5810829955150725</v>
      </c>
      <c r="C15" s="83">
        <f ca="1">Plantilla!AB19+Plantilla!J19+Plantilla!P19</f>
        <v>1.5810829955150725</v>
      </c>
      <c r="D15" s="126">
        <f t="shared" ca="1" si="1"/>
        <v>1.3429061233181523</v>
      </c>
      <c r="E15" s="83">
        <f ca="1">D15*Plantilla!R19</f>
        <v>1.2432894810755819</v>
      </c>
      <c r="F15" s="83">
        <f ca="1">D15*Plantilla!S19</f>
        <v>1.3419465618356292</v>
      </c>
      <c r="M15" t="str">
        <f>Plantilla!D19</f>
        <v>J. Vartiainen</v>
      </c>
      <c r="N15" s="48">
        <f>Plantilla!J19</f>
        <v>0.19483738090431735</v>
      </c>
      <c r="O15" s="83">
        <f>Plantilla!AC19</f>
        <v>6</v>
      </c>
      <c r="P15" s="83">
        <f>Plantilla!AD19</f>
        <v>1</v>
      </c>
      <c r="Q15" s="48">
        <f ca="1">Plantilla!AI19</f>
        <v>3.8830685706515373</v>
      </c>
      <c r="R15" s="48">
        <f ca="1">Plantilla!AJ19</f>
        <v>2.852528566315276</v>
      </c>
      <c r="S15" s="48">
        <f ca="1">Plantilla!AK19</f>
        <v>0.37648663964120577</v>
      </c>
      <c r="T15" s="48">
        <f ca="1">Plantilla!AL19</f>
        <v>0.35067580968605505</v>
      </c>
    </row>
    <row r="16" spans="1:27" x14ac:dyDescent="0.25">
      <c r="A16" t="str">
        <f>Plantilla!D16</f>
        <v>R. Forsyth</v>
      </c>
      <c r="B16" s="83">
        <f ca="1">Plantilla!Y16++Plantilla!J16+Plantilla!P16</f>
        <v>8.0478692769649882</v>
      </c>
      <c r="C16" s="83">
        <f ca="1">Plantilla!AB16+Plantilla!J16+Plantilla!P16</f>
        <v>5.0478692769649891</v>
      </c>
      <c r="D16" s="126">
        <f t="shared" ca="1" si="1"/>
        <v>2.2679509788618706</v>
      </c>
      <c r="E16" s="83">
        <f ca="1">D16*Plantilla!R16</f>
        <v>1.4847224332976734</v>
      </c>
      <c r="F16" s="83">
        <f ca="1">D16*Plantilla!S16</f>
        <v>1.7122654397717356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3.7811428462274099</v>
      </c>
      <c r="R16" s="48">
        <f ca="1">Plantilla!AJ16</f>
        <v>2.7808832148527709</v>
      </c>
      <c r="S16" s="48">
        <f ca="1">Plantilla!AK16</f>
        <v>0.44382954215719916</v>
      </c>
      <c r="T16" s="48">
        <f ca="1">Plantilla!AL16</f>
        <v>0.41335084938754935</v>
      </c>
    </row>
    <row r="17" spans="1:20" x14ac:dyDescent="0.25">
      <c r="A17" t="str">
        <f>Plantilla!D17</f>
        <v>M. Grupinski</v>
      </c>
      <c r="B17" s="83">
        <f ca="1">Plantilla!Y17++Plantilla!J17+Plantilla!P17</f>
        <v>3.906577229927398</v>
      </c>
      <c r="C17" s="83">
        <f ca="1">Plantilla!AB17+Plantilla!J17+Plantilla!P17</f>
        <v>6.9065772299273975</v>
      </c>
      <c r="D17" s="126">
        <f t="shared" ca="1" si="1"/>
        <v>2.2149664612227742</v>
      </c>
      <c r="E17" s="83">
        <f ca="1">D17*Plantilla!R17</f>
        <v>1.8719883287833934</v>
      </c>
      <c r="F17" s="83">
        <f ca="1">D17*Plantilla!S17</f>
        <v>2.0489508737681557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0.87349707579336366</v>
      </c>
      <c r="R17" s="48">
        <f ca="1">Plantilla!AJ17</f>
        <v>3.3016603672986826</v>
      </c>
      <c r="S17" s="48">
        <f ca="1">Plantilla!AK17</f>
        <v>0.31252617839419183</v>
      </c>
      <c r="T17" s="48">
        <f ca="1">Plantilla!AL17</f>
        <v>0.27346040609491784</v>
      </c>
    </row>
    <row r="18" spans="1:20" x14ac:dyDescent="0.25">
      <c r="A18" t="str">
        <f>Plantilla!D18</f>
        <v>V. Godoi</v>
      </c>
      <c r="B18" s="83">
        <f ca="1">Plantilla!Y18++Plantilla!J18+Plantilla!P18</f>
        <v>4.3470520329425151</v>
      </c>
      <c r="C18" s="83">
        <f ca="1">Plantilla!AB18+Plantilla!J18+Plantilla!P18</f>
        <v>6.3470520329425151</v>
      </c>
      <c r="D18" s="126">
        <f t="shared" ca="1" si="1"/>
        <v>2.1301445123534433</v>
      </c>
      <c r="E18" s="83">
        <f ca="1">D18*Plantilla!R18</f>
        <v>1.610237896090333</v>
      </c>
      <c r="F18" s="83">
        <f ca="1">D18*Plantilla!S18</f>
        <v>1.7984994960526857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3.1953003104453654</v>
      </c>
      <c r="R18" s="48">
        <f ca="1">Plantilla!AJ18</f>
        <v>2.6813193047348514</v>
      </c>
      <c r="S18" s="48">
        <f ca="1">Plantilla!AK18</f>
        <v>0.3877641626354012</v>
      </c>
      <c r="T18" s="48">
        <f ca="1">Plantilla!AL18</f>
        <v>0.24429364230597606</v>
      </c>
    </row>
    <row r="19" spans="1:20" x14ac:dyDescent="0.25">
      <c r="A19" t="str">
        <f>Plantilla!D15</f>
        <v>P. Tuderek</v>
      </c>
      <c r="B19" s="83">
        <f ca="1">Plantilla!Y15++Plantilla!J15+Plantilla!P15</f>
        <v>6.8492839262822347</v>
      </c>
      <c r="C19" s="83">
        <f ca="1">Plantilla!AB15+Plantilla!J15+Plantilla!P15</f>
        <v>3.8492839262822343</v>
      </c>
      <c r="D19" s="126">
        <f t="shared" ca="1" si="1"/>
        <v>1.8184814723558378</v>
      </c>
      <c r="E19" s="83">
        <f ca="1">D19*Plantilla!R15</f>
        <v>1.6835866981710179</v>
      </c>
      <c r="F19" s="83">
        <f ca="1">D19*Plantilla!S15</f>
        <v>1.8171820927884539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7.9962318003609578</v>
      </c>
      <c r="R19" s="48">
        <f ca="1">Plantilla!AJ15</f>
        <v>7.6373528676827238</v>
      </c>
      <c r="S19" s="48">
        <f ca="1">Plantilla!AK15</f>
        <v>0.60794271410257872</v>
      </c>
      <c r="T19" s="48">
        <f ca="1">Plantilla!AL15</f>
        <v>0.53944987483975648</v>
      </c>
    </row>
    <row r="20" spans="1:20" x14ac:dyDescent="0.25">
      <c r="A20" t="str">
        <f>Plantilla!D20</f>
        <v>G. Stoychev</v>
      </c>
      <c r="B20" s="83">
        <f ca="1">Plantilla!Y20++Plantilla!J20+Plantilla!P20</f>
        <v>10.20649699871873</v>
      </c>
      <c r="C20" s="83">
        <f ca="1">Plantilla!AB20+Plantilla!J20+Plantilla!P20</f>
        <v>6.2064969987187286</v>
      </c>
      <c r="D20" s="126">
        <f t="shared" ca="1" si="1"/>
        <v>2.8274363745195235</v>
      </c>
      <c r="E20" s="83">
        <f ca="1">D20*Plantilla!R20</f>
        <v>2.8274363745195235</v>
      </c>
      <c r="F20" s="83">
        <f ca="1">D20*Plantilla!S20</f>
        <v>2.8274363745195235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5.016358367168392</v>
      </c>
      <c r="R20" s="48">
        <f ca="1">Plantilla!AJ20</f>
        <v>4.8064969987187292</v>
      </c>
      <c r="S20" s="48">
        <f ca="1">Plantilla!AK20</f>
        <v>0.43651975989749825</v>
      </c>
      <c r="T20" s="48">
        <f ca="1">Plantilla!AL20</f>
        <v>0.53445478991031103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2.9465480076061841</v>
      </c>
      <c r="F21" s="83">
        <f>D21*Plantilla!S21</f>
        <v>3.3981249335920842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10.196531897240094</v>
      </c>
      <c r="R21" s="48">
        <f>Plantilla!AJ21</f>
        <v>10.99979897301478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13.033360961115283</v>
      </c>
      <c r="D24" s="126">
        <f t="shared" si="1"/>
        <v>4.4984627413706129</v>
      </c>
      <c r="E24" s="83">
        <f>D24*Plantilla!R24</f>
        <v>4.4984627413706129</v>
      </c>
      <c r="F24" s="83">
        <f>D24*Plantilla!S24</f>
        <v>4.4984627413706129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21.201227724064779</v>
      </c>
      <c r="R24" s="48">
        <f>Plantilla!AJ24</f>
        <v>18.468360961115277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3.2007251870974196</v>
      </c>
      <c r="F25" s="83">
        <f>D25*Plantilla!S25</f>
        <v>3.5749392372236857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14.480517964313407</v>
      </c>
      <c r="R25" s="48">
        <f>Plantilla!AJ25</f>
        <v>11.215035279228539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5" t="s">
        <v>442</v>
      </c>
      <c r="B27" s="695"/>
      <c r="C27" s="695"/>
      <c r="D27" s="695"/>
      <c r="E27" s="695"/>
      <c r="F27" s="695"/>
      <c r="G27" s="695"/>
      <c r="H27" s="695"/>
      <c r="I27" s="695"/>
      <c r="J27" s="69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5.1761589115047677</v>
      </c>
      <c r="C29" s="48">
        <f>E7</f>
        <v>3.912808350397829</v>
      </c>
      <c r="D29" s="48">
        <f>F7</f>
        <v>4.3702758849655448</v>
      </c>
      <c r="G29" s="48" t="str">
        <f>A29</f>
        <v>E. Romweber</v>
      </c>
      <c r="H29" s="48">
        <f>B29</f>
        <v>5.1761589115047677</v>
      </c>
      <c r="I29" s="48">
        <f t="shared" ref="I29:J32" si="3">C29</f>
        <v>3.912808350397829</v>
      </c>
      <c r="J29" s="48">
        <f t="shared" si="3"/>
        <v>4.3702758849655448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34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J. Vartiainen</v>
      </c>
      <c r="B16" s="50">
        <f>Plantilla!E19</f>
        <v>19</v>
      </c>
      <c r="C16" s="50">
        <f>Plantilla!H19</f>
        <v>4</v>
      </c>
      <c r="D16" s="129">
        <f>Plantilla!I19</f>
        <v>0.4</v>
      </c>
      <c r="E16" s="123">
        <f t="shared" si="4"/>
        <v>0.4</v>
      </c>
      <c r="F16" s="123">
        <f t="shared" si="5"/>
        <v>0.5</v>
      </c>
      <c r="G16" s="123">
        <f t="shared" si="6"/>
        <v>4</v>
      </c>
      <c r="H16" s="123">
        <f t="shared" si="7"/>
        <v>4.99</v>
      </c>
      <c r="I16" s="127">
        <f t="shared" si="8"/>
        <v>6.4</v>
      </c>
      <c r="J16" s="127">
        <f t="shared" si="9"/>
        <v>12.450050000000001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35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2019-08-27T11:04:33Z</dcterms:modified>
</cp:coreProperties>
</file>