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F3F72B6C-36BB-4AD6-83C9-1EC1677BFA19}" xr6:coauthVersionLast="33" xr6:coauthVersionMax="33" xr10:uidLastSave="{00000000-0000-0000-0000-000000000000}"/>
  <bookViews>
    <workbookView xWindow="240" yWindow="105" windowWidth="14805" windowHeight="8010" activeTab="2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chart.v1.0" hidden="1">EstudioConversion!$A$1</definedName>
    <definedName name="_xlchart.v1.1" hidden="1">EstudioConversion!$A$2:$A$54</definedName>
    <definedName name="_xlchart.v1.10" hidden="1">EstudioConversion!$F$1</definedName>
    <definedName name="_xlchart.v1.11" hidden="1">EstudioConversion!$F$2:$F$54</definedName>
    <definedName name="_xlchart.v1.12" hidden="1">EstudioConversion!$G$1</definedName>
    <definedName name="_xlchart.v1.13" hidden="1">EstudioConversion!$G$2:$G$54</definedName>
    <definedName name="_xlchart.v1.14" hidden="1">EstudioConversion!$H$1</definedName>
    <definedName name="_xlchart.v1.15" hidden="1">EstudioConversion!$H$2:$H$54</definedName>
    <definedName name="_xlchart.v1.16" hidden="1">EstudioConversion!$A$1</definedName>
    <definedName name="_xlchart.v1.17" hidden="1">EstudioConversion!$A$2:$A$54</definedName>
    <definedName name="_xlchart.v1.18" hidden="1">EstudioConversion!$B$1</definedName>
    <definedName name="_xlchart.v1.19" hidden="1">EstudioConversion!$B$2:$B$54</definedName>
    <definedName name="_xlchart.v1.2" hidden="1">EstudioConversion!$B$1</definedName>
    <definedName name="_xlchart.v1.20" hidden="1">EstudioConversion!$C$1</definedName>
    <definedName name="_xlchart.v1.21" hidden="1">EstudioConversion!$C$2:$C$54</definedName>
    <definedName name="_xlchart.v1.22" hidden="1">EstudioConversion!$D$1</definedName>
    <definedName name="_xlchart.v1.23" hidden="1">EstudioConversion!$D$2:$D$53</definedName>
    <definedName name="_xlchart.v1.24" hidden="1">EstudioConversion!$D$2:$D$54</definedName>
    <definedName name="_xlchart.v1.25" hidden="1">EstudioConversion!$D:$D</definedName>
    <definedName name="_xlchart.v1.26" hidden="1">EstudioConversion!$E$1</definedName>
    <definedName name="_xlchart.v1.27" hidden="1">EstudioConversion!$E$2:$E$54</definedName>
    <definedName name="_xlchart.v1.28" hidden="1">EstudioConversion!$F$1</definedName>
    <definedName name="_xlchart.v1.29" hidden="1">EstudioConversion!$F$2:$F$54</definedName>
    <definedName name="_xlchart.v1.3" hidden="1">EstudioConversion!$B$2:$B$54</definedName>
    <definedName name="_xlchart.v1.30" hidden="1">EstudioConversion!$G$1</definedName>
    <definedName name="_xlchart.v1.31" hidden="1">EstudioConversion!$G$2:$G$54</definedName>
    <definedName name="_xlchart.v1.32" hidden="1">EstudioConversion!$H$1</definedName>
    <definedName name="_xlchart.v1.33" hidden="1">EstudioConversion!$H$2:$H$53</definedName>
    <definedName name="_xlchart.v1.34" hidden="1">EstudioConversion!$H$2:$H$54</definedName>
    <definedName name="_xlchart.v1.4" hidden="1">EstudioConversion!$C$1</definedName>
    <definedName name="_xlchart.v1.5" hidden="1">EstudioConversion!$C$2:$C$54</definedName>
    <definedName name="_xlchart.v1.6" hidden="1">EstudioConversion!$D$1</definedName>
    <definedName name="_xlchart.v1.7" hidden="1">EstudioConversion!$D$2:$D$54</definedName>
    <definedName name="_xlchart.v1.8" hidden="1">EstudioConversion!$E$1</definedName>
    <definedName name="_xlchart.v1.9" hidden="1">EstudioConversion!$E$2:$E$54</definedName>
  </definedNames>
  <calcPr calcId="179017"/>
  <pivotCaches>
    <pivotCache cacheId="364" r:id="rId15"/>
  </pivotCaches>
</workbook>
</file>

<file path=xl/calcChain.xml><?xml version="1.0" encoding="utf-8"?>
<calcChain xmlns="http://schemas.openxmlformats.org/spreadsheetml/2006/main">
  <c r="H13" i="28" l="1"/>
  <c r="V10" i="28"/>
  <c r="V6" i="28"/>
  <c r="H47" i="26" l="1"/>
  <c r="E47" i="26"/>
  <c r="H5" i="26"/>
  <c r="E5" i="26"/>
  <c r="H46" i="26"/>
  <c r="E46" i="26"/>
  <c r="H4" i="26"/>
  <c r="E4" i="26"/>
  <c r="H6" i="26" l="1"/>
  <c r="E6" i="26"/>
  <c r="Y16" i="1" l="1"/>
  <c r="Y15" i="1"/>
  <c r="Y14" i="1"/>
  <c r="Y9" i="1"/>
  <c r="Y7" i="1"/>
  <c r="Y8" i="1"/>
  <c r="Y6" i="1"/>
  <c r="Y11" i="1"/>
  <c r="Y13" i="1"/>
  <c r="Y12" i="1"/>
  <c r="Y4" i="1"/>
  <c r="T15" i="28" l="1"/>
  <c r="S6" i="28"/>
  <c r="H11" i="28"/>
  <c r="E17" i="28"/>
  <c r="T8" i="28"/>
  <c r="T6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7" i="26" l="1"/>
  <c r="E7" i="26"/>
  <c r="E51" i="26" l="1"/>
  <c r="H51" i="26"/>
  <c r="E37" i="26" l="1"/>
  <c r="H37" i="26"/>
  <c r="E36" i="26"/>
  <c r="H36" i="26"/>
  <c r="N8" i="26"/>
  <c r="E35" i="26"/>
  <c r="H35" i="26"/>
  <c r="E24" i="26"/>
  <c r="H24" i="26"/>
  <c r="E45" i="26"/>
  <c r="H45" i="26"/>
  <c r="E44" i="26"/>
  <c r="H44" i="26"/>
  <c r="E43" i="26"/>
  <c r="H43" i="26"/>
  <c r="E42" i="26"/>
  <c r="H42" i="26"/>
  <c r="E41" i="26"/>
  <c r="H41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2" i="26" l="1"/>
  <c r="H52" i="26"/>
  <c r="E2" i="26" l="1"/>
  <c r="H2" i="26"/>
  <c r="E48" i="26" l="1"/>
  <c r="H48" i="26"/>
  <c r="Q15" i="28" l="1"/>
  <c r="AE17" i="1" l="1"/>
  <c r="N7" i="26" l="1"/>
  <c r="E53" i="26"/>
  <c r="H53" i="26"/>
  <c r="E49" i="26" l="1"/>
  <c r="H49" i="26"/>
  <c r="AE18" i="1" l="1"/>
  <c r="AB18" i="1"/>
  <c r="N3" i="26"/>
  <c r="N4" i="26"/>
  <c r="N5" i="26"/>
  <c r="N6" i="26"/>
  <c r="N2" i="26"/>
  <c r="E39" i="26" l="1"/>
  <c r="H39" i="26"/>
  <c r="E38" i="26"/>
  <c r="H38" i="26"/>
  <c r="E40" i="26"/>
  <c r="H40" i="26"/>
  <c r="E50" i="26" l="1"/>
  <c r="H50" i="26"/>
  <c r="X14" i="27"/>
  <c r="Y14" i="27"/>
  <c r="E14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25" i="26" l="1"/>
  <c r="H25" i="26"/>
  <c r="X9" i="27" l="1"/>
  <c r="Y9" i="27"/>
  <c r="E9" i="27"/>
  <c r="H7" i="28" l="1"/>
  <c r="H5" i="28" s="1"/>
  <c r="E18" i="28"/>
  <c r="E7" i="28"/>
  <c r="E5" i="28"/>
  <c r="N38" i="28"/>
  <c r="P3" i="28"/>
  <c r="N11" i="28"/>
  <c r="Y15" i="28"/>
  <c r="Z15" i="28" s="1"/>
  <c r="AA15" i="28" s="1"/>
  <c r="AB15" i="28" s="1"/>
  <c r="AC15" i="28" s="1"/>
  <c r="AD15" i="28" s="1"/>
  <c r="T7" i="28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X22" i="28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10" i="27" s="1"/>
  <c r="Y28" i="27"/>
  <c r="X28" i="27"/>
  <c r="F28" i="27"/>
  <c r="E28" i="27" s="1"/>
  <c r="Y27" i="27"/>
  <c r="X27" i="27"/>
  <c r="F27" i="27"/>
  <c r="E27" i="27" s="1"/>
  <c r="Y26" i="27"/>
  <c r="X26" i="27"/>
  <c r="F26" i="27"/>
  <c r="E26" i="27" s="1"/>
  <c r="Y10" i="27"/>
  <c r="X10" i="27"/>
  <c r="E10" i="27"/>
  <c r="Y25" i="27"/>
  <c r="X25" i="27"/>
  <c r="Y24" i="27"/>
  <c r="X24" i="27"/>
  <c r="F24" i="27"/>
  <c r="E24" i="27" s="1"/>
  <c r="Y23" i="27"/>
  <c r="X23" i="27"/>
  <c r="F23" i="27"/>
  <c r="E23" i="27" s="1"/>
  <c r="Y17" i="27"/>
  <c r="X17" i="27"/>
  <c r="E17" i="27"/>
  <c r="Y16" i="27"/>
  <c r="X16" i="27"/>
  <c r="E16" i="27"/>
  <c r="Y15" i="27"/>
  <c r="X15" i="27"/>
  <c r="E15" i="27"/>
  <c r="Y21" i="27"/>
  <c r="X21" i="27"/>
  <c r="E21" i="27"/>
  <c r="Y8" i="27"/>
  <c r="X8" i="27"/>
  <c r="E8" i="27"/>
  <c r="Y22" i="27"/>
  <c r="X22" i="27"/>
  <c r="E22" i="27"/>
  <c r="Y6" i="27"/>
  <c r="X6" i="27"/>
  <c r="E6" i="27"/>
  <c r="Y7" i="27"/>
  <c r="X7" i="27"/>
  <c r="E7" i="27"/>
  <c r="AI5" i="27"/>
  <c r="AI13" i="27" s="1"/>
  <c r="AI19" i="27" s="1"/>
  <c r="AH5" i="27"/>
  <c r="AH13" i="27" s="1"/>
  <c r="AH19" i="27" s="1"/>
  <c r="AG5" i="27"/>
  <c r="AG13" i="27" s="1"/>
  <c r="AG19" i="27" s="1"/>
  <c r="AF5" i="27"/>
  <c r="AF13" i="27" s="1"/>
  <c r="AF19" i="27" s="1"/>
  <c r="AE5" i="27"/>
  <c r="AE13" i="27" s="1"/>
  <c r="AE19" i="27" s="1"/>
  <c r="AD5" i="27"/>
  <c r="AD13" i="27" s="1"/>
  <c r="AD19" i="27" s="1"/>
  <c r="AC5" i="27"/>
  <c r="AC13" i="27" s="1"/>
  <c r="AC19" i="27" s="1"/>
  <c r="AB5" i="27"/>
  <c r="AB13" i="27" s="1"/>
  <c r="AB19" i="27" s="1"/>
  <c r="Z5" i="27"/>
  <c r="Z13" i="27" s="1"/>
  <c r="Z19" i="27" s="1"/>
  <c r="Y5" i="27"/>
  <c r="Y13" i="27" s="1"/>
  <c r="Y19" i="27" s="1"/>
  <c r="X5" i="27"/>
  <c r="X13" i="27" s="1"/>
  <c r="X19" i="27" s="1"/>
  <c r="W5" i="27"/>
  <c r="W13" i="27" s="1"/>
  <c r="W19" i="27" s="1"/>
  <c r="V5" i="27"/>
  <c r="V13" i="27" s="1"/>
  <c r="V19" i="27" s="1"/>
  <c r="U5" i="27"/>
  <c r="U13" i="27" s="1"/>
  <c r="U19" i="27" s="1"/>
  <c r="T5" i="27"/>
  <c r="T13" i="27" s="1"/>
  <c r="T19" i="27" s="1"/>
  <c r="S5" i="27"/>
  <c r="S13" i="27" s="1"/>
  <c r="S19" i="27" s="1"/>
  <c r="R5" i="27"/>
  <c r="R13" i="27" s="1"/>
  <c r="R19" i="27" s="1"/>
  <c r="Q5" i="27"/>
  <c r="Q13" i="27" s="1"/>
  <c r="Q19" i="27" s="1"/>
  <c r="P5" i="27"/>
  <c r="P13" i="27" s="1"/>
  <c r="P19" i="27" s="1"/>
  <c r="O5" i="27"/>
  <c r="O13" i="27" s="1"/>
  <c r="O19" i="27" s="1"/>
  <c r="N5" i="27"/>
  <c r="N13" i="27" s="1"/>
  <c r="N19" i="27" s="1"/>
  <c r="M5" i="27"/>
  <c r="M13" i="27" s="1"/>
  <c r="M19" i="27" s="1"/>
  <c r="L5" i="27"/>
  <c r="L13" i="27" s="1"/>
  <c r="L19" i="27" s="1"/>
  <c r="K5" i="27"/>
  <c r="K13" i="27" s="1"/>
  <c r="K19" i="27" s="1"/>
  <c r="I5" i="27"/>
  <c r="I13" i="27" s="1"/>
  <c r="I19" i="27" s="1"/>
  <c r="H5" i="27"/>
  <c r="H13" i="27" s="1"/>
  <c r="H19" i="27" s="1"/>
  <c r="G5" i="27"/>
  <c r="G13" i="27" s="1"/>
  <c r="G19" i="27" s="1"/>
  <c r="F5" i="27"/>
  <c r="F13" i="27" s="1"/>
  <c r="F19" i="27" s="1"/>
  <c r="Y20" i="27"/>
  <c r="X20" i="27"/>
  <c r="E20" i="27"/>
  <c r="C14" i="27" l="1"/>
  <c r="A36" i="27"/>
  <c r="A33" i="27" s="1"/>
  <c r="C26" i="27"/>
  <c r="E28" i="26"/>
  <c r="H28" i="26"/>
  <c r="C6" i="27" l="1"/>
  <c r="C20" i="27"/>
  <c r="C16" i="27"/>
  <c r="C9" i="27"/>
  <c r="C15" i="27"/>
  <c r="C17" i="27"/>
  <c r="C22" i="27"/>
  <c r="C27" i="27"/>
  <c r="C24" i="27"/>
  <c r="C23" i="27"/>
  <c r="C25" i="27"/>
  <c r="C8" i="27"/>
  <c r="C21" i="27"/>
  <c r="C7" i="27"/>
  <c r="C28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Q4" i="12" s="1"/>
  <c r="A6" i="12"/>
  <c r="O7" i="12" s="1"/>
  <c r="B6" i="12"/>
  <c r="C6" i="12"/>
  <c r="G6" i="12" s="1"/>
  <c r="H6" i="12" s="1"/>
  <c r="S7" i="12" s="1"/>
  <c r="D6" i="12"/>
  <c r="E6" i="12" s="1"/>
  <c r="F6" i="12" s="1"/>
  <c r="Q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G13" i="12" s="1"/>
  <c r="D13" i="12"/>
  <c r="E13" i="12" s="1"/>
  <c r="F13" i="12" s="1"/>
  <c r="Q11" i="12" s="1"/>
  <c r="A14" i="12"/>
  <c r="B14" i="12"/>
  <c r="C14" i="12"/>
  <c r="G14" i="12" s="1"/>
  <c r="H14" i="12" s="1"/>
  <c r="S10" i="12" s="1"/>
  <c r="D14" i="12"/>
  <c r="E14" i="12" s="1"/>
  <c r="A15" i="12"/>
  <c r="O9" i="12" s="1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O13" i="12" s="1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S20" i="3" l="1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S4" i="12" s="1"/>
  <c r="R4" i="12"/>
  <c r="R20" i="3"/>
  <c r="T12" i="3"/>
  <c r="T4" i="3"/>
  <c r="T7" i="3"/>
  <c r="I13" i="12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5" i="12" l="1"/>
  <c r="J13" i="12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l="1"/>
  <c r="AK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BZ18" i="3" l="1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Y3" i="24"/>
  <c r="E21" i="24" s="1"/>
  <c r="Y21" i="24" s="1"/>
  <c r="D24" i="24"/>
  <c r="D25" i="24"/>
  <c r="N7" i="24"/>
  <c r="H7" i="24"/>
  <c r="I7" i="24"/>
  <c r="J7" i="24"/>
  <c r="K7" i="24"/>
  <c r="L7" i="24"/>
  <c r="M7" i="24"/>
  <c r="G7" i="24"/>
  <c r="E7" i="24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Y7" i="24"/>
  <c r="E25" i="24" s="1"/>
  <c r="Y25" i="24" s="1"/>
  <c r="N20" i="1"/>
  <c r="P6" i="30" l="1"/>
  <c r="P10" i="30"/>
  <c r="P7" i="30"/>
  <c r="Q5" i="30"/>
  <c r="Q9" i="30"/>
  <c r="I19" i="3"/>
  <c r="BK19" i="3" s="1"/>
  <c r="N21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AF26" i="24"/>
  <c r="D22" i="24"/>
  <c r="D23" i="24"/>
  <c r="AD4" i="24" l="1"/>
  <c r="AD5" i="24"/>
  <c r="AD23" i="24" s="1"/>
  <c r="AD15" i="24"/>
  <c r="AD14" i="24"/>
  <c r="U21" i="1"/>
  <c r="AQ21" i="1"/>
  <c r="AP21" i="1"/>
  <c r="AO21" i="1"/>
  <c r="AN21" i="1"/>
  <c r="AG21" i="1"/>
  <c r="AK21" i="1"/>
  <c r="AJ21" i="1"/>
  <c r="AM21" i="1"/>
  <c r="AL21" i="1"/>
  <c r="W21" i="1"/>
  <c r="R21" i="1"/>
  <c r="S21" i="1"/>
  <c r="P21" i="1"/>
  <c r="K21" i="1"/>
  <c r="L21" i="1"/>
  <c r="J21" i="1"/>
  <c r="AI21" i="1" l="1"/>
  <c r="AH21" i="1"/>
  <c r="C19" i="25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Y10" i="24" l="1"/>
  <c r="E28" i="24" s="1"/>
  <c r="Y28" i="24" s="1"/>
  <c r="Y13" i="24"/>
  <c r="E31" i="24" s="1"/>
  <c r="Y31" i="24" s="1"/>
  <c r="Y14" i="24"/>
  <c r="E32" i="24" s="1"/>
  <c r="Y32" i="24" s="1"/>
  <c r="Y15" i="24"/>
  <c r="E33" i="24" s="1"/>
  <c r="Y33" i="24" s="1"/>
  <c r="Y9" i="24"/>
  <c r="E27" i="24" s="1"/>
  <c r="Y27" i="24" s="1"/>
  <c r="Y4" i="24"/>
  <c r="E22" i="24" s="1"/>
  <c r="Y22" i="24" s="1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J6" i="1"/>
  <c r="K6" i="1"/>
  <c r="L6" i="1"/>
  <c r="AH6" i="1" l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J8" i="1"/>
  <c r="K8" i="1"/>
  <c r="L8" i="1"/>
  <c r="AH8" i="1" l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Q19" i="1"/>
  <c r="AL19" i="1"/>
  <c r="AM19" i="1"/>
  <c r="AJ19" i="1"/>
  <c r="AK19" i="1"/>
  <c r="AG19" i="1"/>
  <c r="AN19" i="1"/>
  <c r="AO19" i="1"/>
  <c r="AP19" i="1"/>
  <c r="U19" i="1"/>
  <c r="W19" i="1"/>
  <c r="R19" i="1"/>
  <c r="S19" i="1"/>
  <c r="P19" i="1"/>
  <c r="J19" i="1"/>
  <c r="K19" i="1"/>
  <c r="L19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19" i="1" l="1"/>
  <c r="AI19" i="1"/>
  <c r="AH4" i="1"/>
  <c r="AI4" i="1"/>
  <c r="K16" i="25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J5" i="1"/>
  <c r="K5" i="1"/>
  <c r="L5" i="1"/>
  <c r="AI5" i="1" l="1"/>
  <c r="AH5" i="1"/>
  <c r="F4" i="30"/>
  <c r="P4" i="30" s="1"/>
  <c r="I4" i="3"/>
  <c r="AO4" i="3" s="1"/>
  <c r="J4" i="29"/>
  <c r="R13" i="25"/>
  <c r="D17" i="25"/>
  <c r="B3" i="25"/>
  <c r="C3" i="25"/>
  <c r="AL5" i="1"/>
  <c r="AP5" i="1"/>
  <c r="AO5" i="1"/>
  <c r="AN5" i="1"/>
  <c r="AG5" i="1"/>
  <c r="AK5" i="1"/>
  <c r="AJ5" i="1"/>
  <c r="AM5" i="1"/>
  <c r="AC18" i="1"/>
  <c r="AC15" i="1"/>
  <c r="AC14" i="1"/>
  <c r="AC11" i="1"/>
  <c r="AC13" i="1"/>
  <c r="AC12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Q11" i="1"/>
  <c r="U11" i="1"/>
  <c r="W11" i="1"/>
  <c r="R11" i="1"/>
  <c r="S11" i="1"/>
  <c r="P11" i="1"/>
  <c r="J11" i="1"/>
  <c r="K11" i="1"/>
  <c r="L11" i="1"/>
  <c r="AH11" i="1" l="1"/>
  <c r="AI11" i="1"/>
  <c r="I10" i="3"/>
  <c r="CC10" i="3" s="1"/>
  <c r="B9" i="25"/>
  <c r="C9" i="25"/>
  <c r="AJ11" i="1"/>
  <c r="AO11" i="1"/>
  <c r="AN11" i="1"/>
  <c r="AG11" i="1"/>
  <c r="AP11" i="1"/>
  <c r="AM11" i="1"/>
  <c r="AL11" i="1"/>
  <c r="AK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Q12" i="1"/>
  <c r="W12" i="1"/>
  <c r="R12" i="1"/>
  <c r="S12" i="1"/>
  <c r="P12" i="1"/>
  <c r="N12" i="1"/>
  <c r="J12" i="1"/>
  <c r="K12" i="1"/>
  <c r="L12" i="1"/>
  <c r="AH12" i="1" l="1"/>
  <c r="AI12" i="1"/>
  <c r="I11" i="3"/>
  <c r="AJ11" i="3" s="1"/>
  <c r="F9" i="25"/>
  <c r="C10" i="25"/>
  <c r="J4" i="25" s="1"/>
  <c r="J15" i="25" s="1"/>
  <c r="B10" i="25"/>
  <c r="I4" i="25" s="1"/>
  <c r="I15" i="25" s="1"/>
  <c r="AJ12" i="1"/>
  <c r="AO12" i="1"/>
  <c r="AN12" i="1"/>
  <c r="AG12" i="1"/>
  <c r="AP12" i="1"/>
  <c r="AM12" i="1"/>
  <c r="AL12" i="1"/>
  <c r="AK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Q15" i="1" l="1"/>
  <c r="W15" i="1"/>
  <c r="U15" i="1"/>
  <c r="S15" i="1"/>
  <c r="R15" i="1"/>
  <c r="P15" i="1"/>
  <c r="N15" i="1"/>
  <c r="L15" i="1"/>
  <c r="K15" i="1"/>
  <c r="J15" i="1"/>
  <c r="AQ14" i="1"/>
  <c r="AP14" i="1"/>
  <c r="AO14" i="1"/>
  <c r="AN14" i="1"/>
  <c r="AK14" i="1"/>
  <c r="AJ14" i="1"/>
  <c r="AM14" i="1"/>
  <c r="AL14" i="1"/>
  <c r="AG14" i="1"/>
  <c r="W14" i="1"/>
  <c r="U14" i="1"/>
  <c r="S14" i="1"/>
  <c r="R14" i="1"/>
  <c r="P14" i="1"/>
  <c r="L14" i="1"/>
  <c r="K14" i="1"/>
  <c r="J14" i="1"/>
  <c r="AQ17" i="1"/>
  <c r="W17" i="1"/>
  <c r="U17" i="1"/>
  <c r="S17" i="1"/>
  <c r="R17" i="1"/>
  <c r="P17" i="1"/>
  <c r="N17" i="1"/>
  <c r="L17" i="1"/>
  <c r="K17" i="1"/>
  <c r="J17" i="1"/>
  <c r="AQ18" i="1"/>
  <c r="W18" i="1"/>
  <c r="U18" i="1"/>
  <c r="S18" i="1"/>
  <c r="R18" i="1"/>
  <c r="P18" i="1"/>
  <c r="N18" i="1"/>
  <c r="L18" i="1"/>
  <c r="K18" i="1"/>
  <c r="J18" i="1"/>
  <c r="AQ10" i="1"/>
  <c r="W10" i="1"/>
  <c r="U10" i="1"/>
  <c r="S10" i="1"/>
  <c r="R10" i="1"/>
  <c r="P10" i="1"/>
  <c r="N10" i="1"/>
  <c r="L10" i="1"/>
  <c r="K10" i="1"/>
  <c r="J10" i="1"/>
  <c r="AQ13" i="1"/>
  <c r="W13" i="1"/>
  <c r="U13" i="1"/>
  <c r="S13" i="1"/>
  <c r="R13" i="1"/>
  <c r="P13" i="1"/>
  <c r="N13" i="1"/>
  <c r="L13" i="1"/>
  <c r="K13" i="1"/>
  <c r="J13" i="1"/>
  <c r="AQ20" i="1"/>
  <c r="AP20" i="1"/>
  <c r="AO20" i="1"/>
  <c r="AN20" i="1"/>
  <c r="AG20" i="1"/>
  <c r="AK20" i="1"/>
  <c r="AJ20" i="1"/>
  <c r="AM20" i="1"/>
  <c r="AL20" i="1"/>
  <c r="W20" i="1"/>
  <c r="U20" i="1"/>
  <c r="S20" i="1"/>
  <c r="R20" i="1"/>
  <c r="P20" i="1"/>
  <c r="L20" i="1"/>
  <c r="K20" i="1"/>
  <c r="J20" i="1"/>
  <c r="AQ16" i="1"/>
  <c r="W16" i="1"/>
  <c r="U16" i="1"/>
  <c r="S16" i="1"/>
  <c r="R16" i="1"/>
  <c r="P16" i="1"/>
  <c r="N16" i="1"/>
  <c r="L16" i="1"/>
  <c r="K16" i="1"/>
  <c r="J16" i="1"/>
  <c r="AQ9" i="1"/>
  <c r="W9" i="1"/>
  <c r="U9" i="1"/>
  <c r="S9" i="1"/>
  <c r="R9" i="1"/>
  <c r="P9" i="1"/>
  <c r="L9" i="1"/>
  <c r="K9" i="1"/>
  <c r="J9" i="1"/>
  <c r="AH9" i="1" l="1"/>
  <c r="AI9" i="1"/>
  <c r="AH14" i="1"/>
  <c r="AI14" i="1"/>
  <c r="AI20" i="1"/>
  <c r="AH20" i="1"/>
  <c r="AH15" i="1"/>
  <c r="AI15" i="1"/>
  <c r="AH10" i="1"/>
  <c r="AI10" i="1"/>
  <c r="AH18" i="1"/>
  <c r="AI18" i="1"/>
  <c r="AH17" i="1"/>
  <c r="AI17" i="1"/>
  <c r="AI13" i="1"/>
  <c r="AH13" i="1"/>
  <c r="AH16" i="1"/>
  <c r="AI16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C11" i="25"/>
  <c r="B11" i="25"/>
  <c r="S2" i="1"/>
  <c r="R2" i="1"/>
  <c r="U2" i="1"/>
  <c r="N2" i="1"/>
  <c r="AL9" i="1"/>
  <c r="AK9" i="1"/>
  <c r="AP9" i="1"/>
  <c r="AN9" i="1"/>
  <c r="AJ9" i="1"/>
  <c r="AO9" i="1"/>
  <c r="AM9" i="1"/>
  <c r="AG9" i="1"/>
  <c r="AG17" i="1"/>
  <c r="AJ16" i="1"/>
  <c r="AN10" i="1"/>
  <c r="AJ18" i="1"/>
  <c r="AG15" i="1"/>
  <c r="AO10" i="1"/>
  <c r="AO18" i="1"/>
  <c r="AO15" i="1"/>
  <c r="AO13" i="1"/>
  <c r="AO16" i="1"/>
  <c r="AK10" i="1"/>
  <c r="AN15" i="1"/>
  <c r="AP16" i="1"/>
  <c r="AP17" i="1"/>
  <c r="AM18" i="1"/>
  <c r="AN13" i="1"/>
  <c r="AG10" i="1"/>
  <c r="AM10" i="1"/>
  <c r="AP10" i="1"/>
  <c r="AK18" i="1"/>
  <c r="AK17" i="1"/>
  <c r="AJ15" i="1"/>
  <c r="AM17" i="1"/>
  <c r="AJ17" i="1"/>
  <c r="AM15" i="1"/>
  <c r="AP15" i="1"/>
  <c r="AM16" i="1"/>
  <c r="AJ13" i="1"/>
  <c r="AK16" i="1"/>
  <c r="AJ10" i="1"/>
  <c r="AP18" i="1"/>
  <c r="AO17" i="1"/>
  <c r="AN17" i="1"/>
  <c r="AK15" i="1"/>
  <c r="AL16" i="1"/>
  <c r="AG16" i="1"/>
  <c r="AK13" i="1"/>
  <c r="AP13" i="1"/>
  <c r="AL18" i="1"/>
  <c r="AG18" i="1"/>
  <c r="AN16" i="1"/>
  <c r="AL13" i="1"/>
  <c r="AG13" i="1"/>
  <c r="AN18" i="1"/>
  <c r="AM13" i="1"/>
  <c r="AL10" i="1"/>
  <c r="AL17" i="1"/>
  <c r="AL15" i="1"/>
  <c r="AO17" i="3" l="1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R16" i="25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4" i="1" l="1"/>
  <c r="F6" i="1"/>
  <c r="F19" i="1"/>
  <c r="D19" i="10" s="1"/>
  <c r="F9" i="1"/>
  <c r="F8" i="1"/>
  <c r="F5" i="1"/>
  <c r="F12" i="1"/>
  <c r="D12" i="10" s="1"/>
  <c r="F18" i="1"/>
  <c r="D18" i="10" s="1"/>
  <c r="F21" i="1"/>
  <c r="D21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F11" i="1"/>
  <c r="D11" i="10" s="1"/>
  <c r="F10" i="1"/>
  <c r="F13" i="1"/>
  <c r="D13" i="10" s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<sst xmlns="http://schemas.openxmlformats.org/spreadsheetml/2006/main" count="1406" uniqueCount="731">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</sst>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name val="Arial"/>
      <family val="2"/>
    </font>
    <font>
      <i/>
      <sz val="11"/>
      <color indexed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0" fontId="79" fillId="0" borderId="0" xfId="3" applyFont="1"/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0.3949579831932773</c:v>
                </c:pt>
                <c:pt idx="3">
                  <c:v>0.38043478260869568</c:v>
                </c:pt>
                <c:pt idx="4">
                  <c:v>0.30769230769230771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_xlchart.v1.33</cx:f>
      </cx:numDim>
    </cx:data>
  </cx:chartData>
  <cx:chart>
    <cx:plotArea>
      <cx:plotAreaRegion>
        <cx:series layoutId="boxWhisker" uniqueId="{BB3E63DE-B42C-4456-A1DE-772D37F76B1D}" formatIdx="7">
          <cx:tx>
            <cx:txData>
              <cx:f>_xlchart.v1.32</cx:f>
              <cx:v>%_Conversión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</xdr:row>
      <xdr:rowOff>84667</xdr:rowOff>
    </xdr:from>
    <xdr:to>
      <xdr:col>21</xdr:col>
      <xdr:colOff>402167</xdr:colOff>
      <xdr:row>33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BDF8C6C-190C-4B69-8C1E-8F2370561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8833" y="275167"/>
              <a:ext cx="5630334" cy="6117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03.69113900463" createdVersion="6" refreshedVersion="6" minRefreshableVersion="3" recordCount="53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8-25T00:00:00" count="41">
        <d v="2019-08-03T00:00:00"/>
        <d v="2019-07-31T00:00:00"/>
        <d v="2019-07-26T00:00:00"/>
        <d v="2019-07-24T00:00:00"/>
        <d v="2019-07-20T00:00:00"/>
        <d v="2019-07-17T00:00:00"/>
        <d v="2019-07-11T00:00:00"/>
        <d v="2019-07-10T00:00:00"/>
        <d v="2019-07-09T00:00:00"/>
        <d v="2019-07-06T00:00:00"/>
        <d v="2019-06-28T00:00:00"/>
        <d v="2019-06-27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6-01T00:00:00"/>
        <d v="2019-05-30T00:00:00"/>
        <d v="2019-05-25T00:00:00"/>
        <d v="2019-05-18T00:00:00"/>
        <d v="2019-05-17T00:00:00"/>
        <d v="2019-05-11T00:00:00"/>
        <d v="2019-05-04T00:00:00"/>
        <d v="2019-04-27T00:00:00"/>
        <d v="2019-04-20T00:00:00"/>
        <d v="2019-04-13T00:00:00"/>
        <d v="2019-04-06T00:00:00"/>
        <d v="2019-03-30T00:00:00"/>
        <d v="2019-03-26T00:00:00"/>
        <d v="2019-03-23T00:00:00"/>
        <d v="2019-03-16T00:00:00"/>
        <d v="2019-03-13T00:00:00"/>
        <d v="2019-08-07T00:00:00"/>
        <d v="2019-08-10T00:00:00"/>
        <d v="2019-08-14T00:00:00"/>
        <d v="2019-08-24T00:00:00"/>
        <m/>
      </sharedItems>
      <fieldGroup par="8" base="0">
        <rangePr groupBy="days" startDate="2019-03-13T00:00:00" endDate="2019-08-25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08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6"/>
        <n v="20"/>
        <n v="14"/>
        <n v="19"/>
        <n v="18"/>
        <n v="17"/>
        <n v="15"/>
        <m/>
        <n v="13" u="1"/>
      </sharedItems>
    </cacheField>
    <cacheField name="NivelMedioVader" numFmtId="0">
      <sharedItems containsString="0" containsBlank="1" containsNumber="1" minValue="10.545454545454545" maxValue="12.81818181818181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8-25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V@der SC"/>
    <s v="Splug Team"/>
    <x v="0"/>
    <n v="11.818181818181818"/>
    <n v="4"/>
    <n v="1"/>
    <n v="0.25"/>
  </r>
  <r>
    <x v="1"/>
    <s v="Los amiguitos de Don Pimpon"/>
    <s v="V@der SC"/>
    <x v="0"/>
    <n v="11"/>
    <n v="7"/>
    <n v="3"/>
    <n v="0.42857142857142855"/>
  </r>
  <r>
    <x v="1"/>
    <s v="V@der SC"/>
    <s v="Wing Men"/>
    <x v="1"/>
    <n v="12.272727272727273"/>
    <n v="6"/>
    <n v="2"/>
    <n v="0.33333333333333331"/>
  </r>
  <r>
    <x v="2"/>
    <s v="FC BvB"/>
    <s v="V@der SC"/>
    <x v="1"/>
    <n v="12.272727272727273"/>
    <n v="5"/>
    <n v="3"/>
    <n v="0.6"/>
  </r>
  <r>
    <x v="3"/>
    <s v="V@der SC"/>
    <s v="Fernando de Rojas"/>
    <x v="2"/>
    <n v="11.545454545454545"/>
    <n v="7"/>
    <n v="2"/>
    <n v="0.2857142857142857"/>
  </r>
  <r>
    <x v="4"/>
    <s v="CD Castalia"/>
    <s v="V@der SC"/>
    <x v="3"/>
    <n v="11.454545454545455"/>
    <n v="5"/>
    <n v="2"/>
    <n v="0.4"/>
  </r>
  <r>
    <x v="5"/>
    <s v="V@der SC"/>
    <s v="Mendibil"/>
    <x v="1"/>
    <n v="12.409090909090908"/>
    <n v="7"/>
    <n v="4"/>
    <n v="0.5714285714285714"/>
  </r>
  <r>
    <x v="6"/>
    <s v="V@der SC"/>
    <s v="I treni di Tozeur"/>
    <x v="3"/>
    <n v="11.909090909090908"/>
    <n v="12"/>
    <n v="5"/>
    <n v="0.41666666666666669"/>
  </r>
  <r>
    <x v="7"/>
    <s v="Lobos del Viento"/>
    <s v="V@der SC"/>
    <x v="4"/>
    <n v="12.181818181818182"/>
    <n v="6"/>
    <n v="2"/>
    <n v="0.33333333333333331"/>
  </r>
  <r>
    <x v="7"/>
    <s v="V@der SC"/>
    <s v="US Women National Tema"/>
    <x v="4"/>
    <n v="12"/>
    <n v="3"/>
    <n v="1"/>
    <n v="0.33333333333333331"/>
  </r>
  <r>
    <x v="8"/>
    <s v="V@der SC"/>
    <s v="S.H.M.Piast Gliwice"/>
    <x v="4"/>
    <n v="11.909090909090908"/>
    <n v="5"/>
    <n v="1"/>
    <n v="0.2"/>
  </r>
  <r>
    <x v="9"/>
    <s v="V@der SC"/>
    <s v="The Pyramid Mystery"/>
    <x v="3"/>
    <n v="11.909090909090908"/>
    <n v="9"/>
    <n v="5"/>
    <n v="0.55555555555555558"/>
  </r>
  <r>
    <x v="10"/>
    <s v="V@der SC"/>
    <s v="Fc De Rositas"/>
    <x v="5"/>
    <n v="11.818181818181818"/>
    <n v="10"/>
    <n v="4"/>
    <n v="0.4"/>
  </r>
  <r>
    <x v="11"/>
    <s v="Insulae Atlantis"/>
    <s v="V@der SC"/>
    <x v="5"/>
    <n v="12.181818181818182"/>
    <n v="4"/>
    <n v="2"/>
    <n v="0.5"/>
  </r>
  <r>
    <x v="11"/>
    <s v="V@der SC"/>
    <s v="Bar Karakas C.F."/>
    <x v="5"/>
    <n v="12.181818181818182"/>
    <n v="6"/>
    <n v="1"/>
    <n v="0.16666666666666666"/>
  </r>
  <r>
    <x v="11"/>
    <s v="Dzsoni Valkur"/>
    <s v="V@der SC"/>
    <x v="5"/>
    <n v="12.181818181818182"/>
    <n v="7"/>
    <n v="3"/>
    <n v="0.42857142857142855"/>
  </r>
  <r>
    <x v="12"/>
    <s v="V@der SC"/>
    <s v="John Rebus F.c"/>
    <x v="0"/>
    <n v="12.181818181818182"/>
    <n v="9"/>
    <n v="3"/>
    <n v="0.33333333333333331"/>
  </r>
  <r>
    <x v="12"/>
    <s v="Wisla Skawina"/>
    <s v="V@der SC"/>
    <x v="5"/>
    <n v="12.181818181818182"/>
    <n v="7"/>
    <n v="1"/>
    <n v="0.14285714285714285"/>
  </r>
  <r>
    <x v="13"/>
    <s v="VINATIKA FC 2"/>
    <s v="V@der SC"/>
    <x v="0"/>
    <n v="12.181818181818182"/>
    <n v="6"/>
    <n v="2"/>
    <n v="0.33333333333333331"/>
  </r>
  <r>
    <x v="13"/>
    <s v="V@der SC"/>
    <s v="Basil444"/>
    <x v="0"/>
    <n v="12.181818181818182"/>
    <n v="4"/>
    <n v="2"/>
    <n v="0.5"/>
  </r>
  <r>
    <x v="13"/>
    <s v="V@der SC"/>
    <s v="Ornitorrincos Purpura"/>
    <x v="5"/>
    <n v="12.181818181818182"/>
    <n v="8"/>
    <n v="3"/>
    <n v="0.375"/>
  </r>
  <r>
    <x v="14"/>
    <s v="konary"/>
    <s v="V@der SC"/>
    <x v="0"/>
    <n v="12.181818181818182"/>
    <n v="3"/>
    <n v="2"/>
    <n v="0.66666666666666663"/>
  </r>
  <r>
    <x v="15"/>
    <s v="Ladány City"/>
    <s v="V@der SC"/>
    <x v="0"/>
    <n v="12.181818181818182"/>
    <n v="9"/>
    <n v="2"/>
    <n v="0.22222222222222221"/>
  </r>
  <r>
    <x v="15"/>
    <s v="USC Olaf Football"/>
    <s v="V@der SC"/>
    <x v="5"/>
    <n v="12.181818181818182"/>
    <n v="8"/>
    <n v="3"/>
    <n v="0.375"/>
  </r>
  <r>
    <x v="16"/>
    <s v="V@der SC"/>
    <s v="Nie Zjednoczeni Kaczory"/>
    <x v="0"/>
    <n v="12.181818181818182"/>
    <n v="7"/>
    <n v="2"/>
    <n v="0.2857142857142857"/>
  </r>
  <r>
    <x v="16"/>
    <s v="V@der SC"/>
    <s v="Cuchufritos F.C."/>
    <x v="0"/>
    <n v="12.181818181818182"/>
    <n v="5"/>
    <n v="2"/>
    <n v="0.4"/>
  </r>
  <r>
    <x v="17"/>
    <s v="Ju.far72"/>
    <s v="V@der SC"/>
    <x v="0"/>
    <n v="12.181818181818182"/>
    <n v="9"/>
    <n v="3"/>
    <n v="0.33333333333333331"/>
  </r>
  <r>
    <x v="17"/>
    <s v="Mks Pilica PEDEZET"/>
    <s v="V@der SC"/>
    <x v="0"/>
    <n v="12.181818181818182"/>
    <n v="6"/>
    <n v="2"/>
    <n v="0.33333333333333331"/>
  </r>
  <r>
    <x v="18"/>
    <s v="V@der SC"/>
    <s v="FC Bayern München 16"/>
    <x v="0"/>
    <n v="12.181818181818182"/>
    <n v="10"/>
    <n v="3"/>
    <n v="0.3"/>
  </r>
  <r>
    <x v="18"/>
    <s v="V@der SC"/>
    <s v="Grasshopper Club Nidwalden"/>
    <x v="0"/>
    <n v="12.181818181818182"/>
    <n v="7"/>
    <n v="3"/>
    <n v="0.42857142857142855"/>
  </r>
  <r>
    <x v="19"/>
    <s v="CD Castalia"/>
    <s v="V@der SC"/>
    <x v="0"/>
    <n v="12.181818181818182"/>
    <n v="4"/>
    <n v="2"/>
    <n v="0.5"/>
  </r>
  <r>
    <x v="20"/>
    <s v="Prodigy Sucany"/>
    <s v="V@der SC"/>
    <x v="6"/>
    <n v="11.727272727272727"/>
    <n v="9"/>
    <n v="2"/>
    <n v="0.22222222222222221"/>
  </r>
  <r>
    <x v="20"/>
    <s v="Cogollos F.C"/>
    <s v="V@der SC"/>
    <x v="0"/>
    <n v="12"/>
    <n v="5"/>
    <n v="3"/>
    <n v="0.6"/>
  </r>
  <r>
    <x v="21"/>
    <s v="V@der SC"/>
    <s v="Ulls de Gat Mesquer"/>
    <x v="0"/>
    <n v="12.363636363636363"/>
    <n v="9"/>
    <n v="4"/>
    <n v="0.44444444444444442"/>
  </r>
  <r>
    <x v="22"/>
    <s v="V@der SC"/>
    <s v="iRatlle"/>
    <x v="0"/>
    <n v="12.090909090909092"/>
    <n v="5"/>
    <n v="3"/>
    <n v="0.6"/>
  </r>
  <r>
    <x v="23"/>
    <s v="Refucilo CF"/>
    <s v="V@der SC"/>
    <x v="5"/>
    <n v="12.090909090909092"/>
    <n v="9"/>
    <n v="5"/>
    <n v="0.55555555555555558"/>
  </r>
  <r>
    <x v="24"/>
    <s v="Hakom"/>
    <s v="V@der SC"/>
    <x v="0"/>
    <n v="12.090909090909092"/>
    <n v="6"/>
    <n v="3"/>
    <n v="0.5"/>
  </r>
  <r>
    <x v="25"/>
    <s v="V@der SC"/>
    <s v="Splug Team"/>
    <x v="5"/>
    <n v="12.090909090909092"/>
    <n v="6"/>
    <n v="1"/>
    <n v="0.16666666666666666"/>
  </r>
  <r>
    <x v="26"/>
    <s v="Kersky"/>
    <s v="V@der SC"/>
    <x v="5"/>
    <n v="11.909090909090908"/>
    <n v="8"/>
    <n v="4"/>
    <n v="0.5"/>
  </r>
  <r>
    <x v="27"/>
    <s v="V@der SC"/>
    <s v="Kersky"/>
    <x v="4"/>
    <n v="11.909090909090908"/>
    <n v="7"/>
    <n v="2"/>
    <n v="0.2857142857142857"/>
  </r>
  <r>
    <x v="28"/>
    <s v="Splug Team"/>
    <s v="V@der SC"/>
    <x v="4"/>
    <n v="11.909090909090908"/>
    <n v="9"/>
    <n v="3"/>
    <n v="0.33333333333333331"/>
  </r>
  <r>
    <x v="29"/>
    <s v="V@der SC"/>
    <s v="Refucilo CF"/>
    <x v="4"/>
    <n v="11.909090909090908"/>
    <n v="8"/>
    <n v="3"/>
    <n v="0.375"/>
  </r>
  <r>
    <x v="30"/>
    <s v="iRatlle"/>
    <s v="V@der SC"/>
    <x v="4"/>
    <n v="11.909090909090908"/>
    <n v="8"/>
    <n v="3"/>
    <n v="0.375"/>
  </r>
  <r>
    <x v="31"/>
    <s v="V@der SC"/>
    <s v="Cogollos F.C"/>
    <x v="4"/>
    <n v="11.909090909090908"/>
    <n v="6"/>
    <n v="1"/>
    <n v="0.16666666666666666"/>
  </r>
  <r>
    <x v="32"/>
    <s v="Santa Barbosa Aludosa"/>
    <s v="V@der SC"/>
    <x v="0"/>
    <n v="11.727272727272727"/>
    <n v="4"/>
    <n v="2"/>
    <n v="0.5"/>
  </r>
  <r>
    <x v="33"/>
    <s v="V@der SC"/>
    <s v="CD Castalia"/>
    <x v="5"/>
    <n v="11.909090909090908"/>
    <n v="5"/>
    <n v="1"/>
    <n v="0.2"/>
  </r>
  <r>
    <x v="34"/>
    <s v="Menkoko C.F."/>
    <s v="V@der SC"/>
    <x v="5"/>
    <n v="11.727272727272727"/>
    <n v="7"/>
    <n v="3"/>
    <n v="0.42857142857142855"/>
  </r>
  <r>
    <x v="35"/>
    <s v="Tuviejahuelemal"/>
    <s v="V@der SC"/>
    <x v="5"/>
    <n v="11.727272727272727"/>
    <n v="7"/>
    <n v="4"/>
    <n v="0.5714285714285714"/>
  </r>
  <r>
    <x v="36"/>
    <s v="white widow"/>
    <s v="V@der SC"/>
    <x v="6"/>
    <n v="10.545454545454545"/>
    <n v="9"/>
    <n v="4"/>
    <n v="0.44444444444444442"/>
  </r>
  <r>
    <x v="37"/>
    <s v="TOERS TEAM"/>
    <s v="V@der SC"/>
    <x v="4"/>
    <n v="12.545454545454545"/>
    <n v="5"/>
    <n v="1"/>
    <n v="0.2"/>
  </r>
  <r>
    <x v="38"/>
    <s v="mehmet"/>
    <s v="V@der SC"/>
    <x v="6"/>
    <n v="10.818181818181818"/>
    <n v="6"/>
    <n v="2"/>
    <n v="0.33333333333333331"/>
  </r>
  <r>
    <x v="39"/>
    <s v="V@der SC"/>
    <s v="Proxibecas"/>
    <x v="4"/>
    <n v="12.818181818181818"/>
    <n v="8"/>
    <n v="3"/>
    <n v="0.375"/>
  </r>
  <r>
    <x v="40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3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2"/>
        <item x="6"/>
        <item x="0"/>
        <item x="5"/>
        <item x="4"/>
        <item x="3"/>
        <item x="1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K24" sqref="K24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247</v>
      </c>
      <c r="F1" s="117" t="s">
        <v>294</v>
      </c>
      <c r="G1" s="449" t="s">
        <v>254</v>
      </c>
      <c r="H1" s="449"/>
      <c r="J1" s="117" t="s">
        <v>294</v>
      </c>
      <c r="K1" s="449" t="s">
        <v>295</v>
      </c>
      <c r="L1" s="449"/>
      <c r="N1" s="117" t="s">
        <v>294</v>
      </c>
      <c r="O1" s="449" t="s">
        <v>306</v>
      </c>
      <c r="P1" s="449"/>
      <c r="R1" s="117" t="s">
        <v>294</v>
      </c>
      <c r="S1" s="449" t="s">
        <v>325</v>
      </c>
      <c r="T1" s="449"/>
    </row>
    <row r="2" spans="1:20" x14ac:dyDescent="0.25">
      <c r="A2" s="28">
        <v>43704</v>
      </c>
      <c r="F2" s="48">
        <v>1</v>
      </c>
      <c r="G2" s="109" t="s">
        <v>255</v>
      </c>
      <c r="H2" s="107" t="s">
        <v>256</v>
      </c>
      <c r="J2" s="48">
        <v>1</v>
      </c>
      <c r="K2" s="109" t="s">
        <v>278</v>
      </c>
      <c r="L2" s="107">
        <v>175</v>
      </c>
      <c r="N2" s="48">
        <v>1</v>
      </c>
      <c r="O2" s="109" t="s">
        <v>278</v>
      </c>
      <c r="P2" s="107">
        <v>71</v>
      </c>
      <c r="R2" s="48">
        <v>1</v>
      </c>
      <c r="S2" s="109" t="s">
        <v>263</v>
      </c>
      <c r="T2" s="107">
        <v>58</v>
      </c>
    </row>
    <row r="3" spans="1:20" x14ac:dyDescent="0.25">
      <c r="F3" s="48">
        <v>2</v>
      </c>
      <c r="G3" s="109" t="s">
        <v>257</v>
      </c>
      <c r="H3" s="107" t="s">
        <v>258</v>
      </c>
      <c r="J3" s="48">
        <v>2</v>
      </c>
      <c r="K3" s="109" t="s">
        <v>296</v>
      </c>
      <c r="L3" s="107">
        <v>155</v>
      </c>
      <c r="N3" s="48">
        <v>2</v>
      </c>
      <c r="O3" s="109" t="s">
        <v>299</v>
      </c>
      <c r="P3" s="107">
        <v>29</v>
      </c>
      <c r="R3" s="48">
        <v>2</v>
      </c>
      <c r="S3" s="109" t="s">
        <v>297</v>
      </c>
      <c r="T3" s="107">
        <v>57</v>
      </c>
    </row>
    <row r="4" spans="1:20" x14ac:dyDescent="0.25">
      <c r="A4" s="108" t="s">
        <v>248</v>
      </c>
      <c r="F4" s="48">
        <v>3</v>
      </c>
      <c r="G4" s="109" t="s">
        <v>259</v>
      </c>
      <c r="H4" s="107" t="s">
        <v>260</v>
      </c>
      <c r="J4" s="48">
        <v>3</v>
      </c>
      <c r="K4" s="109" t="s">
        <v>264</v>
      </c>
      <c r="L4" s="107">
        <v>145</v>
      </c>
      <c r="N4" s="48">
        <v>3</v>
      </c>
      <c r="O4" s="109" t="s">
        <v>307</v>
      </c>
      <c r="P4" s="107">
        <v>16</v>
      </c>
      <c r="R4" s="48">
        <v>3</v>
      </c>
      <c r="S4" s="109" t="s">
        <v>257</v>
      </c>
      <c r="T4" s="107">
        <v>44</v>
      </c>
    </row>
    <row r="5" spans="1:20" x14ac:dyDescent="0.25">
      <c r="A5" s="127" t="s">
        <v>249</v>
      </c>
      <c r="B5" t="s">
        <v>363</v>
      </c>
      <c r="C5" s="28">
        <v>42847</v>
      </c>
      <c r="D5" t="s">
        <v>250</v>
      </c>
      <c r="F5" s="48">
        <v>4</v>
      </c>
      <c r="G5" s="109" t="s">
        <v>261</v>
      </c>
      <c r="H5" s="107" t="s">
        <v>262</v>
      </c>
      <c r="J5" s="48">
        <v>4</v>
      </c>
      <c r="K5" s="109" t="s">
        <v>261</v>
      </c>
      <c r="L5" s="107">
        <v>144</v>
      </c>
      <c r="N5" s="48">
        <v>4</v>
      </c>
      <c r="O5" s="109" t="s">
        <v>308</v>
      </c>
      <c r="P5" s="107">
        <v>12</v>
      </c>
      <c r="R5" s="48">
        <v>4</v>
      </c>
      <c r="S5" s="109" t="s">
        <v>255</v>
      </c>
      <c r="T5" s="107">
        <v>42</v>
      </c>
    </row>
    <row r="6" spans="1:20" x14ac:dyDescent="0.25">
      <c r="A6" s="127" t="s">
        <v>251</v>
      </c>
      <c r="B6" t="s">
        <v>252</v>
      </c>
      <c r="C6" s="28">
        <v>42991</v>
      </c>
      <c r="D6" t="s">
        <v>253</v>
      </c>
      <c r="F6" s="48">
        <v>5</v>
      </c>
      <c r="G6" s="109" t="s">
        <v>263</v>
      </c>
      <c r="H6" s="107" t="s">
        <v>262</v>
      </c>
      <c r="J6" s="48">
        <v>5</v>
      </c>
      <c r="K6" s="109" t="s">
        <v>255</v>
      </c>
      <c r="L6" s="107">
        <v>141</v>
      </c>
      <c r="N6" s="48">
        <v>4</v>
      </c>
      <c r="O6" s="111" t="s">
        <v>357</v>
      </c>
      <c r="P6" s="107">
        <v>13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264</v>
      </c>
      <c r="H7" s="107" t="s">
        <v>265</v>
      </c>
      <c r="J7" s="48">
        <v>6</v>
      </c>
      <c r="K7" s="109" t="s">
        <v>297</v>
      </c>
      <c r="L7" s="107">
        <v>140</v>
      </c>
      <c r="N7" s="48">
        <v>6</v>
      </c>
      <c r="O7" s="109" t="s">
        <v>309</v>
      </c>
      <c r="P7" s="107">
        <v>11</v>
      </c>
      <c r="R7" s="48">
        <v>6</v>
      </c>
      <c r="S7" s="115" t="s">
        <v>353</v>
      </c>
      <c r="T7" s="127">
        <v>28</v>
      </c>
    </row>
    <row r="8" spans="1:20" x14ac:dyDescent="0.25">
      <c r="F8" s="48">
        <v>7</v>
      </c>
      <c r="G8" s="109" t="s">
        <v>266</v>
      </c>
      <c r="H8" s="107" t="s">
        <v>267</v>
      </c>
      <c r="J8" s="48">
        <v>7</v>
      </c>
      <c r="K8" s="109" t="s">
        <v>300</v>
      </c>
      <c r="L8" s="107">
        <v>135</v>
      </c>
      <c r="N8" s="48">
        <v>6</v>
      </c>
      <c r="O8" s="109" t="s">
        <v>310</v>
      </c>
      <c r="P8" s="107">
        <v>11</v>
      </c>
      <c r="R8" s="48">
        <v>7</v>
      </c>
      <c r="S8" s="109" t="s">
        <v>259</v>
      </c>
      <c r="T8" s="107">
        <v>27</v>
      </c>
    </row>
    <row r="9" spans="1:20" x14ac:dyDescent="0.25">
      <c r="F9" s="48">
        <v>8</v>
      </c>
      <c r="G9" s="109" t="s">
        <v>269</v>
      </c>
      <c r="H9" s="107" t="s">
        <v>268</v>
      </c>
      <c r="J9" s="48">
        <v>8</v>
      </c>
      <c r="K9" s="109" t="s">
        <v>269</v>
      </c>
      <c r="L9" s="107">
        <v>111</v>
      </c>
      <c r="N9" s="48">
        <v>8</v>
      </c>
      <c r="O9" s="109" t="s">
        <v>311</v>
      </c>
      <c r="P9" s="107">
        <v>6</v>
      </c>
      <c r="R9" s="48">
        <v>8</v>
      </c>
      <c r="S9" s="109" t="s">
        <v>302</v>
      </c>
      <c r="T9" s="107">
        <v>22</v>
      </c>
    </row>
    <row r="10" spans="1:20" x14ac:dyDescent="0.25">
      <c r="F10" s="48">
        <v>9</v>
      </c>
      <c r="G10" s="109" t="s">
        <v>270</v>
      </c>
      <c r="H10" s="107" t="s">
        <v>268</v>
      </c>
      <c r="J10" s="48">
        <v>9</v>
      </c>
      <c r="K10" s="109" t="s">
        <v>298</v>
      </c>
      <c r="L10" s="107">
        <v>105</v>
      </c>
      <c r="N10" s="48">
        <v>8</v>
      </c>
      <c r="O10" s="111" t="s">
        <v>335</v>
      </c>
      <c r="P10" s="107">
        <v>6</v>
      </c>
      <c r="R10" s="48">
        <v>9</v>
      </c>
      <c r="S10" s="109" t="s">
        <v>326</v>
      </c>
      <c r="T10" s="107">
        <v>20</v>
      </c>
    </row>
    <row r="11" spans="1:20" x14ac:dyDescent="0.25">
      <c r="F11" s="48">
        <v>10</v>
      </c>
      <c r="G11" s="109" t="s">
        <v>271</v>
      </c>
      <c r="H11" s="107" t="s">
        <v>268</v>
      </c>
      <c r="J11" s="48">
        <v>10</v>
      </c>
      <c r="K11" s="115" t="s">
        <v>188</v>
      </c>
      <c r="L11" s="107">
        <v>102</v>
      </c>
      <c r="N11" s="48">
        <v>10</v>
      </c>
      <c r="O11" s="109" t="s">
        <v>312</v>
      </c>
      <c r="P11" s="107">
        <v>4</v>
      </c>
      <c r="R11" s="48">
        <v>10</v>
      </c>
      <c r="S11" s="109" t="s">
        <v>305</v>
      </c>
      <c r="T11" s="107">
        <v>13</v>
      </c>
    </row>
    <row r="12" spans="1:20" x14ac:dyDescent="0.25">
      <c r="F12" s="48">
        <v>11</v>
      </c>
      <c r="G12" s="109" t="s">
        <v>272</v>
      </c>
      <c r="H12" s="107" t="s">
        <v>268</v>
      </c>
      <c r="J12" s="48">
        <v>11</v>
      </c>
      <c r="K12" s="115" t="s">
        <v>360</v>
      </c>
      <c r="L12" s="107">
        <v>96</v>
      </c>
      <c r="N12" s="48">
        <v>11</v>
      </c>
      <c r="O12" s="109" t="s">
        <v>313</v>
      </c>
      <c r="P12" s="107">
        <v>3</v>
      </c>
      <c r="R12" s="48">
        <v>10</v>
      </c>
      <c r="S12" s="109" t="s">
        <v>327</v>
      </c>
      <c r="T12" s="107">
        <v>12</v>
      </c>
    </row>
    <row r="13" spans="1:20" x14ac:dyDescent="0.25">
      <c r="F13" s="48">
        <v>12</v>
      </c>
      <c r="G13" s="109" t="s">
        <v>274</v>
      </c>
      <c r="H13" s="107" t="s">
        <v>273</v>
      </c>
      <c r="J13" s="48">
        <v>12</v>
      </c>
      <c r="K13" s="109" t="s">
        <v>299</v>
      </c>
      <c r="L13" s="107">
        <v>93</v>
      </c>
      <c r="N13" s="48">
        <v>12</v>
      </c>
      <c r="O13" s="109" t="s">
        <v>314</v>
      </c>
      <c r="P13" s="107">
        <v>2</v>
      </c>
      <c r="R13" s="48">
        <v>10</v>
      </c>
      <c r="S13" s="114" t="s">
        <v>244</v>
      </c>
      <c r="T13" s="107">
        <v>12</v>
      </c>
    </row>
    <row r="14" spans="1:20" x14ac:dyDescent="0.25">
      <c r="F14" s="48">
        <v>13</v>
      </c>
      <c r="G14" s="109" t="s">
        <v>275</v>
      </c>
      <c r="H14" s="107" t="s">
        <v>273</v>
      </c>
      <c r="J14" s="48">
        <v>13</v>
      </c>
      <c r="K14" s="115" t="s">
        <v>192</v>
      </c>
      <c r="L14" s="107">
        <v>88</v>
      </c>
      <c r="N14" s="48">
        <v>12</v>
      </c>
      <c r="O14" s="114" t="s">
        <v>336</v>
      </c>
      <c r="P14" s="113">
        <v>2</v>
      </c>
      <c r="R14" s="48">
        <v>13</v>
      </c>
      <c r="S14" s="109" t="s">
        <v>328</v>
      </c>
      <c r="T14" s="107">
        <v>11</v>
      </c>
    </row>
    <row r="15" spans="1:20" x14ac:dyDescent="0.25">
      <c r="F15" s="48">
        <v>14</v>
      </c>
      <c r="G15" s="109" t="s">
        <v>276</v>
      </c>
      <c r="H15" s="107" t="s">
        <v>273</v>
      </c>
      <c r="J15" s="48">
        <v>13</v>
      </c>
      <c r="K15" s="115" t="s">
        <v>361</v>
      </c>
      <c r="L15" s="107">
        <v>88</v>
      </c>
      <c r="N15" s="48">
        <v>14</v>
      </c>
      <c r="O15" s="109" t="s">
        <v>315</v>
      </c>
      <c r="P15" s="107">
        <v>1</v>
      </c>
      <c r="R15" s="48">
        <v>13</v>
      </c>
      <c r="S15" s="109" t="s">
        <v>309</v>
      </c>
      <c r="T15" s="107">
        <v>11</v>
      </c>
    </row>
    <row r="16" spans="1:20" x14ac:dyDescent="0.25">
      <c r="F16" s="48">
        <v>15</v>
      </c>
      <c r="G16" s="109" t="s">
        <v>277</v>
      </c>
      <c r="H16" s="107" t="s">
        <v>273</v>
      </c>
      <c r="J16" s="48">
        <v>13</v>
      </c>
      <c r="K16" s="115" t="s">
        <v>246</v>
      </c>
      <c r="L16" s="107">
        <v>88</v>
      </c>
      <c r="N16" s="48">
        <v>14</v>
      </c>
      <c r="O16" s="109" t="s">
        <v>316</v>
      </c>
      <c r="P16" s="107">
        <v>1</v>
      </c>
      <c r="R16" s="48">
        <v>14</v>
      </c>
      <c r="S16" s="115" t="s">
        <v>360</v>
      </c>
      <c r="T16" s="130">
        <v>10</v>
      </c>
    </row>
    <row r="17" spans="6:20" x14ac:dyDescent="0.25">
      <c r="F17" s="48">
        <v>16</v>
      </c>
      <c r="G17" s="109" t="s">
        <v>278</v>
      </c>
      <c r="H17" s="107" t="s">
        <v>273</v>
      </c>
      <c r="J17" s="48">
        <v>16</v>
      </c>
      <c r="K17" s="109" t="s">
        <v>285</v>
      </c>
      <c r="L17" s="107">
        <v>83</v>
      </c>
      <c r="N17" s="48">
        <v>14</v>
      </c>
      <c r="O17" s="109" t="s">
        <v>317</v>
      </c>
      <c r="P17" s="107">
        <v>1</v>
      </c>
      <c r="R17" s="48">
        <v>15</v>
      </c>
      <c r="S17" s="109" t="s">
        <v>329</v>
      </c>
      <c r="T17" s="107">
        <v>8</v>
      </c>
    </row>
    <row r="18" spans="6:20" x14ac:dyDescent="0.25">
      <c r="F18" s="48">
        <v>17</v>
      </c>
      <c r="G18" s="109" t="s">
        <v>280</v>
      </c>
      <c r="H18" s="107" t="s">
        <v>279</v>
      </c>
      <c r="J18" s="48">
        <v>17</v>
      </c>
      <c r="K18" s="109" t="s">
        <v>286</v>
      </c>
      <c r="L18" s="107">
        <v>78</v>
      </c>
      <c r="N18" s="48">
        <v>14</v>
      </c>
      <c r="O18" s="109" t="s">
        <v>318</v>
      </c>
      <c r="P18" s="107">
        <v>1</v>
      </c>
      <c r="R18" s="48">
        <v>15</v>
      </c>
      <c r="S18" s="109" t="s">
        <v>330</v>
      </c>
      <c r="T18" s="107">
        <v>8</v>
      </c>
    </row>
    <row r="19" spans="6:20" x14ac:dyDescent="0.25">
      <c r="F19" s="48">
        <v>17</v>
      </c>
      <c r="G19" s="109" t="s">
        <v>281</v>
      </c>
      <c r="H19" s="107" t="s">
        <v>279</v>
      </c>
      <c r="J19" s="48">
        <v>18</v>
      </c>
      <c r="K19" s="109" t="s">
        <v>276</v>
      </c>
      <c r="L19" s="107">
        <v>67</v>
      </c>
      <c r="N19" s="48">
        <v>14</v>
      </c>
      <c r="O19" s="109" t="s">
        <v>319</v>
      </c>
      <c r="P19" s="107">
        <v>1</v>
      </c>
      <c r="R19" s="48">
        <v>15</v>
      </c>
      <c r="S19" s="109" t="s">
        <v>304</v>
      </c>
      <c r="T19" s="107">
        <v>8</v>
      </c>
    </row>
    <row r="20" spans="6:20" x14ac:dyDescent="0.25">
      <c r="F20" s="48">
        <v>17</v>
      </c>
      <c r="G20" s="109" t="s">
        <v>282</v>
      </c>
      <c r="H20" s="107" t="s">
        <v>279</v>
      </c>
      <c r="J20" s="48">
        <v>19</v>
      </c>
      <c r="K20" s="109" t="s">
        <v>263</v>
      </c>
      <c r="L20" s="107">
        <v>64</v>
      </c>
      <c r="N20" s="48">
        <v>14</v>
      </c>
      <c r="O20" s="109" t="s">
        <v>320</v>
      </c>
      <c r="P20" s="107">
        <v>1</v>
      </c>
      <c r="R20" s="48">
        <v>18</v>
      </c>
      <c r="S20" s="109" t="s">
        <v>331</v>
      </c>
      <c r="T20" s="107">
        <v>7</v>
      </c>
    </row>
    <row r="21" spans="6:20" x14ac:dyDescent="0.25">
      <c r="F21" s="48">
        <v>17</v>
      </c>
      <c r="G21" s="109" t="s">
        <v>283</v>
      </c>
      <c r="H21" s="107" t="s">
        <v>279</v>
      </c>
      <c r="J21" s="48">
        <v>20</v>
      </c>
      <c r="K21" s="109" t="s">
        <v>287</v>
      </c>
      <c r="L21" s="107">
        <v>60</v>
      </c>
      <c r="N21" s="48">
        <v>14</v>
      </c>
      <c r="O21" s="109" t="s">
        <v>321</v>
      </c>
      <c r="P21" s="107">
        <v>1</v>
      </c>
      <c r="R21" s="48">
        <v>18</v>
      </c>
      <c r="S21" s="109" t="s">
        <v>332</v>
      </c>
      <c r="T21" s="107">
        <v>7</v>
      </c>
    </row>
    <row r="22" spans="6:20" x14ac:dyDescent="0.25">
      <c r="F22" s="48">
        <v>17</v>
      </c>
      <c r="G22" s="109" t="s">
        <v>284</v>
      </c>
      <c r="H22" s="107" t="s">
        <v>279</v>
      </c>
      <c r="J22" s="48">
        <v>20</v>
      </c>
      <c r="K22" s="109" t="s">
        <v>277</v>
      </c>
      <c r="L22" s="107">
        <v>60</v>
      </c>
      <c r="N22" s="48">
        <v>14</v>
      </c>
      <c r="O22" s="109" t="s">
        <v>322</v>
      </c>
      <c r="P22" s="107">
        <v>1</v>
      </c>
      <c r="R22" s="48">
        <v>18</v>
      </c>
      <c r="S22" s="115" t="s">
        <v>364</v>
      </c>
      <c r="T22" s="129">
        <v>7</v>
      </c>
    </row>
    <row r="23" spans="6:20" x14ac:dyDescent="0.25">
      <c r="F23" s="48">
        <v>17</v>
      </c>
      <c r="G23" s="109" t="s">
        <v>285</v>
      </c>
      <c r="H23" s="107" t="s">
        <v>279</v>
      </c>
      <c r="J23" s="48">
        <v>22</v>
      </c>
      <c r="K23" s="109" t="s">
        <v>301</v>
      </c>
      <c r="L23" s="107">
        <v>58</v>
      </c>
      <c r="N23" s="48">
        <v>14</v>
      </c>
      <c r="O23" s="109" t="s">
        <v>323</v>
      </c>
      <c r="P23" s="107">
        <v>1</v>
      </c>
      <c r="R23" s="48">
        <v>21</v>
      </c>
      <c r="S23" s="109" t="s">
        <v>333</v>
      </c>
      <c r="T23" s="107">
        <v>6</v>
      </c>
    </row>
    <row r="24" spans="6:20" x14ac:dyDescent="0.25">
      <c r="F24" s="48">
        <v>17</v>
      </c>
      <c r="G24" s="109" t="s">
        <v>286</v>
      </c>
      <c r="H24" s="107" t="s">
        <v>279</v>
      </c>
      <c r="J24" s="48">
        <v>23</v>
      </c>
      <c r="K24" s="109" t="s">
        <v>302</v>
      </c>
      <c r="L24" s="107">
        <v>57</v>
      </c>
      <c r="N24" s="48">
        <v>14</v>
      </c>
      <c r="O24" s="109" t="s">
        <v>324</v>
      </c>
      <c r="P24" s="107">
        <v>1</v>
      </c>
      <c r="R24" s="48">
        <v>21</v>
      </c>
      <c r="S24" s="109" t="s">
        <v>334</v>
      </c>
      <c r="T24" s="107">
        <v>6</v>
      </c>
    </row>
    <row r="25" spans="6:20" x14ac:dyDescent="0.25">
      <c r="F25" s="48">
        <v>17</v>
      </c>
      <c r="G25" s="109" t="s">
        <v>287</v>
      </c>
      <c r="H25" s="107" t="s">
        <v>279</v>
      </c>
      <c r="J25" s="48">
        <v>23</v>
      </c>
      <c r="K25" s="109" t="s">
        <v>257</v>
      </c>
      <c r="L25" s="107">
        <v>57</v>
      </c>
      <c r="N25" s="48">
        <v>14</v>
      </c>
      <c r="O25" s="114" t="s">
        <v>362</v>
      </c>
      <c r="P25" s="107">
        <v>1</v>
      </c>
      <c r="R25" s="118">
        <v>21</v>
      </c>
      <c r="S25" s="109" t="s">
        <v>300</v>
      </c>
      <c r="T25" s="107">
        <v>6</v>
      </c>
    </row>
    <row r="26" spans="6:20" x14ac:dyDescent="0.25">
      <c r="F26" s="48">
        <v>17</v>
      </c>
      <c r="G26" s="109" t="s">
        <v>288</v>
      </c>
      <c r="H26" s="107" t="s">
        <v>279</v>
      </c>
      <c r="J26" s="48">
        <v>25</v>
      </c>
      <c r="K26" s="109" t="s">
        <v>303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289</v>
      </c>
      <c r="H27" s="107" t="s">
        <v>279</v>
      </c>
      <c r="J27" s="48">
        <v>26</v>
      </c>
      <c r="K27" s="109" t="s">
        <v>281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290</v>
      </c>
      <c r="H28" s="107" t="s">
        <v>279</v>
      </c>
      <c r="J28" s="48">
        <v>27</v>
      </c>
      <c r="K28" s="109" t="s">
        <v>266</v>
      </c>
      <c r="L28" s="107">
        <v>54</v>
      </c>
      <c r="O28" s="60"/>
      <c r="P28" s="107"/>
    </row>
    <row r="29" spans="6:20" x14ac:dyDescent="0.25">
      <c r="F29" s="48">
        <v>17</v>
      </c>
      <c r="G29" s="109" t="s">
        <v>291</v>
      </c>
      <c r="H29" s="107" t="s">
        <v>279</v>
      </c>
      <c r="J29" s="48">
        <v>28</v>
      </c>
      <c r="K29" s="128" t="s">
        <v>343</v>
      </c>
      <c r="L29" s="116">
        <v>52</v>
      </c>
      <c r="O29" s="60"/>
      <c r="P29" s="107"/>
    </row>
    <row r="30" spans="6:20" x14ac:dyDescent="0.25">
      <c r="F30" s="48">
        <v>17</v>
      </c>
      <c r="G30" s="109" t="s">
        <v>292</v>
      </c>
      <c r="H30" s="107" t="s">
        <v>279</v>
      </c>
      <c r="J30" s="48">
        <v>28</v>
      </c>
      <c r="K30" s="115" t="s">
        <v>357</v>
      </c>
      <c r="L30" s="130">
        <v>52</v>
      </c>
      <c r="O30" s="60"/>
      <c r="P30" s="107"/>
    </row>
    <row r="31" spans="6:20" x14ac:dyDescent="0.25">
      <c r="F31" s="48">
        <v>17</v>
      </c>
      <c r="G31" s="109" t="s">
        <v>293</v>
      </c>
      <c r="H31" s="107" t="s">
        <v>279</v>
      </c>
      <c r="J31" s="48">
        <v>30</v>
      </c>
      <c r="K31" s="109" t="s">
        <v>290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357</v>
      </c>
      <c r="H32" s="130" t="s">
        <v>279</v>
      </c>
      <c r="J32" s="48">
        <v>30</v>
      </c>
      <c r="K32" s="109" t="s">
        <v>304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3</v>
      </c>
      <c r="D3" s="112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6">
        <f ca="1">Plantilla!N4</f>
        <v>0.90806613967261018</v>
      </c>
      <c r="J3" s="34">
        <f>Plantilla!I4</f>
        <v>5</v>
      </c>
      <c r="K3" s="41">
        <f>Plantilla!X4</f>
        <v>15</v>
      </c>
      <c r="L3" s="41">
        <f>Plantilla!Y4</f>
        <v>11.222222222222221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1.7777777777777777</v>
      </c>
      <c r="S3" s="41">
        <f t="shared" ref="S3" si="3">(0.5*P3+ 0.3*Q3)/10</f>
        <v>0.08</v>
      </c>
      <c r="T3" s="41">
        <f t="shared" ref="T3" si="4">(0.4*L3+0.3*Q3)/10</f>
        <v>0.47888888888888886</v>
      </c>
      <c r="U3" s="41">
        <f t="shared" ref="U3" ca="1" si="5">(Q3+I3+(LOG(J3)*4/3))*(F3/7)^0.5</f>
        <v>2.6293532893408482</v>
      </c>
      <c r="V3" s="41">
        <f t="shared" ref="V3" ca="1" si="6">IF(F3=7,U3,(Q3+I3+(LOG(J3)*4/3))*((F3+0.99)/7)^0.5)</f>
        <v>2.8379968303356473</v>
      </c>
      <c r="W3" s="32">
        <f t="shared" ref="W3" ca="1" si="7">((K3+I3+(LOG(J3)*4/3))*0.597)+((L3+I3+(LOG(J3)*4/3))*0.276)</f>
        <v>13.658676158314648</v>
      </c>
      <c r="X3" s="32">
        <f t="shared" ref="X3" ca="1" si="8">((K3+I3+(LOG(J3)*4/3))*0.866)+((L3+I3+(LOG(J3)*4/3))*0.425)</f>
        <v>20.134918198225517</v>
      </c>
      <c r="Y3" s="32">
        <f t="shared" ref="Y3" ca="1" si="9">W3</f>
        <v>13.658676158314648</v>
      </c>
      <c r="Z3" s="32">
        <f t="shared" ref="Z3" ca="1" si="10">((L3+I3+(LOG(J3)*4/3))*0.516)</f>
        <v>6.7401201577209138</v>
      </c>
      <c r="AA3" s="32">
        <f t="shared" ref="AA3" ca="1" si="11">((L3+I3+(LOG(J3)*4/3))*1)</f>
        <v>13.062248367676188</v>
      </c>
      <c r="AB3" s="32">
        <f t="shared" ref="AB3" ca="1" si="12">Z3/2</f>
        <v>3.3700600788604569</v>
      </c>
      <c r="AC3" s="32">
        <f t="shared" ref="AC3" ca="1" si="13">((M3+I3+(LOG(J3)*4/3))*0.238)</f>
        <v>0.43792622261804454</v>
      </c>
      <c r="AD3" s="32">
        <f t="shared" ref="AD3" ca="1" si="14">((L3+I3+(LOG(J3)*4/3))*0.378)</f>
        <v>4.9375298829815994</v>
      </c>
      <c r="AE3" s="32">
        <f t="shared" ref="AE3" ca="1" si="15">((L3+I3+(LOG(J3)*4/3))*0.723)</f>
        <v>9.4440055698298835</v>
      </c>
      <c r="AF3" s="32">
        <f t="shared" ref="AF3" ca="1" si="16">AD3/2</f>
        <v>2.4687649414907997</v>
      </c>
      <c r="AG3" s="32">
        <f t="shared" ref="AG3" ca="1" si="17">((M3+I3+(LOG(J3)*4/3))*0.385)</f>
        <v>0.70841006599977796</v>
      </c>
      <c r="AH3" s="32">
        <f t="shared" ref="AH3" ca="1" si="18">((L3+I3+(LOG(J3)*4/3))*0.92)</f>
        <v>12.017268498262094</v>
      </c>
      <c r="AI3" s="32">
        <f t="shared" ref="AI3" ca="1" si="19">((L3+I3+(LOG(J3)*4/3))*0.414)</f>
        <v>5.4077708242179421</v>
      </c>
      <c r="AJ3" s="32">
        <f t="shared" ref="AJ3" ca="1" si="20">((M3+I3+(LOG(J3)*4/3))*0.167)</f>
        <v>0.30728436629081279</v>
      </c>
      <c r="AK3" s="32">
        <f t="shared" ref="AK3" ca="1" si="21">((N3+I3+(LOG(J3)*4/3))*0.588)</f>
        <v>1.0819353735269337</v>
      </c>
      <c r="AL3" s="32">
        <f t="shared" ref="AL3" ca="1" si="22">((L3+I3+(LOG(J3)*4/3))*0.754)</f>
        <v>9.8489352692278462</v>
      </c>
      <c r="AM3" s="32">
        <f t="shared" ref="AM3" ca="1" si="23">((L3+I3+(LOG(J3)*4/3))*0.708)</f>
        <v>9.2480718443147403</v>
      </c>
      <c r="AN3" s="32">
        <f t="shared" ref="AN3" ca="1" si="24">((Q3+I3+(LOG(J3)*4/3))*0.167)</f>
        <v>0.47428436629081283</v>
      </c>
      <c r="AO3" s="32">
        <f t="shared" ref="AO3" ca="1" si="25">((R3+I3+(LOG(J3)*4/3))*0.288)</f>
        <v>1.0419275298907429</v>
      </c>
      <c r="AP3" s="32">
        <f t="shared" ref="AP3" ca="1" si="26">((L3+I3+(LOG(J3)*4/3))*0.27)</f>
        <v>3.5268070592725711</v>
      </c>
      <c r="AQ3" s="32">
        <f t="shared" ref="AQ3" ca="1" si="27">((L3+I3+(LOG(J3)*4/3))*0.594)</f>
        <v>7.7589755303996553</v>
      </c>
      <c r="AR3" s="32">
        <f t="shared" ref="AR3" ca="1" si="28">AP3/2</f>
        <v>1.7634035296362855</v>
      </c>
      <c r="AS3" s="32">
        <f t="shared" ref="AS3" ca="1" si="29">((M3+I3+(LOG(J3)*4/3))*0.944)</f>
        <v>1.7369846813085466</v>
      </c>
      <c r="AT3" s="32">
        <f t="shared" ref="AT3" ca="1" si="30">((O3+I3+(LOG(J3)*4/3))*0.13)</f>
        <v>0.23920339890901596</v>
      </c>
      <c r="AU3" s="32">
        <f t="shared" ref="AU3" ca="1" si="31">((P3+I3+(LOG(J3)*4/3))*0.173)+((O3+I3+(LOG(J3)*4/3))*0.12)</f>
        <v>0.7121276606180128</v>
      </c>
      <c r="AV3" s="32">
        <f t="shared" ref="AV3" ca="1" si="32">AT3/2</f>
        <v>0.11960169945450798</v>
      </c>
      <c r="AW3" s="32">
        <f t="shared" ref="AW3" ca="1" si="33">((L3+I3+(LOG(J3)*4/3))*0.189)</f>
        <v>2.4687649414907997</v>
      </c>
      <c r="AX3" s="32">
        <f t="shared" ref="AX3" ca="1" si="34">((L3+I3+(LOG(J3)*4/3))*0.4)</f>
        <v>5.2248993470704761</v>
      </c>
      <c r="AY3" s="32">
        <f t="shared" ref="AY3" ca="1" si="35">AW3/2</f>
        <v>1.2343824707453999</v>
      </c>
      <c r="AZ3" s="32">
        <f t="shared" ref="AZ3" ca="1" si="36">((M3+I3+(LOG(J3)*4/3))*1)</f>
        <v>1.8400261454539688</v>
      </c>
      <c r="BA3" s="32">
        <f t="shared" ref="BA3" ca="1" si="37">((O3+I3+(LOG(J3)*4/3))*0.253)</f>
        <v>0.46552661479985413</v>
      </c>
      <c r="BB3" s="32">
        <f t="shared" ref="BB3" ca="1" si="38">((P3+I3+(LOG(J3)*4/3))*0.21)+((O3+I3+(LOG(J3)*4/3))*0.341)</f>
        <v>1.2238544061451369</v>
      </c>
      <c r="BC3" s="32">
        <f t="shared" ref="BC3" ca="1" si="39">BA3/2</f>
        <v>0.23276330739992707</v>
      </c>
      <c r="BD3" s="32">
        <f t="shared" ref="BD3" ca="1" si="40">((L3+I3+(LOG(J3)*4/3))*0.291)</f>
        <v>3.8011142749937705</v>
      </c>
      <c r="BE3" s="32">
        <f t="shared" ref="BE3" ca="1" si="41">((L3+I3+(LOG(J3)*4/3))*0.348)</f>
        <v>4.545662431951313</v>
      </c>
      <c r="BF3" s="32">
        <f t="shared" ref="BF3" ca="1" si="42">((M3+I3+(LOG(J3)*4/3))*0.881)</f>
        <v>1.6210630341449466</v>
      </c>
      <c r="BG3" s="32">
        <f t="shared" ref="BG3" ca="1" si="43">((N3+I3+(LOG(J3)*4/3))*0.574)+((O3+I3+(LOG(J3)*4/3))*0.315)</f>
        <v>1.6357832433085782</v>
      </c>
      <c r="BH3" s="32">
        <f t="shared" ref="BH3" ca="1" si="44">((O3+I3+(LOG(J3)*4/3))*0.241)</f>
        <v>0.44344630105440647</v>
      </c>
      <c r="BI3" s="32">
        <f t="shared" ref="BI3" ca="1" si="45">((L3+I3+(LOG(J3)*4/3))*0.485)</f>
        <v>6.335190458322951</v>
      </c>
      <c r="BJ3" s="32">
        <f t="shared" ref="BJ3" ca="1" si="46">((L3+I3+(LOG(J3)*4/3))*0.264)</f>
        <v>3.448433569066514</v>
      </c>
      <c r="BK3" s="32">
        <f t="shared" ref="BK3" ca="1" si="47">((M3+I3+(LOG(J3)*4/3))*0.381)</f>
        <v>0.70104996141796216</v>
      </c>
      <c r="BL3" s="32">
        <f t="shared" ref="BL3" ca="1" si="48">((N3+I3+(LOG(J3)*4/3))*0.673)+((O3+I3+(LOG(J3)*4/3))*0.201)</f>
        <v>1.6081828511267688</v>
      </c>
      <c r="BM3" s="32">
        <f t="shared" ref="BM3" ca="1" si="49">((O3+I3+(LOG(J3)*4/3))*0.052)</f>
        <v>9.5681359563606377E-2</v>
      </c>
      <c r="BN3" s="32">
        <f t="shared" ref="BN3" ca="1" si="50">((L3+I3+(LOG(J3)*4/3))*0.18)</f>
        <v>2.3512047061817136</v>
      </c>
      <c r="BO3" s="32">
        <f t="shared" ref="BO3" ca="1" si="51">((L3+I3+(LOG(J3)*4/3))*0.068)</f>
        <v>0.88823288900198083</v>
      </c>
      <c r="BP3" s="32">
        <f t="shared" ref="BP3" ca="1" si="52">((M3+I3+(LOG(J3)*4/3))*0.305)</f>
        <v>0.56120797436346048</v>
      </c>
      <c r="BQ3" s="32">
        <f t="shared" ref="BQ3" ca="1" si="53">((N3+I3+(LOG(J3)*4/3))*1)+((O3+I3+(LOG(J3)*4/3))*0.286)</f>
        <v>2.3662736230538037</v>
      </c>
      <c r="BR3" s="32">
        <f t="shared" ref="BR3" ca="1" si="54">((O3+I3+(LOG(J3)*4/3))*0.135)</f>
        <v>0.24840352963628581</v>
      </c>
      <c r="BS3" s="32">
        <f t="shared" ref="BS3" ca="1" si="55">((L3+I3+(LOG(J3)*4/3))*0.284)</f>
        <v>3.7096785364200371</v>
      </c>
      <c r="BT3" s="32">
        <f t="shared" ref="BT3" ca="1" si="56">((L3+I3+(LOG(J3)*4/3))*0.244)</f>
        <v>3.18718860171299</v>
      </c>
      <c r="BU3" s="32">
        <f t="shared" ref="BU3" ca="1" si="57">((M3+I3+(LOG(J3)*4/3))*0.631)</f>
        <v>1.1610564977814544</v>
      </c>
      <c r="BV3" s="32">
        <f t="shared" ref="BV3" ca="1" si="58">((N3+I3+(LOG(J3)*4/3))*0.702)+((O3+I3+(LOG(J3)*4/3))*0.193)</f>
        <v>1.6468234001813018</v>
      </c>
      <c r="BW3" s="32">
        <f t="shared" ref="BW3" ca="1" si="59">((O3+I3+(LOG(J3)*4/3))*0.148)</f>
        <v>0.27232386952718735</v>
      </c>
      <c r="BX3" s="32">
        <f t="shared" ref="BX3" ca="1" si="60">((M3+I3+(LOG(J3)*4/3))*0.406)</f>
        <v>0.74705061505431136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1.0856536217815178</v>
      </c>
      <c r="BZ3" s="32">
        <f t="shared" ref="BZ3" ca="1" si="62">IF(D3="TEC",((O3+I3+(LOG(J3)*4/3))*0.543)+((P3+I3+(LOG(J3)*4/3))*0.583),((O3+I3+(LOG(J3)*4/3))*0.543)+((P3+I3+(LOG(J3)*4/3))*0.583))</f>
        <v>2.654869439781169</v>
      </c>
      <c r="CA3" s="32">
        <f t="shared" ref="CA3" ca="1" si="63">BY3</f>
        <v>1.0856536217815178</v>
      </c>
      <c r="CB3" s="32">
        <f t="shared" ref="CB3" ca="1" si="64">((P3+I3+(LOG(J3)*4/3))*0.26)+((N3+I3+(LOG(J3)*4/3))*0.221)+((O3+I3+(LOG(J3)*4/3))*0.142)</f>
        <v>1.4063362886178226</v>
      </c>
      <c r="CC3" s="32">
        <f t="shared" ref="CC3" ca="1" si="65">((P3+I3+(LOG(J3)*4/3))*1)+((O3+I3+(LOG(J3)*4/3))*0.369)</f>
        <v>3.518995793126483</v>
      </c>
      <c r="CD3" s="32">
        <f t="shared" ref="CD3" ca="1" si="66">CB3</f>
        <v>1.4063362886178226</v>
      </c>
      <c r="CE3" s="32">
        <f t="shared" ref="CE3" ca="1" si="67">((M3+I3+(LOG(J3)*4/3))*0.25)</f>
        <v>0.4600065363634922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28</v>
      </c>
      <c r="D4" s="130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4.75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0.96875</v>
      </c>
      <c r="S4" s="41">
        <f t="shared" ref="S4:S20" si="71">(0.5*P4+ 0.3*Q4)/10</f>
        <v>0.08</v>
      </c>
      <c r="T4" s="41">
        <f t="shared" ref="T4:T20" si="72">(0.4*L4+0.3*Q4)/10</f>
        <v>0.22000000000000003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5.9360930335294695</v>
      </c>
      <c r="X4" s="32">
        <f t="shared" ref="X4:X20" ca="1" si="76">((K4+I4+(LOG(J4)*4/3))*0.866)+((L4+I4+(LOG(J4)*4/3))*0.425)</f>
        <v>8.757285058747474</v>
      </c>
      <c r="Y4" s="32">
        <f t="shared" ref="Y4:Y20" ca="1" si="77">W4</f>
        <v>5.9360930335294695</v>
      </c>
      <c r="Z4" s="32">
        <f t="shared" ref="Z4:Z20" ca="1" si="78">((L4+I4+(LOG(J4)*4/3))*0.516)</f>
        <v>3.0675360885466278</v>
      </c>
      <c r="AA4" s="32">
        <f t="shared" ref="AA4:AA20" ca="1" si="79">((L4+I4+(LOG(J4)*4/3))*1)</f>
        <v>5.9448373809043176</v>
      </c>
      <c r="AB4" s="32">
        <f t="shared" ref="AB4:AB20" ca="1" si="80">Z4/2</f>
        <v>1.5337680442733139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2.2471485299818319</v>
      </c>
      <c r="AE4" s="32">
        <f t="shared" ref="AE4:AE20" ca="1" si="83">((L4+I4+(LOG(J4)*4/3))*0.723)</f>
        <v>4.2981174263938211</v>
      </c>
      <c r="AF4" s="32">
        <f t="shared" ref="AF4:AF20" ca="1" si="84">AD4/2</f>
        <v>1.1235742649909159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5.4692503904319727</v>
      </c>
      <c r="AI4" s="32">
        <f t="shared" ref="AI4:AI20" ca="1" si="87">((L4+I4+(LOG(J4)*4/3))*0.414)</f>
        <v>2.4611626756943874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4.4824073852018556</v>
      </c>
      <c r="AM4" s="32">
        <f t="shared" ref="AM4:AM20" ca="1" si="91">((L4+I4+(LOG(J4)*4/3))*0.708)</f>
        <v>4.2089448656802571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0.62311316570044339</v>
      </c>
      <c r="AP4" s="32">
        <f t="shared" ref="AP4:AP20" ca="1" si="94">((L4+I4+(LOG(J4)*4/3))*0.27)</f>
        <v>1.6051060928441658</v>
      </c>
      <c r="AQ4" s="32">
        <f t="shared" ref="AQ4:AQ20" ca="1" si="95">((L4+I4+(LOG(J4)*4/3))*0.594)</f>
        <v>3.5312334042571645</v>
      </c>
      <c r="AR4" s="32">
        <f t="shared" ref="AR4:AR20" ca="1" si="96">AP4/2</f>
        <v>0.80255304642208292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1.1235742649909159</v>
      </c>
      <c r="AX4" s="32">
        <f t="shared" ref="AX4:AX20" ca="1" si="102">((L4+I4+(LOG(J4)*4/3))*0.4)</f>
        <v>2.377934952361727</v>
      </c>
      <c r="AY4" s="32">
        <f t="shared" ref="AY4:AY20" ca="1" si="103">AW4/2</f>
        <v>0.56178713249545797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1.7299476778431564</v>
      </c>
      <c r="BE4" s="32">
        <f t="shared" ref="BE4:BE20" ca="1" si="109">((L4+I4+(LOG(J4)*4/3))*0.348)</f>
        <v>2.0688034085547025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2.8832461297385938</v>
      </c>
      <c r="BJ4" s="32">
        <f t="shared" ref="BJ4:BJ20" ca="1" si="114">((L4+I4+(LOG(J4)*4/3))*0.264)</f>
        <v>1.56943706855874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1.0700707285627771</v>
      </c>
      <c r="BO4" s="32">
        <f t="shared" ref="BO4:BO20" ca="1" si="119">((L4+I4+(LOG(J4)*4/3))*0.068)</f>
        <v>0.40424894190149363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1.688333816176826</v>
      </c>
      <c r="BT4" s="32">
        <f t="shared" ref="BT4:BT20" ca="1" si="124">((L4+I4+(LOG(J4)*4/3))*0.244)</f>
        <v>1.4505403209406535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0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0.94779909417541996</v>
      </c>
      <c r="J5" s="34">
        <f>Plantilla!I6</f>
        <v>2.8</v>
      </c>
      <c r="K5" s="41">
        <f>Plantilla!X6</f>
        <v>0</v>
      </c>
      <c r="L5" s="41">
        <f>Plantilla!Y6</f>
        <v>15.0625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3.7578125</v>
      </c>
      <c r="S5" s="41">
        <f t="shared" si="71"/>
        <v>0.13</v>
      </c>
      <c r="T5" s="41">
        <f t="shared" si="72"/>
        <v>0.63250000000000006</v>
      </c>
      <c r="U5" s="41">
        <f t="shared" ca="1" si="73"/>
        <v>1.9230906487640063</v>
      </c>
      <c r="V5" s="41">
        <f t="shared" ca="1" si="74"/>
        <v>2.1479295519397397</v>
      </c>
      <c r="W5" s="32">
        <f t="shared" ca="1" si="75"/>
        <v>5.5051705576974852</v>
      </c>
      <c r="X5" s="32">
        <f t="shared" ca="1" si="76"/>
        <v>8.3948791551975397</v>
      </c>
      <c r="Y5" s="32">
        <f t="shared" ca="1" si="77"/>
        <v>5.5051705576974852</v>
      </c>
      <c r="Z5" s="32">
        <f t="shared" ca="1" si="78"/>
        <v>8.5689590581579633</v>
      </c>
      <c r="AA5" s="32">
        <f t="shared" ca="1" si="79"/>
        <v>16.606509802631713</v>
      </c>
      <c r="AB5" s="32">
        <f t="shared" ca="1" si="80"/>
        <v>4.2844795290789817</v>
      </c>
      <c r="AC5" s="32">
        <f t="shared" ca="1" si="81"/>
        <v>1.5574743330263474</v>
      </c>
      <c r="AD5" s="32">
        <f t="shared" ca="1" si="82"/>
        <v>6.277260705394788</v>
      </c>
      <c r="AE5" s="32">
        <f t="shared" ca="1" si="83"/>
        <v>12.006506587302729</v>
      </c>
      <c r="AF5" s="32">
        <f t="shared" ca="1" si="84"/>
        <v>3.138630352697394</v>
      </c>
      <c r="AG5" s="32">
        <f t="shared" ca="1" si="85"/>
        <v>2.5194437740132094</v>
      </c>
      <c r="AH5" s="32">
        <f t="shared" ca="1" si="86"/>
        <v>15.277989018421177</v>
      </c>
      <c r="AI5" s="32">
        <f t="shared" ca="1" si="87"/>
        <v>6.8750950582895287</v>
      </c>
      <c r="AJ5" s="32">
        <f t="shared" ca="1" si="88"/>
        <v>1.092849637039496</v>
      </c>
      <c r="AK5" s="32">
        <f t="shared" ca="1" si="89"/>
        <v>4.0830777639474469</v>
      </c>
      <c r="AL5" s="32">
        <f t="shared" ca="1" si="90"/>
        <v>12.521308391184311</v>
      </c>
      <c r="AM5" s="32">
        <f t="shared" ca="1" si="91"/>
        <v>11.757408940263252</v>
      </c>
      <c r="AN5" s="32">
        <f t="shared" ca="1" si="92"/>
        <v>0.42484963703949596</v>
      </c>
      <c r="AO5" s="32">
        <f t="shared" ca="1" si="93"/>
        <v>1.5269248231579331</v>
      </c>
      <c r="AP5" s="32">
        <f t="shared" ca="1" si="94"/>
        <v>4.4837576467105631</v>
      </c>
      <c r="AQ5" s="32">
        <f t="shared" ca="1" si="95"/>
        <v>9.8642668227632377</v>
      </c>
      <c r="AR5" s="32">
        <f t="shared" ca="1" si="96"/>
        <v>2.2418788233552815</v>
      </c>
      <c r="AS5" s="32">
        <f t="shared" ca="1" si="97"/>
        <v>6.177545253684336</v>
      </c>
      <c r="AT5" s="32">
        <f t="shared" ca="1" si="98"/>
        <v>0.98072127434212264</v>
      </c>
      <c r="AU5" s="32">
        <f t="shared" ca="1" si="99"/>
        <v>1.5183948721710916</v>
      </c>
      <c r="AV5" s="32">
        <f t="shared" ca="1" si="100"/>
        <v>0.49036063717106132</v>
      </c>
      <c r="AW5" s="32">
        <f t="shared" ca="1" si="101"/>
        <v>3.138630352697394</v>
      </c>
      <c r="AX5" s="32">
        <f t="shared" ca="1" si="102"/>
        <v>6.6426039210526859</v>
      </c>
      <c r="AY5" s="32">
        <f t="shared" ca="1" si="103"/>
        <v>1.569315176348697</v>
      </c>
      <c r="AZ5" s="32">
        <f t="shared" ca="1" si="104"/>
        <v>6.5440098026317122</v>
      </c>
      <c r="BA5" s="32">
        <f t="shared" ca="1" si="105"/>
        <v>1.9086344800658233</v>
      </c>
      <c r="BB5" s="32">
        <f t="shared" ca="1" si="106"/>
        <v>3.3167494012500733</v>
      </c>
      <c r="BC5" s="32">
        <f t="shared" ca="1" si="107"/>
        <v>0.95431724003291163</v>
      </c>
      <c r="BD5" s="32">
        <f t="shared" ca="1" si="108"/>
        <v>4.8324943525658286</v>
      </c>
      <c r="BE5" s="32">
        <f t="shared" ca="1" si="109"/>
        <v>5.7790654113158357</v>
      </c>
      <c r="BF5" s="32">
        <f t="shared" ca="1" si="110"/>
        <v>5.7652726361185387</v>
      </c>
      <c r="BG5" s="32">
        <f t="shared" ca="1" si="111"/>
        <v>6.3622247145395923</v>
      </c>
      <c r="BH5" s="32">
        <f t="shared" ca="1" si="112"/>
        <v>1.8181063624342426</v>
      </c>
      <c r="BI5" s="32">
        <f t="shared" ca="1" si="113"/>
        <v>8.0541572542763813</v>
      </c>
      <c r="BJ5" s="32">
        <f t="shared" ca="1" si="114"/>
        <v>4.3841185878947728</v>
      </c>
      <c r="BK5" s="32">
        <f t="shared" ca="1" si="115"/>
        <v>2.4932677348026822</v>
      </c>
      <c r="BL5" s="32">
        <f t="shared" ca="1" si="116"/>
        <v>6.1896645675001167</v>
      </c>
      <c r="BM5" s="32">
        <f t="shared" ca="1" si="117"/>
        <v>0.39228850973684903</v>
      </c>
      <c r="BN5" s="32">
        <f t="shared" ca="1" si="118"/>
        <v>2.9891717644737081</v>
      </c>
      <c r="BO5" s="32">
        <f t="shared" ca="1" si="119"/>
        <v>1.1292426665789566</v>
      </c>
      <c r="BP5" s="32">
        <f t="shared" ca="1" si="120"/>
        <v>1.9959229898026722</v>
      </c>
      <c r="BQ5" s="32">
        <f t="shared" ca="1" si="121"/>
        <v>9.1015966061843816</v>
      </c>
      <c r="BR5" s="32">
        <f t="shared" ca="1" si="122"/>
        <v>1.0184413233552811</v>
      </c>
      <c r="BS5" s="32">
        <f t="shared" ca="1" si="123"/>
        <v>4.7162487839474059</v>
      </c>
      <c r="BT5" s="32">
        <f t="shared" ca="1" si="124"/>
        <v>4.051988391842138</v>
      </c>
      <c r="BU5" s="32">
        <f t="shared" ca="1" si="125"/>
        <v>4.1292701854606104</v>
      </c>
      <c r="BV5" s="32">
        <f t="shared" ca="1" si="126"/>
        <v>6.3306887733553818</v>
      </c>
      <c r="BW5" s="32">
        <f t="shared" ca="1" si="127"/>
        <v>1.1165134507894934</v>
      </c>
      <c r="BX5" s="32">
        <f t="shared" ca="1" si="128"/>
        <v>2.6568679798684753</v>
      </c>
      <c r="BY5" s="32">
        <f t="shared" ca="1" si="129"/>
        <v>3.3360291071711226</v>
      </c>
      <c r="BZ5" s="32">
        <f t="shared" ca="1" si="130"/>
        <v>6.1625550377633083</v>
      </c>
      <c r="CA5" s="32">
        <f t="shared" ca="1" si="131"/>
        <v>3.3360291071711226</v>
      </c>
      <c r="CB5" s="32">
        <f t="shared" ca="1" si="132"/>
        <v>3.5273181070395569</v>
      </c>
      <c r="CC5" s="32">
        <f t="shared" ca="1" si="133"/>
        <v>6.3277494198028146</v>
      </c>
      <c r="CD5" s="32">
        <f t="shared" ca="1" si="134"/>
        <v>3.5273181070395569</v>
      </c>
      <c r="CE5" s="32">
        <f t="shared" ca="1" si="135"/>
        <v>1.636002450657928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93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0.91808978211137449</v>
      </c>
      <c r="J6" s="34">
        <f>Plantilla!I7</f>
        <v>3.8</v>
      </c>
      <c r="K6" s="41">
        <f>Plantilla!X7</f>
        <v>0</v>
      </c>
      <c r="L6" s="41">
        <f>Plantilla!Y7</f>
        <v>15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3.5625</v>
      </c>
      <c r="S6" s="41">
        <f t="shared" si="71"/>
        <v>0.05</v>
      </c>
      <c r="T6" s="41">
        <f t="shared" si="72"/>
        <v>0.6</v>
      </c>
      <c r="U6" s="41">
        <f t="shared" ca="1" si="73"/>
        <v>1.5656863833628645</v>
      </c>
      <c r="V6" s="41">
        <f t="shared" ca="1" si="74"/>
        <v>1.689926192610431</v>
      </c>
      <c r="W6" s="32">
        <f t="shared" ca="1" si="75"/>
        <v>5.6163604862451972</v>
      </c>
      <c r="X6" s="32">
        <f t="shared" ca="1" si="76"/>
        <v>8.5582547396821873</v>
      </c>
      <c r="Y6" s="32">
        <f t="shared" ca="1" si="77"/>
        <v>5.6163604862451972</v>
      </c>
      <c r="Z6" s="32">
        <f t="shared" ca="1" si="78"/>
        <v>8.6126254420418356</v>
      </c>
      <c r="AA6" s="32">
        <f t="shared" ca="1" si="79"/>
        <v>16.691134577600454</v>
      </c>
      <c r="AB6" s="32">
        <f t="shared" ca="1" si="80"/>
        <v>4.3063127210209178</v>
      </c>
      <c r="AC6" s="32">
        <f t="shared" ca="1" si="81"/>
        <v>1.5924900294689084</v>
      </c>
      <c r="AD6" s="32">
        <f t="shared" ca="1" si="82"/>
        <v>6.3092488703329721</v>
      </c>
      <c r="AE6" s="32">
        <f t="shared" ca="1" si="83"/>
        <v>12.067690299605129</v>
      </c>
      <c r="AF6" s="32">
        <f t="shared" ca="1" si="84"/>
        <v>3.1546244351664861</v>
      </c>
      <c r="AG6" s="32">
        <f t="shared" ca="1" si="85"/>
        <v>2.5760868123761753</v>
      </c>
      <c r="AH6" s="32">
        <f t="shared" ca="1" si="86"/>
        <v>15.355843811392418</v>
      </c>
      <c r="AI6" s="32">
        <f t="shared" ca="1" si="87"/>
        <v>6.9101297151265877</v>
      </c>
      <c r="AJ6" s="32">
        <f t="shared" ca="1" si="88"/>
        <v>1.117419474459276</v>
      </c>
      <c r="AK6" s="32">
        <f t="shared" ca="1" si="89"/>
        <v>5.110387131629067</v>
      </c>
      <c r="AL6" s="32">
        <f t="shared" ca="1" si="90"/>
        <v>12.585115471510743</v>
      </c>
      <c r="AM6" s="32">
        <f t="shared" ca="1" si="91"/>
        <v>11.817323280941121</v>
      </c>
      <c r="AN6" s="32">
        <f t="shared" ca="1" si="92"/>
        <v>0.2824194744592759</v>
      </c>
      <c r="AO6" s="32">
        <f t="shared" ca="1" si="93"/>
        <v>1.5130467583489311</v>
      </c>
      <c r="AP6" s="32">
        <f t="shared" ca="1" si="94"/>
        <v>4.5066063359521227</v>
      </c>
      <c r="AQ6" s="32">
        <f t="shared" ca="1" si="95"/>
        <v>9.9145339390946692</v>
      </c>
      <c r="AR6" s="32">
        <f t="shared" ca="1" si="96"/>
        <v>2.2533031679760613</v>
      </c>
      <c r="AS6" s="32">
        <f t="shared" ca="1" si="97"/>
        <v>6.3164310412548295</v>
      </c>
      <c r="AT6" s="32">
        <f t="shared" ca="1" si="98"/>
        <v>0.90234749508805923</v>
      </c>
      <c r="AU6" s="32">
        <f t="shared" ca="1" si="99"/>
        <v>1.2985024312369333</v>
      </c>
      <c r="AV6" s="32">
        <f t="shared" ca="1" si="100"/>
        <v>0.45117374754402961</v>
      </c>
      <c r="AW6" s="32">
        <f t="shared" ca="1" si="101"/>
        <v>3.1546244351664861</v>
      </c>
      <c r="AX6" s="32">
        <f t="shared" ca="1" si="102"/>
        <v>6.676453831040182</v>
      </c>
      <c r="AY6" s="32">
        <f t="shared" ca="1" si="103"/>
        <v>1.577312217583243</v>
      </c>
      <c r="AZ6" s="32">
        <f t="shared" ca="1" si="104"/>
        <v>6.6911345776004554</v>
      </c>
      <c r="BA6" s="32">
        <f t="shared" ca="1" si="105"/>
        <v>1.7561070481329153</v>
      </c>
      <c r="BB6" s="32">
        <f t="shared" ca="1" si="106"/>
        <v>2.9320651522578509</v>
      </c>
      <c r="BC6" s="32">
        <f t="shared" ca="1" si="107"/>
        <v>0.87805352406645765</v>
      </c>
      <c r="BD6" s="32">
        <f t="shared" ca="1" si="108"/>
        <v>4.8571201620817321</v>
      </c>
      <c r="BE6" s="32">
        <f t="shared" ca="1" si="109"/>
        <v>5.8085148330049581</v>
      </c>
      <c r="BF6" s="32">
        <f t="shared" ca="1" si="110"/>
        <v>5.894889562866001</v>
      </c>
      <c r="BG6" s="32">
        <f t="shared" ca="1" si="111"/>
        <v>7.1751686394868042</v>
      </c>
      <c r="BH6" s="32">
        <f t="shared" ca="1" si="112"/>
        <v>1.6728134332017097</v>
      </c>
      <c r="BI6" s="32">
        <f t="shared" ca="1" si="113"/>
        <v>8.0952002701362193</v>
      </c>
      <c r="BJ6" s="32">
        <f t="shared" ca="1" si="114"/>
        <v>4.4064595284865202</v>
      </c>
      <c r="BK6" s="32">
        <f t="shared" ca="1" si="115"/>
        <v>2.5493222740657737</v>
      </c>
      <c r="BL6" s="32">
        <f t="shared" ca="1" si="116"/>
        <v>7.2443016208227977</v>
      </c>
      <c r="BM6" s="32">
        <f t="shared" ca="1" si="117"/>
        <v>0.36093899803522367</v>
      </c>
      <c r="BN6" s="32">
        <f t="shared" ca="1" si="118"/>
        <v>3.0044042239680815</v>
      </c>
      <c r="BO6" s="32">
        <f t="shared" ca="1" si="119"/>
        <v>1.1349971512768311</v>
      </c>
      <c r="BP6" s="32">
        <f t="shared" ca="1" si="120"/>
        <v>2.0407960461681389</v>
      </c>
      <c r="BQ6" s="32">
        <f t="shared" ca="1" si="121"/>
        <v>10.676299066794185</v>
      </c>
      <c r="BR6" s="32">
        <f t="shared" ca="1" si="122"/>
        <v>0.93705316797606153</v>
      </c>
      <c r="BS6" s="32">
        <f t="shared" ca="1" si="123"/>
        <v>4.7402822200385284</v>
      </c>
      <c r="BT6" s="32">
        <f t="shared" ca="1" si="124"/>
        <v>4.0726368369345112</v>
      </c>
      <c r="BU6" s="32">
        <f t="shared" ca="1" si="125"/>
        <v>4.2221059184658873</v>
      </c>
      <c r="BV6" s="32">
        <f t="shared" ca="1" si="126"/>
        <v>7.4408154469524064</v>
      </c>
      <c r="BW6" s="32">
        <f t="shared" ca="1" si="127"/>
        <v>1.0272879174848673</v>
      </c>
      <c r="BX6" s="32">
        <f t="shared" ca="1" si="128"/>
        <v>2.7166006385057853</v>
      </c>
      <c r="BY6" s="32">
        <f t="shared" ca="1" si="129"/>
        <v>3.328581114929837</v>
      </c>
      <c r="BZ6" s="32">
        <f t="shared" ca="1" si="130"/>
        <v>5.3379675343781123</v>
      </c>
      <c r="CA6" s="32">
        <f t="shared" ca="1" si="131"/>
        <v>3.328581114929837</v>
      </c>
      <c r="CB6" s="32">
        <f t="shared" ca="1" si="132"/>
        <v>3.6060768418450833</v>
      </c>
      <c r="CC6" s="32">
        <f t="shared" ca="1" si="133"/>
        <v>5.2524132367350225</v>
      </c>
      <c r="CD6" s="32">
        <f t="shared" ca="1" si="134"/>
        <v>3.6060768418450833</v>
      </c>
      <c r="CE6" s="32">
        <f t="shared" ca="1" si="135"/>
        <v>1.6727836444001138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31</v>
      </c>
      <c r="D7" s="130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6">
        <f ca="1">Plantilla!N8</f>
        <v>0.97119420690995484</v>
      </c>
      <c r="J7" s="34">
        <f>Plantilla!I8</f>
        <v>4</v>
      </c>
      <c r="K7" s="41">
        <f>Plantilla!X8</f>
        <v>0</v>
      </c>
      <c r="L7" s="41">
        <f>Plantilla!Y8</f>
        <v>13.166666666666666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4.552083333333333</v>
      </c>
      <c r="S7" s="41">
        <f t="shared" si="71"/>
        <v>0.21000000000000002</v>
      </c>
      <c r="T7" s="41">
        <f t="shared" si="72"/>
        <v>0.58666666666666667</v>
      </c>
      <c r="U7" s="41">
        <f t="shared" ca="1" si="73"/>
        <v>3.1895621766248565</v>
      </c>
      <c r="V7" s="41">
        <f t="shared" ca="1" si="74"/>
        <v>3.4910774326144587</v>
      </c>
      <c r="W7" s="32">
        <f t="shared" ca="1" si="75"/>
        <v>5.1826503725381388</v>
      </c>
      <c r="X7" s="32">
        <f t="shared" ca="1" si="76"/>
        <v>7.885990986193284</v>
      </c>
      <c r="Y7" s="32">
        <f t="shared" ca="1" si="77"/>
        <v>5.1826503725381388</v>
      </c>
      <c r="Z7" s="32">
        <f t="shared" ca="1" si="78"/>
        <v>7.7093534847991751</v>
      </c>
      <c r="AA7" s="32">
        <f t="shared" ca="1" si="79"/>
        <v>14.940607528680571</v>
      </c>
      <c r="AB7" s="32">
        <f t="shared" ca="1" si="80"/>
        <v>3.8546767423995876</v>
      </c>
      <c r="AC7" s="32">
        <f t="shared" ca="1" si="81"/>
        <v>1.1361979251593093</v>
      </c>
      <c r="AD7" s="32">
        <f t="shared" ca="1" si="82"/>
        <v>5.6475496458412557</v>
      </c>
      <c r="AE7" s="32">
        <f t="shared" ca="1" si="83"/>
        <v>10.802059243236053</v>
      </c>
      <c r="AF7" s="32">
        <f t="shared" ca="1" si="84"/>
        <v>2.8237748229206279</v>
      </c>
      <c r="AG7" s="32">
        <f t="shared" ca="1" si="85"/>
        <v>1.8379672318753533</v>
      </c>
      <c r="AH7" s="32">
        <f t="shared" ca="1" si="86"/>
        <v>13.745358926386126</v>
      </c>
      <c r="AI7" s="32">
        <f t="shared" ca="1" si="87"/>
        <v>6.1854115168737565</v>
      </c>
      <c r="AJ7" s="32">
        <f t="shared" ca="1" si="88"/>
        <v>0.79724812395632205</v>
      </c>
      <c r="AK7" s="32">
        <f t="shared" ca="1" si="89"/>
        <v>5.2766772268641757</v>
      </c>
      <c r="AL7" s="32">
        <f t="shared" ca="1" si="90"/>
        <v>11.265218076625152</v>
      </c>
      <c r="AM7" s="32">
        <f t="shared" ca="1" si="91"/>
        <v>10.577950130305844</v>
      </c>
      <c r="AN7" s="32">
        <f t="shared" ca="1" si="92"/>
        <v>0.63024812395632202</v>
      </c>
      <c r="AO7" s="32">
        <f t="shared" ca="1" si="93"/>
        <v>1.8218949682600043</v>
      </c>
      <c r="AP7" s="32">
        <f t="shared" ca="1" si="94"/>
        <v>4.0339640327437545</v>
      </c>
      <c r="AQ7" s="32">
        <f t="shared" ca="1" si="95"/>
        <v>8.8747208720362583</v>
      </c>
      <c r="AR7" s="32">
        <f t="shared" ca="1" si="96"/>
        <v>2.0169820163718772</v>
      </c>
      <c r="AS7" s="32">
        <f t="shared" ca="1" si="97"/>
        <v>4.5066001737411252</v>
      </c>
      <c r="AT7" s="32">
        <f t="shared" ca="1" si="98"/>
        <v>1.5468623120618077</v>
      </c>
      <c r="AU7" s="32">
        <f t="shared" ca="1" si="99"/>
        <v>2.2537646725700737</v>
      </c>
      <c r="AV7" s="32">
        <f t="shared" ca="1" si="100"/>
        <v>0.77343115603090384</v>
      </c>
      <c r="AW7" s="32">
        <f t="shared" ca="1" si="101"/>
        <v>2.8237748229206279</v>
      </c>
      <c r="AX7" s="32">
        <f t="shared" ca="1" si="102"/>
        <v>5.9762430114722287</v>
      </c>
      <c r="AY7" s="32">
        <f t="shared" ca="1" si="103"/>
        <v>1.4118874114603139</v>
      </c>
      <c r="AZ7" s="32">
        <f t="shared" ca="1" si="104"/>
        <v>4.7739408620139043</v>
      </c>
      <c r="BA7" s="32">
        <f t="shared" ca="1" si="105"/>
        <v>3.010432038089518</v>
      </c>
      <c r="BB7" s="32">
        <f t="shared" ca="1" si="106"/>
        <v>5.0600664149696621</v>
      </c>
      <c r="BC7" s="32">
        <f t="shared" ca="1" si="107"/>
        <v>1.505216019044759</v>
      </c>
      <c r="BD7" s="32">
        <f t="shared" ca="1" si="108"/>
        <v>4.3477167908460457</v>
      </c>
      <c r="BE7" s="32">
        <f t="shared" ca="1" si="109"/>
        <v>5.1993314199808385</v>
      </c>
      <c r="BF7" s="32">
        <f t="shared" ca="1" si="110"/>
        <v>4.2058418994342501</v>
      </c>
      <c r="BG7" s="32">
        <f t="shared" ca="1" si="111"/>
        <v>8.899208426330361</v>
      </c>
      <c r="BH7" s="32">
        <f t="shared" ca="1" si="112"/>
        <v>2.8676447477453513</v>
      </c>
      <c r="BI7" s="32">
        <f t="shared" ca="1" si="113"/>
        <v>7.246194651410077</v>
      </c>
      <c r="BJ7" s="32">
        <f t="shared" ca="1" si="114"/>
        <v>3.944320387571671</v>
      </c>
      <c r="BK7" s="32">
        <f t="shared" ca="1" si="115"/>
        <v>1.8188714684272975</v>
      </c>
      <c r="BL7" s="32">
        <f t="shared" ca="1" si="116"/>
        <v>8.4311493134001534</v>
      </c>
      <c r="BM7" s="32">
        <f t="shared" ca="1" si="117"/>
        <v>0.6187449248247231</v>
      </c>
      <c r="BN7" s="32">
        <f t="shared" ca="1" si="118"/>
        <v>2.6893093551625027</v>
      </c>
      <c r="BO7" s="32">
        <f t="shared" ca="1" si="119"/>
        <v>1.0159613119502788</v>
      </c>
      <c r="BP7" s="32">
        <f t="shared" ca="1" si="120"/>
        <v>1.4560519629142408</v>
      </c>
      <c r="BQ7" s="32">
        <f t="shared" ca="1" si="121"/>
        <v>12.37703794854988</v>
      </c>
      <c r="BR7" s="32">
        <f t="shared" ca="1" si="122"/>
        <v>1.6063570163718772</v>
      </c>
      <c r="BS7" s="32">
        <f t="shared" ca="1" si="123"/>
        <v>4.2431325381452822</v>
      </c>
      <c r="BT7" s="32">
        <f t="shared" ca="1" si="124"/>
        <v>3.6455082369980594</v>
      </c>
      <c r="BU7" s="32">
        <f t="shared" ca="1" si="125"/>
        <v>3.0123566839307738</v>
      </c>
      <c r="BV7" s="32">
        <f t="shared" ca="1" si="126"/>
        <v>8.596202071502443</v>
      </c>
      <c r="BW7" s="32">
        <f t="shared" ca="1" si="127"/>
        <v>1.761043247578058</v>
      </c>
      <c r="BX7" s="32">
        <f t="shared" ca="1" si="128"/>
        <v>1.9382199899776453</v>
      </c>
      <c r="BY7" s="32">
        <f t="shared" ca="1" si="129"/>
        <v>4.8732731891092449</v>
      </c>
      <c r="BZ7" s="32">
        <f t="shared" ca="1" si="130"/>
        <v>9.2443324106276563</v>
      </c>
      <c r="CA7" s="32">
        <f t="shared" ca="1" si="131"/>
        <v>4.8732731891092449</v>
      </c>
      <c r="CB7" s="32">
        <f t="shared" ca="1" si="132"/>
        <v>4.9141151570346624</v>
      </c>
      <c r="CC7" s="32">
        <f t="shared" ca="1" si="133"/>
        <v>9.164650040097035</v>
      </c>
      <c r="CD7" s="32">
        <f t="shared" ca="1" si="134"/>
        <v>4.9141151570346624</v>
      </c>
      <c r="CE7" s="32">
        <f t="shared" ca="1" si="135"/>
        <v>1.1934852155034761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16</v>
      </c>
      <c r="D8" s="130">
        <f>Plantilla!G9</f>
        <v>0</v>
      </c>
      <c r="E8" s="28">
        <f>Plantilla!M9</f>
        <v>43419</v>
      </c>
      <c r="F8" s="42">
        <f>Plantilla!Q9</f>
        <v>5</v>
      </c>
      <c r="G8" s="43">
        <f t="shared" si="68"/>
        <v>0.84515425472851657</v>
      </c>
      <c r="H8" s="43">
        <f t="shared" si="69"/>
        <v>0.92504826128926143</v>
      </c>
      <c r="I8" s="136">
        <f ca="1">Plantilla!N9</f>
        <v>0.90000220379067897</v>
      </c>
      <c r="J8" s="34">
        <f>Plantilla!I9</f>
        <v>4.7</v>
      </c>
      <c r="K8" s="41">
        <f>Plantilla!X9</f>
        <v>0</v>
      </c>
      <c r="L8" s="41">
        <f>Plantilla!Y9</f>
        <v>11.222222222222221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4.0634920634920633</v>
      </c>
      <c r="S8" s="41">
        <f t="shared" si="71"/>
        <v>0.22999999999999998</v>
      </c>
      <c r="T8" s="41">
        <f t="shared" si="72"/>
        <v>0.47888888888888886</v>
      </c>
      <c r="U8" s="41">
        <f t="shared" ca="1" si="73"/>
        <v>2.3631634321649755</v>
      </c>
      <c r="V8" s="41">
        <f t="shared" ca="1" si="74"/>
        <v>2.5865576749285624</v>
      </c>
      <c r="W8" s="32">
        <f t="shared" ca="1" si="75"/>
        <v>4.6653571638797713</v>
      </c>
      <c r="X8" s="32">
        <f t="shared" ca="1" si="76"/>
        <v>7.0882517356648931</v>
      </c>
      <c r="Y8" s="32">
        <f t="shared" ca="1" si="77"/>
        <v>4.6653571638797713</v>
      </c>
      <c r="Z8" s="32">
        <f t="shared" ca="1" si="78"/>
        <v>6.7174711300824308</v>
      </c>
      <c r="AA8" s="32">
        <f t="shared" ca="1" si="79"/>
        <v>13.018354903260525</v>
      </c>
      <c r="AB8" s="32">
        <f t="shared" ca="1" si="80"/>
        <v>3.3587355650412154</v>
      </c>
      <c r="AC8" s="32">
        <f t="shared" ca="1" si="81"/>
        <v>3.0454795780871162</v>
      </c>
      <c r="AD8" s="32">
        <f t="shared" ca="1" si="82"/>
        <v>4.9209381534324788</v>
      </c>
      <c r="AE8" s="32">
        <f t="shared" ca="1" si="83"/>
        <v>9.4122705950573593</v>
      </c>
      <c r="AF8" s="32">
        <f t="shared" ca="1" si="84"/>
        <v>2.4604690767162394</v>
      </c>
      <c r="AG8" s="32">
        <f t="shared" ca="1" si="85"/>
        <v>4.9265110821997471</v>
      </c>
      <c r="AH8" s="32">
        <f t="shared" ca="1" si="86"/>
        <v>11.976886510999684</v>
      </c>
      <c r="AI8" s="32">
        <f t="shared" ca="1" si="87"/>
        <v>5.389598929949857</v>
      </c>
      <c r="AJ8" s="32">
        <f t="shared" ca="1" si="88"/>
        <v>2.1369541577333968</v>
      </c>
      <c r="AK8" s="32">
        <f t="shared" ca="1" si="89"/>
        <v>3.4081260164505216</v>
      </c>
      <c r="AL8" s="32">
        <f t="shared" ca="1" si="90"/>
        <v>9.8158395970584351</v>
      </c>
      <c r="AM8" s="32">
        <f t="shared" ca="1" si="91"/>
        <v>9.2169952715084502</v>
      </c>
      <c r="AN8" s="32">
        <f t="shared" ca="1" si="92"/>
        <v>0.46695415773339649</v>
      </c>
      <c r="AO8" s="32">
        <f t="shared" ca="1" si="93"/>
        <v>1.6875719264247451</v>
      </c>
      <c r="AP8" s="32">
        <f t="shared" ca="1" si="94"/>
        <v>3.5149558238803418</v>
      </c>
      <c r="AQ8" s="32">
        <f t="shared" ca="1" si="95"/>
        <v>7.7329028125367509</v>
      </c>
      <c r="AR8" s="32">
        <f t="shared" ca="1" si="96"/>
        <v>1.7574779119401709</v>
      </c>
      <c r="AS8" s="32">
        <f t="shared" ca="1" si="97"/>
        <v>12.079549250900158</v>
      </c>
      <c r="AT8" s="32">
        <f t="shared" ca="1" si="98"/>
        <v>1.4220686771064079</v>
      </c>
      <c r="AU8" s="32">
        <f t="shared" ca="1" si="99"/>
        <v>2.3154097326870797</v>
      </c>
      <c r="AV8" s="32">
        <f t="shared" ca="1" si="100"/>
        <v>0.71103433855320397</v>
      </c>
      <c r="AW8" s="32">
        <f t="shared" ca="1" si="101"/>
        <v>2.4604690767162394</v>
      </c>
      <c r="AX8" s="32">
        <f t="shared" ca="1" si="102"/>
        <v>5.20734196130421</v>
      </c>
      <c r="AY8" s="32">
        <f t="shared" ca="1" si="103"/>
        <v>1.2302345383581197</v>
      </c>
      <c r="AZ8" s="32">
        <f t="shared" ca="1" si="104"/>
        <v>12.796132681038303</v>
      </c>
      <c r="BA8" s="32">
        <f t="shared" ca="1" si="105"/>
        <v>2.7675644254455478</v>
      </c>
      <c r="BB8" s="32">
        <f t="shared" ca="1" si="106"/>
        <v>4.9473833929663904</v>
      </c>
      <c r="BC8" s="32">
        <f t="shared" ca="1" si="107"/>
        <v>1.3837822127227739</v>
      </c>
      <c r="BD8" s="32">
        <f t="shared" ca="1" si="108"/>
        <v>3.7883412768488123</v>
      </c>
      <c r="BE8" s="32">
        <f t="shared" ca="1" si="109"/>
        <v>4.5303875063346624</v>
      </c>
      <c r="BF8" s="32">
        <f t="shared" ca="1" si="110"/>
        <v>11.273392891994746</v>
      </c>
      <c r="BG8" s="32">
        <f t="shared" ca="1" si="111"/>
        <v>6.7727619534430499</v>
      </c>
      <c r="BH8" s="32">
        <f t="shared" ca="1" si="112"/>
        <v>2.6362965475588025</v>
      </c>
      <c r="BI8" s="32">
        <f t="shared" ca="1" si="113"/>
        <v>6.3139021280813541</v>
      </c>
      <c r="BJ8" s="32">
        <f t="shared" ca="1" si="114"/>
        <v>3.4368456944607786</v>
      </c>
      <c r="BK8" s="32">
        <f t="shared" ca="1" si="115"/>
        <v>4.8753265514755935</v>
      </c>
      <c r="BL8" s="32">
        <f t="shared" ca="1" si="116"/>
        <v>6.0995342489417617</v>
      </c>
      <c r="BM8" s="32">
        <f t="shared" ca="1" si="117"/>
        <v>0.56882747084256313</v>
      </c>
      <c r="BN8" s="32">
        <f t="shared" ca="1" si="118"/>
        <v>2.3433038825868944</v>
      </c>
      <c r="BO8" s="32">
        <f t="shared" ca="1" si="119"/>
        <v>0.88524813342171571</v>
      </c>
      <c r="BP8" s="32">
        <f t="shared" ca="1" si="120"/>
        <v>3.9028204677166825</v>
      </c>
      <c r="BQ8" s="32">
        <f t="shared" ca="1" si="121"/>
        <v>8.9246837706723987</v>
      </c>
      <c r="BR8" s="32">
        <f t="shared" ca="1" si="122"/>
        <v>1.4767636262258852</v>
      </c>
      <c r="BS8" s="32">
        <f t="shared" ca="1" si="123"/>
        <v>3.6972127925259888</v>
      </c>
      <c r="BT8" s="32">
        <f t="shared" ca="1" si="124"/>
        <v>3.176478596395568</v>
      </c>
      <c r="BU8" s="32">
        <f t="shared" ca="1" si="125"/>
        <v>8.0743597217351688</v>
      </c>
      <c r="BV8" s="32">
        <f t="shared" ca="1" si="126"/>
        <v>6.1801101781007093</v>
      </c>
      <c r="BW8" s="32">
        <f t="shared" ca="1" si="127"/>
        <v>1.6189704939365259</v>
      </c>
      <c r="BX8" s="32">
        <f t="shared" ca="1" si="128"/>
        <v>5.195229868501551</v>
      </c>
      <c r="BY8" s="32">
        <f t="shared" ca="1" si="129"/>
        <v>4.3054994125352408</v>
      </c>
      <c r="BZ8" s="32">
        <f t="shared" ca="1" si="130"/>
        <v>9.3190168274205583</v>
      </c>
      <c r="CA8" s="32">
        <f t="shared" ca="1" si="131"/>
        <v>4.3054994125352408</v>
      </c>
      <c r="CB8" s="32">
        <f t="shared" ca="1" si="132"/>
        <v>4.3412763745725762</v>
      </c>
      <c r="CC8" s="32">
        <f t="shared" ca="1" si="133"/>
        <v>9.8326199260557203</v>
      </c>
      <c r="CD8" s="32">
        <f t="shared" ca="1" si="134"/>
        <v>4.3412763745725762</v>
      </c>
      <c r="CE8" s="32">
        <f t="shared" ca="1" si="135"/>
        <v>3.1990331702595758</v>
      </c>
    </row>
    <row r="9" spans="1:83" x14ac:dyDescent="0.25">
      <c r="A9">
        <f>Plantilla!D10</f>
        <v>0</v>
      </c>
      <c r="B9">
        <f>Plantilla!E10</f>
        <v>22</v>
      </c>
      <c r="C9" s="30">
        <f ca="1">Plantilla!F10</f>
        <v>104</v>
      </c>
      <c r="D9" s="130">
        <f>Plantilla!G10</f>
        <v>0</v>
      </c>
      <c r="E9" s="28">
        <f>Plantilla!M10</f>
        <v>43703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36">
        <f ca="1">Plantilla!N10</f>
        <v>2.4162555382234736E-2</v>
      </c>
      <c r="J9" s="34">
        <f>Plantilla!I10</f>
        <v>4</v>
      </c>
      <c r="K9" s="41">
        <f>Plantilla!X10</f>
        <v>0</v>
      </c>
      <c r="L9" s="41">
        <f>Plantilla!Y10</f>
        <v>13</v>
      </c>
      <c r="M9" s="41">
        <f>Plantilla!Z10</f>
        <v>0</v>
      </c>
      <c r="N9" s="41">
        <f>Plantilla!AA10</f>
        <v>0</v>
      </c>
      <c r="O9" s="41">
        <f>Plantilla!AB10</f>
        <v>10</v>
      </c>
      <c r="P9" s="41">
        <f>Plantilla!AC10</f>
        <v>0</v>
      </c>
      <c r="Q9" s="41">
        <f>Plantilla!AD10</f>
        <v>0</v>
      </c>
      <c r="R9" s="41">
        <f t="shared" si="70"/>
        <v>4.5</v>
      </c>
      <c r="S9" s="41">
        <f t="shared" si="71"/>
        <v>0</v>
      </c>
      <c r="T9" s="41">
        <f t="shared" si="72"/>
        <v>0.52</v>
      </c>
      <c r="U9" s="41">
        <f t="shared" ca="1" si="73"/>
        <v>0.69886583751659737</v>
      </c>
      <c r="V9" s="41">
        <f t="shared" ca="1" si="74"/>
        <v>0.764930927404321</v>
      </c>
      <c r="W9" s="32">
        <f t="shared" ca="1" si="75"/>
        <v>4.3098917407544395</v>
      </c>
      <c r="X9" s="32">
        <f t="shared" ca="1" si="76"/>
        <v>6.5925397907376651</v>
      </c>
      <c r="Y9" s="32">
        <f t="shared" ca="1" si="77"/>
        <v>4.3098917407544395</v>
      </c>
      <c r="Z9" s="32">
        <f t="shared" ca="1" si="78"/>
        <v>7.1346851526108717</v>
      </c>
      <c r="AA9" s="32">
        <f t="shared" ca="1" si="79"/>
        <v>13.826909210486185</v>
      </c>
      <c r="AB9" s="32">
        <f t="shared" ca="1" si="80"/>
        <v>3.5673425763054358</v>
      </c>
      <c r="AC9" s="32">
        <f t="shared" ca="1" si="81"/>
        <v>0.19680439209571193</v>
      </c>
      <c r="AD9" s="32">
        <f t="shared" ca="1" si="82"/>
        <v>5.2265716815637777</v>
      </c>
      <c r="AE9" s="32">
        <f t="shared" ca="1" si="83"/>
        <v>9.9968553591815112</v>
      </c>
      <c r="AF9" s="32">
        <f t="shared" ca="1" si="84"/>
        <v>2.6132858407818889</v>
      </c>
      <c r="AG9" s="32">
        <f t="shared" ca="1" si="85"/>
        <v>0.3183600460371811</v>
      </c>
      <c r="AH9" s="32">
        <f t="shared" ca="1" si="86"/>
        <v>12.720756473647292</v>
      </c>
      <c r="AI9" s="32">
        <f t="shared" ca="1" si="87"/>
        <v>5.7243404131412801</v>
      </c>
      <c r="AJ9" s="32">
        <f t="shared" ca="1" si="88"/>
        <v>0.13809383815119283</v>
      </c>
      <c r="AK9" s="32">
        <f t="shared" ca="1" si="89"/>
        <v>0.4862226157658765</v>
      </c>
      <c r="AL9" s="32">
        <f t="shared" ca="1" si="90"/>
        <v>10.425489544706585</v>
      </c>
      <c r="AM9" s="32">
        <f t="shared" ca="1" si="91"/>
        <v>9.7894517210242196</v>
      </c>
      <c r="AN9" s="32">
        <f t="shared" ca="1" si="92"/>
        <v>0.13809383815119283</v>
      </c>
      <c r="AO9" s="32">
        <f t="shared" ca="1" si="93"/>
        <v>1.534149852620021</v>
      </c>
      <c r="AP9" s="32">
        <f t="shared" ca="1" si="94"/>
        <v>3.7332654868312702</v>
      </c>
      <c r="AQ9" s="32">
        <f t="shared" ca="1" si="95"/>
        <v>8.2131840710287936</v>
      </c>
      <c r="AR9" s="32">
        <f t="shared" ca="1" si="96"/>
        <v>1.8666327434156351</v>
      </c>
      <c r="AS9" s="32">
        <f t="shared" ca="1" si="97"/>
        <v>0.78060229469895825</v>
      </c>
      <c r="AT9" s="32">
        <f t="shared" ca="1" si="98"/>
        <v>1.4074981973632041</v>
      </c>
      <c r="AU9" s="32">
        <f t="shared" ca="1" si="99"/>
        <v>1.4422843986724521</v>
      </c>
      <c r="AV9" s="32">
        <f t="shared" ca="1" si="100"/>
        <v>0.70374909868160207</v>
      </c>
      <c r="AW9" s="32">
        <f t="shared" ca="1" si="101"/>
        <v>2.6132858407818889</v>
      </c>
      <c r="AX9" s="32">
        <f t="shared" ca="1" si="102"/>
        <v>5.5307636841944747</v>
      </c>
      <c r="AY9" s="32">
        <f t="shared" ca="1" si="103"/>
        <v>1.3066429203909444</v>
      </c>
      <c r="AZ9" s="32">
        <f t="shared" ca="1" si="104"/>
        <v>0.8269092104861846</v>
      </c>
      <c r="BA9" s="32">
        <f t="shared" ca="1" si="105"/>
        <v>2.7392080302530051</v>
      </c>
      <c r="BB9" s="32">
        <f t="shared" ca="1" si="106"/>
        <v>3.865626974977888</v>
      </c>
      <c r="BC9" s="32">
        <f t="shared" ca="1" si="107"/>
        <v>1.3696040151265025</v>
      </c>
      <c r="BD9" s="32">
        <f t="shared" ca="1" si="108"/>
        <v>4.0236305802514796</v>
      </c>
      <c r="BE9" s="32">
        <f t="shared" ca="1" si="109"/>
        <v>4.8117644052491926</v>
      </c>
      <c r="BF9" s="32">
        <f t="shared" ca="1" si="110"/>
        <v>0.72850701443832866</v>
      </c>
      <c r="BG9" s="32">
        <f t="shared" ca="1" si="111"/>
        <v>3.8851222881222185</v>
      </c>
      <c r="BH9" s="32">
        <f t="shared" ca="1" si="112"/>
        <v>2.6092851197271707</v>
      </c>
      <c r="BI9" s="32">
        <f t="shared" ca="1" si="113"/>
        <v>6.7060509670858002</v>
      </c>
      <c r="BJ9" s="32">
        <f t="shared" ca="1" si="114"/>
        <v>3.650304031568353</v>
      </c>
      <c r="BK9" s="32">
        <f t="shared" ca="1" si="115"/>
        <v>0.31505240919523636</v>
      </c>
      <c r="BL9" s="32">
        <f t="shared" ca="1" si="116"/>
        <v>2.7327186499649256</v>
      </c>
      <c r="BM9" s="32">
        <f t="shared" ca="1" si="117"/>
        <v>0.56299927894528157</v>
      </c>
      <c r="BN9" s="32">
        <f t="shared" ca="1" si="118"/>
        <v>2.4888436578875135</v>
      </c>
      <c r="BO9" s="32">
        <f t="shared" ca="1" si="119"/>
        <v>0.94022982631306073</v>
      </c>
      <c r="BP9" s="32">
        <f t="shared" ca="1" si="120"/>
        <v>0.25220730919828632</v>
      </c>
      <c r="BQ9" s="32">
        <f t="shared" ca="1" si="121"/>
        <v>3.9234052446852332</v>
      </c>
      <c r="BR9" s="32">
        <f t="shared" ca="1" si="122"/>
        <v>1.4616327434156351</v>
      </c>
      <c r="BS9" s="32">
        <f t="shared" ca="1" si="123"/>
        <v>3.9268422157780765</v>
      </c>
      <c r="BT9" s="32">
        <f t="shared" ca="1" si="124"/>
        <v>3.3737658473586292</v>
      </c>
      <c r="BU9" s="32">
        <f t="shared" ca="1" si="125"/>
        <v>0.52177971181678251</v>
      </c>
      <c r="BV9" s="32">
        <f t="shared" ca="1" si="126"/>
        <v>2.6700837433851357</v>
      </c>
      <c r="BW9" s="32">
        <f t="shared" ca="1" si="127"/>
        <v>1.6023825631519553</v>
      </c>
      <c r="BX9" s="32">
        <f t="shared" ca="1" si="128"/>
        <v>0.33572513945739096</v>
      </c>
      <c r="BY9" s="32">
        <f t="shared" ca="1" si="129"/>
        <v>2.9308196986633024</v>
      </c>
      <c r="BZ9" s="32">
        <f t="shared" ca="1" si="130"/>
        <v>6.3610997710074448</v>
      </c>
      <c r="CA9" s="32">
        <f t="shared" ca="1" si="131"/>
        <v>2.9308196986633024</v>
      </c>
      <c r="CB9" s="32">
        <f t="shared" ca="1" si="132"/>
        <v>1.935164438132893</v>
      </c>
      <c r="CC9" s="32">
        <f t="shared" ca="1" si="133"/>
        <v>4.8220387091555867</v>
      </c>
      <c r="CD9" s="32">
        <f t="shared" ca="1" si="134"/>
        <v>1.935164438132893</v>
      </c>
      <c r="CE9" s="32">
        <f t="shared" ca="1" si="135"/>
        <v>0.20672730262154615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108</v>
      </c>
      <c r="D10" s="130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6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12.5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3.0625</v>
      </c>
      <c r="S10" s="41">
        <f t="shared" si="71"/>
        <v>0.44000000000000006</v>
      </c>
      <c r="T10" s="41">
        <f t="shared" si="72"/>
        <v>0.59000000000000008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5.0719789154299226</v>
      </c>
      <c r="X10" s="32">
        <f t="shared" ca="1" si="76"/>
        <v>7.7110965404582235</v>
      </c>
      <c r="Y10" s="32">
        <f t="shared" ca="1" si="77"/>
        <v>5.0719789154299226</v>
      </c>
      <c r="Z10" s="32">
        <f t="shared" ca="1" si="78"/>
        <v>7.4086954414224975</v>
      </c>
      <c r="AA10" s="32">
        <f t="shared" ca="1" si="79"/>
        <v>14.357936901981583</v>
      </c>
      <c r="AB10" s="32">
        <f t="shared" ca="1" si="80"/>
        <v>3.7043477207112487</v>
      </c>
      <c r="AC10" s="32">
        <f t="shared" ca="1" si="81"/>
        <v>1.3941889826716167</v>
      </c>
      <c r="AD10" s="32">
        <f t="shared" ca="1" si="82"/>
        <v>5.4273001489490387</v>
      </c>
      <c r="AE10" s="32">
        <f t="shared" ca="1" si="83"/>
        <v>10.380788380132683</v>
      </c>
      <c r="AF10" s="32">
        <f t="shared" ca="1" si="84"/>
        <v>2.7136500744745193</v>
      </c>
      <c r="AG10" s="32">
        <f t="shared" ca="1" si="85"/>
        <v>2.2553057072629095</v>
      </c>
      <c r="AH10" s="32">
        <f t="shared" ca="1" si="86"/>
        <v>13.209301949823057</v>
      </c>
      <c r="AI10" s="32">
        <f t="shared" ca="1" si="87"/>
        <v>5.9441858774203755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10.825884424094113</v>
      </c>
      <c r="AM10" s="32">
        <f t="shared" ca="1" si="91"/>
        <v>10.16541932660296</v>
      </c>
      <c r="AN10" s="32">
        <f t="shared" ca="1" si="92"/>
        <v>0.81127546263092443</v>
      </c>
      <c r="AO10" s="32">
        <f t="shared" ca="1" si="93"/>
        <v>1.4170858277706959</v>
      </c>
      <c r="AP10" s="32">
        <f t="shared" ca="1" si="94"/>
        <v>3.8766429635350277</v>
      </c>
      <c r="AQ10" s="32">
        <f t="shared" ca="1" si="95"/>
        <v>8.5286145197770598</v>
      </c>
      <c r="AR10" s="32">
        <f t="shared" ca="1" si="96"/>
        <v>1.9383214817675138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2.7136500744745193</v>
      </c>
      <c r="AX10" s="32">
        <f t="shared" ca="1" si="102"/>
        <v>5.743174760792634</v>
      </c>
      <c r="AY10" s="32">
        <f t="shared" ca="1" si="103"/>
        <v>1.3568250372372597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4.1781596384766404</v>
      </c>
      <c r="BE10" s="32">
        <f t="shared" ca="1" si="109"/>
        <v>4.9965620418895904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6.9635993974610679</v>
      </c>
      <c r="BJ10" s="32">
        <f t="shared" ca="1" si="114"/>
        <v>3.7904953421231382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2.5844286423566847</v>
      </c>
      <c r="BO10" s="32">
        <f t="shared" ca="1" si="119"/>
        <v>0.97633970933474779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4.0776540801627696</v>
      </c>
      <c r="BT10" s="32">
        <f t="shared" ca="1" si="124"/>
        <v>3.5033366040835063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69</v>
      </c>
      <c r="D11" s="130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36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11.666666666666666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3.645833333333333</v>
      </c>
      <c r="S11" s="41">
        <f t="shared" si="71"/>
        <v>0.44000000000000006</v>
      </c>
      <c r="T11" s="41">
        <f t="shared" si="72"/>
        <v>0.55666666666666664</v>
      </c>
      <c r="U11" s="41">
        <f t="shared" ca="1" si="73"/>
        <v>4.1167041325929219</v>
      </c>
      <c r="V11" s="41">
        <f t="shared" ca="1" si="74"/>
        <v>4.5058638453174051</v>
      </c>
      <c r="W11" s="32">
        <f t="shared" ca="1" si="75"/>
        <v>4.8533393660345006</v>
      </c>
      <c r="X11" s="32">
        <f t="shared" ca="1" si="76"/>
        <v>7.373729807045291</v>
      </c>
      <c r="Y11" s="32">
        <f t="shared" ca="1" si="77"/>
        <v>4.8533393660345006</v>
      </c>
      <c r="Z11" s="32">
        <f t="shared" ca="1" si="78"/>
        <v>6.9854102094774362</v>
      </c>
      <c r="AA11" s="32">
        <f t="shared" ca="1" si="79"/>
        <v>13.537616685033791</v>
      </c>
      <c r="AB11" s="32">
        <f t="shared" ca="1" si="80"/>
        <v>3.4927051047387181</v>
      </c>
      <c r="AC11" s="32">
        <f t="shared" ca="1" si="81"/>
        <v>1.1592861043713758</v>
      </c>
      <c r="AD11" s="32">
        <f t="shared" ca="1" si="82"/>
        <v>5.1172191069427733</v>
      </c>
      <c r="AE11" s="32">
        <f t="shared" ca="1" si="83"/>
        <v>9.7876968632794306</v>
      </c>
      <c r="AF11" s="32">
        <f t="shared" ca="1" si="84"/>
        <v>2.5586095534713866</v>
      </c>
      <c r="AG11" s="32">
        <f t="shared" ca="1" si="85"/>
        <v>1.8753157570713432</v>
      </c>
      <c r="AH11" s="32">
        <f t="shared" ca="1" si="86"/>
        <v>12.454607350231088</v>
      </c>
      <c r="AI11" s="32">
        <f t="shared" ca="1" si="87"/>
        <v>5.6045733076039896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10.207362980515478</v>
      </c>
      <c r="AM11" s="32">
        <f t="shared" ca="1" si="91"/>
        <v>9.5846326130039241</v>
      </c>
      <c r="AN11" s="32">
        <f t="shared" ca="1" si="92"/>
        <v>0.81344865306730996</v>
      </c>
      <c r="AO11" s="32">
        <f t="shared" ca="1" si="93"/>
        <v>1.5888336052897318</v>
      </c>
      <c r="AP11" s="32">
        <f t="shared" ca="1" si="94"/>
        <v>3.6551565049591237</v>
      </c>
      <c r="AQ11" s="32">
        <f t="shared" ca="1" si="95"/>
        <v>8.0413443109100715</v>
      </c>
      <c r="AR11" s="32">
        <f t="shared" ca="1" si="96"/>
        <v>1.8275782524795618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2.5586095534713866</v>
      </c>
      <c r="AX11" s="32">
        <f t="shared" ca="1" si="102"/>
        <v>5.4150466740135172</v>
      </c>
      <c r="AY11" s="32">
        <f t="shared" ca="1" si="103"/>
        <v>1.2793047767356933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3.9394464553448332</v>
      </c>
      <c r="BE11" s="32">
        <f t="shared" ca="1" si="109"/>
        <v>4.7110906063917595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6.5657440922413883</v>
      </c>
      <c r="BJ11" s="32">
        <f t="shared" ca="1" si="114"/>
        <v>3.5739308048489211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2.4367710033060823</v>
      </c>
      <c r="BO11" s="32">
        <f t="shared" ca="1" si="119"/>
        <v>0.92055793458229784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3.8446831385495965</v>
      </c>
      <c r="BT11" s="32">
        <f t="shared" ca="1" si="124"/>
        <v>3.3031784711482448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108</v>
      </c>
      <c r="D12" s="130" t="str">
        <f>Plantilla!G13</f>
        <v>IMP</v>
      </c>
      <c r="E12" s="28">
        <f>Plantilla!M13</f>
        <v>43051</v>
      </c>
      <c r="F12" s="42">
        <f>Plantilla!Q13</f>
        <v>6</v>
      </c>
      <c r="G12" s="43">
        <f t="shared" si="68"/>
        <v>0.92582009977255142</v>
      </c>
      <c r="H12" s="43">
        <f t="shared" si="69"/>
        <v>0.99928545900129484</v>
      </c>
      <c r="I12" s="136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11.333333333333334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3.3416666666666668</v>
      </c>
      <c r="S12" s="41">
        <f t="shared" si="71"/>
        <v>0.45250000000000001</v>
      </c>
      <c r="T12" s="41">
        <f t="shared" si="72"/>
        <v>0.54333333333333333</v>
      </c>
      <c r="U12" s="41">
        <f t="shared" ca="1" si="73"/>
        <v>4.497575627281349</v>
      </c>
      <c r="V12" s="41">
        <f t="shared" ca="1" si="74"/>
        <v>4.8544657068959944</v>
      </c>
      <c r="W12" s="32">
        <f t="shared" ca="1" si="75"/>
        <v>4.7499789154299226</v>
      </c>
      <c r="X12" s="32">
        <f t="shared" ca="1" si="76"/>
        <v>7.2152632071248908</v>
      </c>
      <c r="Y12" s="32">
        <f t="shared" ca="1" si="77"/>
        <v>4.7499789154299226</v>
      </c>
      <c r="Z12" s="32">
        <f t="shared" ca="1" si="78"/>
        <v>6.8066954414224972</v>
      </c>
      <c r="AA12" s="32">
        <f t="shared" ca="1" si="79"/>
        <v>13.191270235314917</v>
      </c>
      <c r="AB12" s="32">
        <f t="shared" ca="1" si="80"/>
        <v>3.4033477207112486</v>
      </c>
      <c r="AC12" s="32">
        <f t="shared" ca="1" si="81"/>
        <v>1.1561889826716167</v>
      </c>
      <c r="AD12" s="32">
        <f t="shared" ca="1" si="82"/>
        <v>4.9863001489490388</v>
      </c>
      <c r="AE12" s="32">
        <f t="shared" ca="1" si="83"/>
        <v>9.5372883801326847</v>
      </c>
      <c r="AF12" s="32">
        <f t="shared" ca="1" si="84"/>
        <v>2.4931500744745194</v>
      </c>
      <c r="AG12" s="32">
        <f t="shared" ca="1" si="85"/>
        <v>1.8703057072629097</v>
      </c>
      <c r="AH12" s="32">
        <f t="shared" ca="1" si="86"/>
        <v>12.135968616489725</v>
      </c>
      <c r="AI12" s="32">
        <f t="shared" ca="1" si="87"/>
        <v>5.4611858774203759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9.9462177574274477</v>
      </c>
      <c r="AM12" s="32">
        <f t="shared" ca="1" si="91"/>
        <v>9.339419326602961</v>
      </c>
      <c r="AN12" s="32">
        <f t="shared" ca="1" si="92"/>
        <v>0.81127546263092443</v>
      </c>
      <c r="AO12" s="32">
        <f t="shared" ca="1" si="93"/>
        <v>1.4974858277706959</v>
      </c>
      <c r="AP12" s="32">
        <f t="shared" ca="1" si="94"/>
        <v>3.5616429635350277</v>
      </c>
      <c r="AQ12" s="32">
        <f t="shared" ca="1" si="95"/>
        <v>7.8356145197770601</v>
      </c>
      <c r="AR12" s="32">
        <f t="shared" ca="1" si="96"/>
        <v>1.7808214817675139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2.4931500744745194</v>
      </c>
      <c r="AX12" s="32">
        <f t="shared" ca="1" si="102"/>
        <v>5.2765080941259672</v>
      </c>
      <c r="AY12" s="32">
        <f t="shared" ca="1" si="103"/>
        <v>1.2465750372372597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3.8386596384766407</v>
      </c>
      <c r="BE12" s="32">
        <f t="shared" ca="1" si="109"/>
        <v>4.5905620418895907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6.397766064127735</v>
      </c>
      <c r="BJ12" s="32">
        <f t="shared" ca="1" si="114"/>
        <v>3.4824953421231384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2.3744286423566852</v>
      </c>
      <c r="BO12" s="32">
        <f t="shared" ca="1" si="119"/>
        <v>0.89700637600141442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3.7463207468294359</v>
      </c>
      <c r="BT12" s="32">
        <f t="shared" ca="1" si="124"/>
        <v>3.2186699374168399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104</v>
      </c>
      <c r="D13" s="130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10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3.1749999999999998</v>
      </c>
      <c r="S13" s="41">
        <f t="shared" si="71"/>
        <v>0.52500000000000002</v>
      </c>
      <c r="T13" s="41">
        <f t="shared" si="72"/>
        <v>0.55000000000000004</v>
      </c>
      <c r="U13" s="41">
        <f t="shared" si="73"/>
        <v>6.2811526198582861</v>
      </c>
      <c r="V13" s="41">
        <f t="shared" si="74"/>
        <v>6.8749216813193748</v>
      </c>
      <c r="W13" s="32">
        <f t="shared" si="75"/>
        <v>4.8831010850471257</v>
      </c>
      <c r="X13" s="32">
        <f t="shared" si="76"/>
        <v>7.3896603674637333</v>
      </c>
      <c r="Y13" s="32">
        <f t="shared" si="77"/>
        <v>4.8831010850471257</v>
      </c>
      <c r="Z13" s="32">
        <f t="shared" si="78"/>
        <v>6.4148913629831812</v>
      </c>
      <c r="AA13" s="32">
        <f t="shared" si="79"/>
        <v>12.431960005781358</v>
      </c>
      <c r="AB13" s="32">
        <f t="shared" si="80"/>
        <v>3.2074456814915906</v>
      </c>
      <c r="AC13" s="32">
        <f t="shared" si="81"/>
        <v>1.9354064813759633</v>
      </c>
      <c r="AD13" s="32">
        <f t="shared" si="82"/>
        <v>4.6992808821853531</v>
      </c>
      <c r="AE13" s="32">
        <f t="shared" si="83"/>
        <v>8.9883070841799206</v>
      </c>
      <c r="AF13" s="32">
        <f t="shared" si="84"/>
        <v>2.3496404410926766</v>
      </c>
      <c r="AG13" s="32">
        <f t="shared" si="85"/>
        <v>3.1308046022258234</v>
      </c>
      <c r="AH13" s="32">
        <f t="shared" si="86"/>
        <v>11.43740320531885</v>
      </c>
      <c r="AI13" s="32">
        <f t="shared" si="87"/>
        <v>5.1468314423934816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9.3736978443591443</v>
      </c>
      <c r="AM13" s="32">
        <f t="shared" si="91"/>
        <v>8.801827684093201</v>
      </c>
      <c r="AN13" s="32">
        <f t="shared" si="92"/>
        <v>1.241137320965487</v>
      </c>
      <c r="AO13" s="32">
        <f t="shared" si="93"/>
        <v>1.6148044816650311</v>
      </c>
      <c r="AP13" s="32">
        <f t="shared" si="94"/>
        <v>3.3566292015609669</v>
      </c>
      <c r="AQ13" s="32">
        <f t="shared" si="95"/>
        <v>7.3845842434341264</v>
      </c>
      <c r="AR13" s="32">
        <f t="shared" si="96"/>
        <v>1.6783146007804834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2.3496404410926766</v>
      </c>
      <c r="AX13" s="32">
        <f t="shared" si="102"/>
        <v>4.9727840023125438</v>
      </c>
      <c r="AY13" s="32">
        <f t="shared" si="103"/>
        <v>1.1748202205463383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3.6177003616823749</v>
      </c>
      <c r="BE13" s="32">
        <f t="shared" si="109"/>
        <v>4.3263220820119122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6.0295006028039584</v>
      </c>
      <c r="BJ13" s="32">
        <f t="shared" si="114"/>
        <v>3.2820374415262785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2.2377528010406444</v>
      </c>
      <c r="BO13" s="32">
        <f t="shared" si="119"/>
        <v>0.84537328039313242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3.5306766416419051</v>
      </c>
      <c r="BT13" s="32">
        <f t="shared" si="124"/>
        <v>3.0333982414106511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104</v>
      </c>
      <c r="D14" s="130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36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10.375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2.984375</v>
      </c>
      <c r="S14" s="41">
        <f t="shared" si="71"/>
        <v>0.48008333333333331</v>
      </c>
      <c r="T14" s="41">
        <f t="shared" si="72"/>
        <v>0.50500000000000012</v>
      </c>
      <c r="U14" s="41">
        <f t="shared" ca="1" si="73"/>
        <v>4.0944550995399194</v>
      </c>
      <c r="V14" s="41">
        <f t="shared" ca="1" si="74"/>
        <v>4.4815115697110324</v>
      </c>
      <c r="W14" s="32">
        <f t="shared" ca="1" si="75"/>
        <v>4.473857282294639</v>
      </c>
      <c r="X14" s="32">
        <f t="shared" ca="1" si="76"/>
        <v>6.790785368204328</v>
      </c>
      <c r="Y14" s="32">
        <f t="shared" ca="1" si="77"/>
        <v>4.473857282294639</v>
      </c>
      <c r="Z14" s="32">
        <f t="shared" ca="1" si="78"/>
        <v>6.3053262974387563</v>
      </c>
      <c r="AA14" s="32">
        <f t="shared" ca="1" si="79"/>
        <v>12.219624607439449</v>
      </c>
      <c r="AB14" s="32">
        <f t="shared" ca="1" si="80"/>
        <v>3.1526631487193781</v>
      </c>
      <c r="AC14" s="32">
        <f t="shared" ca="1" si="81"/>
        <v>1.6290206565705887</v>
      </c>
      <c r="AD14" s="32">
        <f t="shared" ca="1" si="82"/>
        <v>4.6190181016121121</v>
      </c>
      <c r="AE14" s="32">
        <f t="shared" ca="1" si="83"/>
        <v>8.8347885911787216</v>
      </c>
      <c r="AF14" s="32">
        <f t="shared" ca="1" si="84"/>
        <v>2.3095090508060561</v>
      </c>
      <c r="AG14" s="32">
        <f t="shared" ca="1" si="85"/>
        <v>2.635180473864188</v>
      </c>
      <c r="AH14" s="32">
        <f t="shared" ca="1" si="86"/>
        <v>11.242054638844294</v>
      </c>
      <c r="AI14" s="32">
        <f t="shared" ca="1" si="87"/>
        <v>5.0589245874799316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9.2135969540093452</v>
      </c>
      <c r="AM14" s="32">
        <f t="shared" ca="1" si="91"/>
        <v>8.6514942220671305</v>
      </c>
      <c r="AN14" s="32">
        <f t="shared" ca="1" si="92"/>
        <v>0.80905230944238793</v>
      </c>
      <c r="AO14" s="32">
        <f t="shared" ca="1" si="93"/>
        <v>1.390751886942561</v>
      </c>
      <c r="AP14" s="32">
        <f t="shared" ca="1" si="94"/>
        <v>3.2992986440086516</v>
      </c>
      <c r="AQ14" s="32">
        <f t="shared" ca="1" si="95"/>
        <v>7.2584570168190323</v>
      </c>
      <c r="AR14" s="32">
        <f t="shared" ca="1" si="96"/>
        <v>1.6496493220043258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2.3095090508060561</v>
      </c>
      <c r="AX14" s="32">
        <f t="shared" ca="1" si="102"/>
        <v>4.88784984297578</v>
      </c>
      <c r="AY14" s="32">
        <f t="shared" ca="1" si="103"/>
        <v>1.154754525403028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3.5559107607648794</v>
      </c>
      <c r="BE14" s="32">
        <f t="shared" ca="1" si="109"/>
        <v>4.2524293633889281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5.9265179346081327</v>
      </c>
      <c r="BJ14" s="32">
        <f t="shared" ca="1" si="114"/>
        <v>3.2259808963640149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2.1995324293391008</v>
      </c>
      <c r="BO14" s="32">
        <f t="shared" ca="1" si="119"/>
        <v>0.83093447330588266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3.4703733885128032</v>
      </c>
      <c r="BT14" s="32">
        <f t="shared" ca="1" si="124"/>
        <v>2.9815884042152256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73</v>
      </c>
      <c r="D15" s="130" t="str">
        <f>Plantilla!G16</f>
        <v>POT</v>
      </c>
      <c r="E15" s="28">
        <f>Plantilla!M16</f>
        <v>43591</v>
      </c>
      <c r="F15" s="42">
        <f>Plantilla!Q16</f>
        <v>6</v>
      </c>
      <c r="G15" s="43">
        <f t="shared" si="68"/>
        <v>0.92582009977255142</v>
      </c>
      <c r="H15" s="43">
        <f t="shared" si="69"/>
        <v>0.99928545900129484</v>
      </c>
      <c r="I15" s="136">
        <f ca="1">Plantilla!N16</f>
        <v>0.49786668509877713</v>
      </c>
      <c r="J15" s="34">
        <f>Plantilla!I16</f>
        <v>7.3</v>
      </c>
      <c r="K15" s="41">
        <f>Plantilla!X16</f>
        <v>0</v>
      </c>
      <c r="L15" s="41">
        <f>Plantilla!Y16</f>
        <v>9.1469135802469133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3.3040784832451497</v>
      </c>
      <c r="S15" s="41">
        <f t="shared" si="71"/>
        <v>0.86</v>
      </c>
      <c r="T15" s="41">
        <f t="shared" si="72"/>
        <v>0.87587654320987662</v>
      </c>
      <c r="U15" s="41">
        <f t="shared" ca="1" si="73"/>
        <v>17.265585555528482</v>
      </c>
      <c r="V15" s="41">
        <f t="shared" ca="1" si="74"/>
        <v>18.635638382684771</v>
      </c>
      <c r="W15" s="32">
        <f t="shared" ca="1" si="75"/>
        <v>3.9640935734195915</v>
      </c>
      <c r="X15" s="32">
        <f t="shared" ca="1" si="76"/>
        <v>6.0162505786214711</v>
      </c>
      <c r="Y15" s="32">
        <f t="shared" ca="1" si="77"/>
        <v>3.9640935734195915</v>
      </c>
      <c r="Z15" s="32">
        <f t="shared" ca="1" si="78"/>
        <v>5.5706727446812501</v>
      </c>
      <c r="AA15" s="32">
        <f t="shared" ca="1" si="79"/>
        <v>10.795877412172965</v>
      </c>
      <c r="AB15" s="32">
        <f t="shared" ca="1" si="80"/>
        <v>2.785336372340625</v>
      </c>
      <c r="AC15" s="32">
        <f t="shared" ca="1" si="81"/>
        <v>3.4864533919984</v>
      </c>
      <c r="AD15" s="32">
        <f t="shared" ca="1" si="82"/>
        <v>4.0808416618013812</v>
      </c>
      <c r="AE15" s="32">
        <f t="shared" ca="1" si="83"/>
        <v>7.8054193690010534</v>
      </c>
      <c r="AF15" s="32">
        <f t="shared" ca="1" si="84"/>
        <v>2.0404208309006906</v>
      </c>
      <c r="AG15" s="32">
        <f t="shared" ca="1" si="85"/>
        <v>5.6398510752915296</v>
      </c>
      <c r="AH15" s="32">
        <f t="shared" ca="1" si="86"/>
        <v>9.9322072191991282</v>
      </c>
      <c r="AI15" s="32">
        <f t="shared" ca="1" si="87"/>
        <v>4.4694932486396075</v>
      </c>
      <c r="AJ15" s="32">
        <f t="shared" ca="1" si="88"/>
        <v>2.4463769599316509</v>
      </c>
      <c r="AK15" s="32">
        <f t="shared" ca="1" si="89"/>
        <v>4.497590733172518</v>
      </c>
      <c r="AL15" s="32">
        <f t="shared" ca="1" si="90"/>
        <v>8.1400915687784163</v>
      </c>
      <c r="AM15" s="32">
        <f t="shared" ca="1" si="91"/>
        <v>7.6434812078184589</v>
      </c>
      <c r="AN15" s="32">
        <f t="shared" ca="1" si="92"/>
        <v>3.1143769599316511</v>
      </c>
      <c r="AO15" s="32">
        <f t="shared" ca="1" si="93"/>
        <v>1.4264761867693059</v>
      </c>
      <c r="AP15" s="32">
        <f t="shared" ca="1" si="94"/>
        <v>2.9148869012867009</v>
      </c>
      <c r="AQ15" s="32">
        <f t="shared" ca="1" si="95"/>
        <v>6.4127511828307409</v>
      </c>
      <c r="AR15" s="32">
        <f t="shared" ca="1" si="96"/>
        <v>1.4574434506433505</v>
      </c>
      <c r="AS15" s="32">
        <f t="shared" ca="1" si="97"/>
        <v>13.828621857338192</v>
      </c>
      <c r="AT15" s="32">
        <f t="shared" ca="1" si="98"/>
        <v>1.1429367267218153</v>
      </c>
      <c r="AU15" s="32">
        <f t="shared" ca="1" si="99"/>
        <v>2.5512892598971901</v>
      </c>
      <c r="AV15" s="32">
        <f t="shared" ca="1" si="100"/>
        <v>0.57146836336090767</v>
      </c>
      <c r="AW15" s="32">
        <f t="shared" ca="1" si="101"/>
        <v>2.0404208309006906</v>
      </c>
      <c r="AX15" s="32">
        <f t="shared" ca="1" si="102"/>
        <v>4.318350964869186</v>
      </c>
      <c r="AY15" s="32">
        <f t="shared" ca="1" si="103"/>
        <v>1.0202104154503453</v>
      </c>
      <c r="AZ15" s="32">
        <f t="shared" ca="1" si="104"/>
        <v>14.648963831926052</v>
      </c>
      <c r="BA15" s="32">
        <f t="shared" ca="1" si="105"/>
        <v>2.2243307066201483</v>
      </c>
      <c r="BB15" s="32">
        <f t="shared" ca="1" si="106"/>
        <v>4.81429335710554</v>
      </c>
      <c r="BC15" s="32">
        <f t="shared" ca="1" si="107"/>
        <v>1.1121653533100742</v>
      </c>
      <c r="BD15" s="32">
        <f t="shared" ca="1" si="108"/>
        <v>3.1416003269423327</v>
      </c>
      <c r="BE15" s="32">
        <f t="shared" ca="1" si="109"/>
        <v>3.7569653394361917</v>
      </c>
      <c r="BF15" s="32">
        <f t="shared" ca="1" si="110"/>
        <v>12.905737135926852</v>
      </c>
      <c r="BG15" s="32">
        <f t="shared" ca="1" si="111"/>
        <v>7.1599288465822593</v>
      </c>
      <c r="BH15" s="32">
        <f t="shared" ca="1" si="112"/>
        <v>2.1188288549227496</v>
      </c>
      <c r="BI15" s="32">
        <f t="shared" ca="1" si="113"/>
        <v>5.236000544903888</v>
      </c>
      <c r="BJ15" s="32">
        <f t="shared" ca="1" si="114"/>
        <v>2.8501116368136628</v>
      </c>
      <c r="BK15" s="32">
        <f t="shared" ca="1" si="115"/>
        <v>5.5812552199638255</v>
      </c>
      <c r="BL15" s="32">
        <f t="shared" ca="1" si="116"/>
        <v>6.9149086748176556</v>
      </c>
      <c r="BM15" s="32">
        <f t="shared" ca="1" si="117"/>
        <v>0.45717469068872607</v>
      </c>
      <c r="BN15" s="32">
        <f t="shared" ca="1" si="118"/>
        <v>1.9432579341911336</v>
      </c>
      <c r="BO15" s="32">
        <f t="shared" ca="1" si="119"/>
        <v>0.73411966402776163</v>
      </c>
      <c r="BP15" s="32">
        <f t="shared" ca="1" si="120"/>
        <v>4.4679339687374453</v>
      </c>
      <c r="BQ15" s="32">
        <f t="shared" ca="1" si="121"/>
        <v>10.163424630714045</v>
      </c>
      <c r="BR15" s="32">
        <f t="shared" ca="1" si="122"/>
        <v>1.1868958315957312</v>
      </c>
      <c r="BS15" s="32">
        <f t="shared" ca="1" si="123"/>
        <v>3.066029185057122</v>
      </c>
      <c r="BT15" s="32">
        <f t="shared" ca="1" si="124"/>
        <v>2.6341940885702035</v>
      </c>
      <c r="BU15" s="32">
        <f t="shared" ca="1" si="125"/>
        <v>9.2434961779453388</v>
      </c>
      <c r="BV15" s="32">
        <f t="shared" ca="1" si="126"/>
        <v>7.066394058145244</v>
      </c>
      <c r="BW15" s="32">
        <f t="shared" ca="1" si="127"/>
        <v>1.3011895042679127</v>
      </c>
      <c r="BX15" s="32">
        <f t="shared" ca="1" si="128"/>
        <v>5.9474793157619779</v>
      </c>
      <c r="BY15" s="32">
        <f t="shared" ca="1" si="129"/>
        <v>4.3978244421477584</v>
      </c>
      <c r="BZ15" s="32">
        <f t="shared" ca="1" si="130"/>
        <v>9.8163047033201636</v>
      </c>
      <c r="CA15" s="32">
        <f t="shared" ca="1" si="131"/>
        <v>4.3978244421477584</v>
      </c>
      <c r="CB15" s="32">
        <f t="shared" ca="1" si="132"/>
        <v>5.1875901815756444</v>
      </c>
      <c r="CC15" s="32">
        <f t="shared" ca="1" si="133"/>
        <v>11.89314577162105</v>
      </c>
      <c r="CD15" s="32">
        <f t="shared" ca="1" si="134"/>
        <v>5.1875901815756444</v>
      </c>
      <c r="CE15" s="32">
        <f t="shared" ca="1" si="135"/>
        <v>3.6622409579815129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78</v>
      </c>
      <c r="D16" s="130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6">
        <f ca="1">Plantilla!N17</f>
        <v>0.90806613967261018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12.813374386838912</v>
      </c>
      <c r="V16" s="41">
        <f t="shared" ca="1" si="74"/>
        <v>13.830136879349888</v>
      </c>
      <c r="W16" s="32">
        <f t="shared" ca="1" si="75"/>
        <v>3.2623428249813147</v>
      </c>
      <c r="X16" s="32">
        <f t="shared" ca="1" si="76"/>
        <v>4.9254737537810733</v>
      </c>
      <c r="Y16" s="32">
        <f t="shared" ca="1" si="77"/>
        <v>3.2623428249813147</v>
      </c>
      <c r="Z16" s="32">
        <f t="shared" ca="1" si="78"/>
        <v>4.0454534910542481</v>
      </c>
      <c r="AA16" s="32">
        <f t="shared" ca="1" si="79"/>
        <v>7.8400261454539688</v>
      </c>
      <c r="AB16" s="32">
        <f t="shared" ca="1" si="80"/>
        <v>2.0227267455271241</v>
      </c>
      <c r="AC16" s="32">
        <f t="shared" ca="1" si="81"/>
        <v>3.0559262226180439</v>
      </c>
      <c r="AD16" s="32">
        <f t="shared" ca="1" si="82"/>
        <v>2.9635298829816001</v>
      </c>
      <c r="AE16" s="32">
        <f t="shared" ca="1" si="83"/>
        <v>5.6683389031632192</v>
      </c>
      <c r="AF16" s="32">
        <f t="shared" ca="1" si="84"/>
        <v>1.4817649414908001</v>
      </c>
      <c r="AG16" s="32">
        <f t="shared" ca="1" si="85"/>
        <v>4.9434100659997773</v>
      </c>
      <c r="AH16" s="32">
        <f t="shared" ca="1" si="86"/>
        <v>7.212824053817652</v>
      </c>
      <c r="AI16" s="32">
        <f t="shared" ca="1" si="87"/>
        <v>3.2457708242179431</v>
      </c>
      <c r="AJ16" s="32">
        <f t="shared" ca="1" si="88"/>
        <v>2.1442843662908126</v>
      </c>
      <c r="AK16" s="32">
        <f t="shared" ca="1" si="89"/>
        <v>2.2579353735269336</v>
      </c>
      <c r="AL16" s="32">
        <f t="shared" ca="1" si="90"/>
        <v>5.9113797136722921</v>
      </c>
      <c r="AM16" s="32">
        <f t="shared" ca="1" si="91"/>
        <v>5.55073851098141</v>
      </c>
      <c r="AN16" s="32">
        <f t="shared" ca="1" si="92"/>
        <v>2.3112843662908125</v>
      </c>
      <c r="AO16" s="32">
        <f t="shared" ca="1" si="93"/>
        <v>1.1449275298907431</v>
      </c>
      <c r="AP16" s="32">
        <f t="shared" ca="1" si="94"/>
        <v>2.1168070592725718</v>
      </c>
      <c r="AQ16" s="32">
        <f t="shared" ca="1" si="95"/>
        <v>4.6569755303996576</v>
      </c>
      <c r="AR16" s="32">
        <f t="shared" ca="1" si="96"/>
        <v>1.0584035296362859</v>
      </c>
      <c r="AS16" s="32">
        <f t="shared" ca="1" si="97"/>
        <v>12.120984681308544</v>
      </c>
      <c r="AT16" s="32">
        <f t="shared" ca="1" si="98"/>
        <v>0.76462006557568263</v>
      </c>
      <c r="AU16" s="32">
        <f t="shared" ca="1" si="99"/>
        <v>1.889127660618013</v>
      </c>
      <c r="AV16" s="32">
        <f t="shared" ca="1" si="100"/>
        <v>0.38231003278784131</v>
      </c>
      <c r="AW16" s="32">
        <f t="shared" ca="1" si="101"/>
        <v>1.4817649414908001</v>
      </c>
      <c r="AX16" s="32">
        <f t="shared" ca="1" si="102"/>
        <v>3.1360104581815875</v>
      </c>
      <c r="AY16" s="32">
        <f t="shared" ca="1" si="103"/>
        <v>0.74088247074540003</v>
      </c>
      <c r="AZ16" s="32">
        <f t="shared" ca="1" si="104"/>
        <v>12.840026145453967</v>
      </c>
      <c r="BA16" s="32">
        <f t="shared" ca="1" si="105"/>
        <v>1.4880682814665209</v>
      </c>
      <c r="BB16" s="32">
        <f t="shared" ca="1" si="106"/>
        <v>3.4420627394784704</v>
      </c>
      <c r="BC16" s="32">
        <f t="shared" ca="1" si="107"/>
        <v>0.74403414073326046</v>
      </c>
      <c r="BD16" s="32">
        <f t="shared" ca="1" si="108"/>
        <v>2.2814476083271047</v>
      </c>
      <c r="BE16" s="32">
        <f t="shared" ca="1" si="109"/>
        <v>2.7283290986179809</v>
      </c>
      <c r="BF16" s="32">
        <f t="shared" ca="1" si="110"/>
        <v>11.312063034144945</v>
      </c>
      <c r="BG16" s="32">
        <f t="shared" ca="1" si="111"/>
        <v>4.0569082433085777</v>
      </c>
      <c r="BH16" s="32">
        <f t="shared" ca="1" si="112"/>
        <v>1.4174879677210732</v>
      </c>
      <c r="BI16" s="32">
        <f t="shared" ca="1" si="113"/>
        <v>3.8024126805451748</v>
      </c>
      <c r="BJ16" s="32">
        <f t="shared" ca="1" si="114"/>
        <v>2.0697669023998477</v>
      </c>
      <c r="BK16" s="32">
        <f t="shared" ca="1" si="115"/>
        <v>4.8920499614179613</v>
      </c>
      <c r="BL16" s="32">
        <f t="shared" ca="1" si="116"/>
        <v>3.7665578511267688</v>
      </c>
      <c r="BM16" s="32">
        <f t="shared" ca="1" si="117"/>
        <v>0.30584802623027307</v>
      </c>
      <c r="BN16" s="32">
        <f t="shared" ca="1" si="118"/>
        <v>1.4112047061817143</v>
      </c>
      <c r="BO16" s="32">
        <f t="shared" ca="1" si="119"/>
        <v>0.5331217778908699</v>
      </c>
      <c r="BP16" s="32">
        <f t="shared" ca="1" si="120"/>
        <v>3.9162079743634597</v>
      </c>
      <c r="BQ16" s="32">
        <f t="shared" ca="1" si="121"/>
        <v>5.52219028972047</v>
      </c>
      <c r="BR16" s="32">
        <f t="shared" ca="1" si="122"/>
        <v>0.7940285296362859</v>
      </c>
      <c r="BS16" s="32">
        <f t="shared" ca="1" si="123"/>
        <v>2.2265674253089269</v>
      </c>
      <c r="BT16" s="32">
        <f t="shared" ca="1" si="124"/>
        <v>1.9129663794907683</v>
      </c>
      <c r="BU16" s="32">
        <f t="shared" ca="1" si="125"/>
        <v>8.1020564977814526</v>
      </c>
      <c r="BV16" s="32">
        <f t="shared" ca="1" si="126"/>
        <v>3.8308650668479691</v>
      </c>
      <c r="BW16" s="32">
        <f t="shared" ca="1" si="127"/>
        <v>0.87049053619385408</v>
      </c>
      <c r="BX16" s="32">
        <f t="shared" ca="1" si="128"/>
        <v>5.2130506150543106</v>
      </c>
      <c r="BY16" s="32">
        <f t="shared" ca="1" si="129"/>
        <v>2.8920702884481844</v>
      </c>
      <c r="BZ16" s="32">
        <f t="shared" ca="1" si="130"/>
        <v>7.1814944397811686</v>
      </c>
      <c r="CA16" s="32">
        <f t="shared" ca="1" si="131"/>
        <v>2.8920702884481844</v>
      </c>
      <c r="CB16" s="32">
        <f t="shared" ca="1" si="132"/>
        <v>3.4622529552844892</v>
      </c>
      <c r="CC16" s="32">
        <f t="shared" ca="1" si="133"/>
        <v>9.0103707931264836</v>
      </c>
      <c r="CD16" s="32">
        <f t="shared" ca="1" si="134"/>
        <v>3.4622529552844892</v>
      </c>
      <c r="CE16" s="32">
        <f t="shared" ca="1" si="135"/>
        <v>3.2100065363634918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33</v>
      </c>
      <c r="D17" s="130" t="str">
        <f>Plantilla!G18</f>
        <v>IMP</v>
      </c>
      <c r="E17" s="28">
        <f>Plantilla!M18</f>
        <v>43045</v>
      </c>
      <c r="F17" s="42">
        <f>Plantilla!Q18</f>
        <v>3</v>
      </c>
      <c r="G17" s="43">
        <f t="shared" si="68"/>
        <v>0.65465367070797709</v>
      </c>
      <c r="H17" s="43">
        <f t="shared" si="69"/>
        <v>0.75498344352707503</v>
      </c>
      <c r="I17" s="136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2.9659651993635263</v>
      </c>
      <c r="V17" s="41">
        <f t="shared" ca="1" si="74"/>
        <v>3.4205179315275123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67</v>
      </c>
      <c r="D18" s="130" t="str">
        <f>Plantilla!G19</f>
        <v>IMP</v>
      </c>
      <c r="E18" s="28">
        <f>Plantilla!M19</f>
        <v>43687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Plantilla!N19</f>
        <v>0.14812561692891457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1.0688676242614643</v>
      </c>
      <c r="V18" s="41">
        <f t="shared" ca="1" si="74"/>
        <v>1.1938347049518403</v>
      </c>
      <c r="W18" s="32">
        <f t="shared" ca="1" si="75"/>
        <v>1.5104036313136209</v>
      </c>
      <c r="X18" s="32">
        <f t="shared" ca="1" si="76"/>
        <v>2.2504468362266716</v>
      </c>
      <c r="Y18" s="32">
        <f t="shared" ca="1" si="77"/>
        <v>1.5104036313136209</v>
      </c>
      <c r="Z18" s="32">
        <f t="shared" ca="1" si="78"/>
        <v>1.2456131429070199</v>
      </c>
      <c r="AA18" s="32">
        <f t="shared" ca="1" si="79"/>
        <v>2.4139789591221312</v>
      </c>
      <c r="AB18" s="32">
        <f t="shared" ca="1" si="80"/>
        <v>0.62280657145350993</v>
      </c>
      <c r="AC18" s="32">
        <f t="shared" ca="1" si="81"/>
        <v>1.7645269922710671</v>
      </c>
      <c r="AD18" s="32">
        <f t="shared" ca="1" si="82"/>
        <v>0.91248404654816562</v>
      </c>
      <c r="AE18" s="32">
        <f t="shared" ca="1" si="83"/>
        <v>1.7453067874453008</v>
      </c>
      <c r="AF18" s="32">
        <f t="shared" ca="1" si="84"/>
        <v>0.45624202327408281</v>
      </c>
      <c r="AG18" s="32">
        <f t="shared" ca="1" si="85"/>
        <v>2.8543818992620205</v>
      </c>
      <c r="AH18" s="32">
        <f t="shared" ca="1" si="86"/>
        <v>2.2208606423923607</v>
      </c>
      <c r="AI18" s="32">
        <f t="shared" ca="1" si="87"/>
        <v>0.99938728907656227</v>
      </c>
      <c r="AJ18" s="32">
        <f t="shared" ca="1" si="88"/>
        <v>1.2381344861733961</v>
      </c>
      <c r="AK18" s="32">
        <f t="shared" ca="1" si="89"/>
        <v>2.5954196279638131</v>
      </c>
      <c r="AL18" s="32">
        <f t="shared" ca="1" si="90"/>
        <v>1.820140135178087</v>
      </c>
      <c r="AM18" s="32">
        <f t="shared" ca="1" si="91"/>
        <v>1.7090971030584687</v>
      </c>
      <c r="AN18" s="32">
        <f t="shared" ca="1" si="92"/>
        <v>0.236134486173396</v>
      </c>
      <c r="AO18" s="32">
        <f t="shared" ca="1" si="93"/>
        <v>1.0552259402271738</v>
      </c>
      <c r="AP18" s="32">
        <f t="shared" ca="1" si="94"/>
        <v>0.65177431896297544</v>
      </c>
      <c r="AQ18" s="32">
        <f t="shared" ca="1" si="95"/>
        <v>1.433903501718546</v>
      </c>
      <c r="AR18" s="32">
        <f t="shared" ca="1" si="96"/>
        <v>0.32588715948148772</v>
      </c>
      <c r="AS18" s="32">
        <f t="shared" ca="1" si="97"/>
        <v>6.9987961374112917</v>
      </c>
      <c r="AT18" s="32">
        <f t="shared" ca="1" si="98"/>
        <v>1.093817264685877</v>
      </c>
      <c r="AU18" s="32">
        <f t="shared" ca="1" si="99"/>
        <v>3.3302958350227847</v>
      </c>
      <c r="AV18" s="32">
        <f t="shared" ca="1" si="100"/>
        <v>0.54690863234293852</v>
      </c>
      <c r="AW18" s="32">
        <f t="shared" ca="1" si="101"/>
        <v>0.45624202327408281</v>
      </c>
      <c r="AX18" s="32">
        <f t="shared" ca="1" si="102"/>
        <v>0.96559158364885256</v>
      </c>
      <c r="AY18" s="32">
        <f t="shared" ca="1" si="103"/>
        <v>0.2281210116370414</v>
      </c>
      <c r="AZ18" s="32">
        <f t="shared" ca="1" si="104"/>
        <v>7.4139789591221312</v>
      </c>
      <c r="BA18" s="32">
        <f t="shared" ca="1" si="105"/>
        <v>2.128736676657899</v>
      </c>
      <c r="BB18" s="32">
        <f t="shared" ca="1" si="106"/>
        <v>5.6861024064762944</v>
      </c>
      <c r="BC18" s="32">
        <f t="shared" ca="1" si="107"/>
        <v>1.0643683383289495</v>
      </c>
      <c r="BD18" s="32">
        <f t="shared" ca="1" si="108"/>
        <v>0.70246787710454017</v>
      </c>
      <c r="BE18" s="32">
        <f t="shared" ca="1" si="109"/>
        <v>0.84006467777450156</v>
      </c>
      <c r="BF18" s="32">
        <f t="shared" ca="1" si="110"/>
        <v>6.5317154629865977</v>
      </c>
      <c r="BG18" s="32">
        <f t="shared" ca="1" si="111"/>
        <v>5.1840272946595745</v>
      </c>
      <c r="BH18" s="32">
        <f t="shared" ca="1" si="112"/>
        <v>2.0277689291484338</v>
      </c>
      <c r="BI18" s="32">
        <f t="shared" ca="1" si="113"/>
        <v>1.1707797951742336</v>
      </c>
      <c r="BJ18" s="32">
        <f t="shared" ca="1" si="114"/>
        <v>0.63729044520824263</v>
      </c>
      <c r="BK18" s="32">
        <f t="shared" ca="1" si="115"/>
        <v>2.824725983425532</v>
      </c>
      <c r="BL18" s="32">
        <f t="shared" ca="1" si="116"/>
        <v>4.6618176102727427</v>
      </c>
      <c r="BM18" s="32">
        <f t="shared" ca="1" si="117"/>
        <v>0.43752690587435078</v>
      </c>
      <c r="BN18" s="32">
        <f t="shared" ca="1" si="118"/>
        <v>0.43451621264198359</v>
      </c>
      <c r="BO18" s="32">
        <f t="shared" ca="1" si="119"/>
        <v>0.16415056922030494</v>
      </c>
      <c r="BP18" s="32">
        <f t="shared" ca="1" si="120"/>
        <v>2.26126358253225</v>
      </c>
      <c r="BQ18" s="32">
        <f t="shared" ca="1" si="121"/>
        <v>6.8203769414310607</v>
      </c>
      <c r="BR18" s="32">
        <f t="shared" ca="1" si="122"/>
        <v>1.1358871594814879</v>
      </c>
      <c r="BS18" s="32">
        <f t="shared" ca="1" si="123"/>
        <v>0.68557002439068526</v>
      </c>
      <c r="BT18" s="32">
        <f t="shared" ca="1" si="124"/>
        <v>0.5890108660258</v>
      </c>
      <c r="BU18" s="32">
        <f t="shared" ca="1" si="125"/>
        <v>4.6782207232060644</v>
      </c>
      <c r="BV18" s="32">
        <f t="shared" ca="1" si="126"/>
        <v>4.7225111684143073</v>
      </c>
      <c r="BW18" s="32">
        <f t="shared" ca="1" si="127"/>
        <v>1.2452688859500753</v>
      </c>
      <c r="BX18" s="32">
        <f t="shared" ca="1" si="128"/>
        <v>3.0100754574035853</v>
      </c>
      <c r="BY18" s="32">
        <f t="shared" ca="1" si="129"/>
        <v>4.442683037702631</v>
      </c>
      <c r="BZ18" s="32">
        <f t="shared" ca="1" si="130"/>
        <v>12.38914030797152</v>
      </c>
      <c r="CA18" s="32">
        <f t="shared" ca="1" si="131"/>
        <v>4.442683037702631</v>
      </c>
      <c r="CB18" s="32">
        <f t="shared" ca="1" si="132"/>
        <v>5.6579088915330882</v>
      </c>
      <c r="CC18" s="32">
        <f t="shared" ca="1" si="133"/>
        <v>16.518737195038199</v>
      </c>
      <c r="CD18" s="32">
        <f t="shared" ca="1" si="134"/>
        <v>5.6579088915330882</v>
      </c>
      <c r="CE18" s="32">
        <f t="shared" ca="1" si="135"/>
        <v>1.8534947397805328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108</v>
      </c>
      <c r="D19" s="130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6">
        <f ca="1">Plantilla!N20</f>
        <v>0.90403922929805736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13.867809151774724</v>
      </c>
      <c r="V19" s="41">
        <f t="shared" ca="1" si="74"/>
        <v>14.968242790341305</v>
      </c>
      <c r="W19" s="32">
        <f t="shared" ca="1" si="75"/>
        <v>3.3836197368944485</v>
      </c>
      <c r="X19" s="32">
        <f t="shared" ca="1" si="76"/>
        <v>5.1048191069080566</v>
      </c>
      <c r="Y19" s="32">
        <f t="shared" ca="1" si="77"/>
        <v>3.3836197368944485</v>
      </c>
      <c r="Z19" s="32">
        <f t="shared" ca="1" si="78"/>
        <v>4.1171360644187116</v>
      </c>
      <c r="AA19" s="32">
        <f t="shared" ca="1" si="79"/>
        <v>7.9789458612765731</v>
      </c>
      <c r="AB19" s="32">
        <f t="shared" ca="1" si="80"/>
        <v>2.0585680322093558</v>
      </c>
      <c r="AC19" s="32">
        <f t="shared" ca="1" si="81"/>
        <v>0.94698911498382454</v>
      </c>
      <c r="AD19" s="32">
        <f t="shared" ca="1" si="82"/>
        <v>3.0160415355625445</v>
      </c>
      <c r="AE19" s="32">
        <f t="shared" ca="1" si="83"/>
        <v>5.768777857702962</v>
      </c>
      <c r="AF19" s="32">
        <f t="shared" ca="1" si="84"/>
        <v>1.5080207677812723</v>
      </c>
      <c r="AG19" s="32">
        <f t="shared" ca="1" si="85"/>
        <v>1.531894156591481</v>
      </c>
      <c r="AH19" s="32">
        <f t="shared" ca="1" si="86"/>
        <v>7.3406301923744479</v>
      </c>
      <c r="AI19" s="32">
        <f t="shared" ca="1" si="87"/>
        <v>3.3032835865685013</v>
      </c>
      <c r="AJ19" s="32">
        <f t="shared" ca="1" si="88"/>
        <v>0.66448395883318789</v>
      </c>
      <c r="AK19" s="32">
        <f t="shared" ca="1" si="89"/>
        <v>4.6916201664306243</v>
      </c>
      <c r="AL19" s="32">
        <f t="shared" ca="1" si="90"/>
        <v>6.0161251794025361</v>
      </c>
      <c r="AM19" s="32">
        <f t="shared" ca="1" si="91"/>
        <v>5.6490936697838139</v>
      </c>
      <c r="AN19" s="32">
        <f t="shared" ca="1" si="92"/>
        <v>2.5014839588331879</v>
      </c>
      <c r="AO19" s="32">
        <f t="shared" ca="1" si="93"/>
        <v>1.549936408047653</v>
      </c>
      <c r="AP19" s="32">
        <f t="shared" ca="1" si="94"/>
        <v>2.154315382544675</v>
      </c>
      <c r="AQ19" s="32">
        <f t="shared" ca="1" si="95"/>
        <v>4.7394938415982839</v>
      </c>
      <c r="AR19" s="32">
        <f t="shared" ca="1" si="96"/>
        <v>1.0771576912723375</v>
      </c>
      <c r="AS19" s="32">
        <f t="shared" ca="1" si="97"/>
        <v>3.7561248930450857</v>
      </c>
      <c r="AT19" s="32">
        <f t="shared" ca="1" si="98"/>
        <v>1.441707406410399</v>
      </c>
      <c r="AU19" s="32">
        <f t="shared" ca="1" si="99"/>
        <v>3.2215144706873691</v>
      </c>
      <c r="AV19" s="32">
        <f t="shared" ca="1" si="100"/>
        <v>0.72085370320519948</v>
      </c>
      <c r="AW19" s="32">
        <f t="shared" ca="1" si="101"/>
        <v>1.5080207677812723</v>
      </c>
      <c r="AX19" s="32">
        <f t="shared" ca="1" si="102"/>
        <v>3.1915783445106296</v>
      </c>
      <c r="AY19" s="32">
        <f t="shared" ca="1" si="103"/>
        <v>0.75401038389063613</v>
      </c>
      <c r="AZ19" s="32">
        <f t="shared" ca="1" si="104"/>
        <v>3.978945861276574</v>
      </c>
      <c r="BA19" s="32">
        <f t="shared" ca="1" si="105"/>
        <v>2.805784414014084</v>
      </c>
      <c r="BB19" s="32">
        <f t="shared" ca="1" si="106"/>
        <v>6.07678805845228</v>
      </c>
      <c r="BC19" s="32">
        <f t="shared" ca="1" si="107"/>
        <v>1.402892207007042</v>
      </c>
      <c r="BD19" s="32">
        <f t="shared" ca="1" si="108"/>
        <v>2.3218732456314828</v>
      </c>
      <c r="BE19" s="32">
        <f t="shared" ca="1" si="109"/>
        <v>2.7766731597242473</v>
      </c>
      <c r="BF19" s="32">
        <f t="shared" ca="1" si="110"/>
        <v>3.5054513037846617</v>
      </c>
      <c r="BG19" s="32">
        <f t="shared" ca="1" si="111"/>
        <v>8.0732828706748734</v>
      </c>
      <c r="BH19" s="32">
        <f t="shared" ca="1" si="112"/>
        <v>2.6727037303454315</v>
      </c>
      <c r="BI19" s="32">
        <f t="shared" ca="1" si="113"/>
        <v>3.869788742719138</v>
      </c>
      <c r="BJ19" s="32">
        <f t="shared" ca="1" si="114"/>
        <v>2.1064417073770154</v>
      </c>
      <c r="BK19" s="32">
        <f t="shared" ca="1" si="115"/>
        <v>1.5159783731463747</v>
      </c>
      <c r="BL19" s="32">
        <f t="shared" ca="1" si="116"/>
        <v>7.5989320160890585</v>
      </c>
      <c r="BM19" s="32">
        <f t="shared" ca="1" si="117"/>
        <v>0.57668296256415952</v>
      </c>
      <c r="BN19" s="32">
        <f t="shared" ca="1" si="118"/>
        <v>1.4362102550297831</v>
      </c>
      <c r="BO19" s="32">
        <f t="shared" ca="1" si="119"/>
        <v>0.54256831856680698</v>
      </c>
      <c r="BP19" s="32">
        <f t="shared" ca="1" si="120"/>
        <v>1.2135784876893549</v>
      </c>
      <c r="BQ19" s="32">
        <f t="shared" ca="1" si="121"/>
        <v>11.150702155379451</v>
      </c>
      <c r="BR19" s="32">
        <f t="shared" ca="1" si="122"/>
        <v>1.4971576912723374</v>
      </c>
      <c r="BS19" s="32">
        <f t="shared" ca="1" si="123"/>
        <v>2.2660206246025467</v>
      </c>
      <c r="BT19" s="32">
        <f t="shared" ca="1" si="124"/>
        <v>1.9468627901514839</v>
      </c>
      <c r="BU19" s="32">
        <f t="shared" ca="1" si="125"/>
        <v>2.510714838465518</v>
      </c>
      <c r="BV19" s="32">
        <f t="shared" ca="1" si="126"/>
        <v>7.7416009902869778</v>
      </c>
      <c r="BW19" s="32">
        <f t="shared" ca="1" si="127"/>
        <v>1.6413284319133772</v>
      </c>
      <c r="BX19" s="32">
        <f t="shared" ca="1" si="128"/>
        <v>1.6154520196782891</v>
      </c>
      <c r="BY19" s="32">
        <f t="shared" ca="1" si="129"/>
        <v>5.3094585715028728</v>
      </c>
      <c r="BZ19" s="32">
        <f t="shared" ca="1" si="130"/>
        <v>12.393476373130754</v>
      </c>
      <c r="CA19" s="32">
        <f t="shared" ca="1" si="131"/>
        <v>5.3094585715028728</v>
      </c>
      <c r="CB19" s="32">
        <f t="shared" ca="1" si="132"/>
        <v>6.1796610493530828</v>
      </c>
      <c r="CC19" s="32">
        <f t="shared" ca="1" si="133"/>
        <v>15.021176884087627</v>
      </c>
      <c r="CD19" s="32">
        <f t="shared" ca="1" si="134"/>
        <v>6.1796610493530828</v>
      </c>
      <c r="CE19" s="32">
        <f t="shared" ca="1" si="135"/>
        <v>0.9947364653191435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83</v>
      </c>
      <c r="D20" s="130" t="str">
        <f>Plantilla!G21</f>
        <v>CAB</v>
      </c>
      <c r="E20" s="28">
        <f>Plantilla!M21</f>
        <v>43590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Plantilla!N21</f>
        <v>0.50068198726211466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1.4241122050924244</v>
      </c>
      <c r="V20" s="41">
        <f t="shared" ca="1" si="74"/>
        <v>1.5371178686709706</v>
      </c>
      <c r="W20" s="32">
        <f t="shared" ca="1" si="75"/>
        <v>2.7228634303263877</v>
      </c>
      <c r="X20" s="32">
        <f t="shared" ca="1" si="76"/>
        <v>4.1108381312157682</v>
      </c>
      <c r="Y20" s="32">
        <f t="shared" ca="1" si="77"/>
        <v>2.7228634303263877</v>
      </c>
      <c r="Z20" s="32">
        <f t="shared" ca="1" si="78"/>
        <v>3.3737199656911985</v>
      </c>
      <c r="AA20" s="32">
        <f t="shared" ca="1" si="79"/>
        <v>6.53821698777364</v>
      </c>
      <c r="AB20" s="32">
        <f t="shared" ca="1" si="80"/>
        <v>1.6868599828455992</v>
      </c>
      <c r="AC20" s="32">
        <f t="shared" ca="1" si="81"/>
        <v>1.7940956430901263</v>
      </c>
      <c r="AD20" s="32">
        <f t="shared" ca="1" si="82"/>
        <v>2.4714460213784362</v>
      </c>
      <c r="AE20" s="32">
        <f t="shared" ca="1" si="83"/>
        <v>4.7271308821603419</v>
      </c>
      <c r="AF20" s="32">
        <f t="shared" ca="1" si="84"/>
        <v>1.2357230106892181</v>
      </c>
      <c r="AG20" s="32">
        <f t="shared" ca="1" si="85"/>
        <v>2.9022135402928515</v>
      </c>
      <c r="AH20" s="32">
        <f t="shared" ca="1" si="86"/>
        <v>6.015159628751749</v>
      </c>
      <c r="AI20" s="32">
        <f t="shared" ca="1" si="87"/>
        <v>2.7068218329382869</v>
      </c>
      <c r="AJ20" s="32">
        <f t="shared" ca="1" si="88"/>
        <v>1.258882236958198</v>
      </c>
      <c r="AK20" s="32">
        <f t="shared" ca="1" si="89"/>
        <v>3.8444715888109</v>
      </c>
      <c r="AL20" s="32">
        <f t="shared" ca="1" si="90"/>
        <v>4.9298156087813245</v>
      </c>
      <c r="AM20" s="32">
        <f t="shared" ca="1" si="91"/>
        <v>4.6290576273437365</v>
      </c>
      <c r="AN20" s="32">
        <f t="shared" ca="1" si="92"/>
        <v>0.25688223695819784</v>
      </c>
      <c r="AO20" s="32">
        <f t="shared" ca="1" si="93"/>
        <v>1.3892922067645224</v>
      </c>
      <c r="AP20" s="32">
        <f t="shared" ca="1" si="94"/>
        <v>1.765318586698883</v>
      </c>
      <c r="AQ20" s="32">
        <f t="shared" ca="1" si="95"/>
        <v>3.8837008907375421</v>
      </c>
      <c r="AR20" s="32">
        <f t="shared" ca="1" si="96"/>
        <v>0.88265929334944149</v>
      </c>
      <c r="AS20" s="32">
        <f t="shared" ca="1" si="97"/>
        <v>7.1160768364583156</v>
      </c>
      <c r="AT20" s="32">
        <f t="shared" ca="1" si="98"/>
        <v>1.3885396369820016</v>
      </c>
      <c r="AU20" s="32">
        <f t="shared" ca="1" si="99"/>
        <v>3.6238404345605333</v>
      </c>
      <c r="AV20" s="32">
        <f t="shared" ca="1" si="100"/>
        <v>0.69426981849100078</v>
      </c>
      <c r="AW20" s="32">
        <f t="shared" ca="1" si="101"/>
        <v>1.2357230106892181</v>
      </c>
      <c r="AX20" s="32">
        <f t="shared" ca="1" si="102"/>
        <v>2.6152867951094563</v>
      </c>
      <c r="AY20" s="32">
        <f t="shared" ca="1" si="103"/>
        <v>0.61786150534460904</v>
      </c>
      <c r="AZ20" s="32">
        <f t="shared" ca="1" si="104"/>
        <v>7.53821698777364</v>
      </c>
      <c r="BA20" s="32">
        <f t="shared" ca="1" si="105"/>
        <v>2.7023117550495876</v>
      </c>
      <c r="BB20" s="32">
        <f t="shared" ca="1" si="106"/>
        <v>6.4852718459775609</v>
      </c>
      <c r="BC20" s="32">
        <f t="shared" ca="1" si="107"/>
        <v>1.3511558775247938</v>
      </c>
      <c r="BD20" s="32">
        <f t="shared" ca="1" si="108"/>
        <v>1.9026211434421292</v>
      </c>
      <c r="BE20" s="32">
        <f t="shared" ca="1" si="109"/>
        <v>2.2752995117452266</v>
      </c>
      <c r="BF20" s="32">
        <f t="shared" ca="1" si="110"/>
        <v>6.6411691662285772</v>
      </c>
      <c r="BG20" s="32">
        <f t="shared" ca="1" si="111"/>
        <v>7.1174749021307653</v>
      </c>
      <c r="BH20" s="32">
        <f t="shared" ca="1" si="112"/>
        <v>2.5741388654820181</v>
      </c>
      <c r="BI20" s="32">
        <f t="shared" ca="1" si="113"/>
        <v>3.1710352390702155</v>
      </c>
      <c r="BJ20" s="32">
        <f t="shared" ca="1" si="114"/>
        <v>1.7260892847722411</v>
      </c>
      <c r="BK20" s="32">
        <f t="shared" ca="1" si="115"/>
        <v>2.8720606723417568</v>
      </c>
      <c r="BL20" s="32">
        <f t="shared" ca="1" si="116"/>
        <v>6.5471159330284472</v>
      </c>
      <c r="BM20" s="32">
        <f t="shared" ca="1" si="117"/>
        <v>0.55541585479280065</v>
      </c>
      <c r="BN20" s="32">
        <f t="shared" ca="1" si="118"/>
        <v>1.1768790577992552</v>
      </c>
      <c r="BO20" s="32">
        <f t="shared" ca="1" si="119"/>
        <v>0.44459875516860753</v>
      </c>
      <c r="BP20" s="32">
        <f t="shared" ca="1" si="120"/>
        <v>2.29915618127096</v>
      </c>
      <c r="BQ20" s="32">
        <f t="shared" ca="1" si="121"/>
        <v>9.5930041891340423</v>
      </c>
      <c r="BR20" s="32">
        <f t="shared" ca="1" si="122"/>
        <v>1.4419450076351557</v>
      </c>
      <c r="BS20" s="32">
        <f t="shared" ca="1" si="123"/>
        <v>1.8568536245277136</v>
      </c>
      <c r="BT20" s="32">
        <f t="shared" ca="1" si="124"/>
        <v>1.5953249450167681</v>
      </c>
      <c r="BU20" s="32">
        <f t="shared" ca="1" si="125"/>
        <v>4.756614919285167</v>
      </c>
      <c r="BV20" s="32">
        <f t="shared" ca="1" si="126"/>
        <v>6.6512756326288356</v>
      </c>
      <c r="BW20" s="32">
        <f t="shared" ca="1" si="127"/>
        <v>1.5807989713333557</v>
      </c>
      <c r="BX20" s="32">
        <f t="shared" ca="1" si="128"/>
        <v>3.0605160970360981</v>
      </c>
      <c r="BY20" s="32">
        <f t="shared" ca="1" si="129"/>
        <v>5.3311253363443516</v>
      </c>
      <c r="BZ20" s="32">
        <f t="shared" ca="1" si="130"/>
        <v>13.692603756804546</v>
      </c>
      <c r="CA20" s="32">
        <f t="shared" ca="1" si="131"/>
        <v>5.3311253363443516</v>
      </c>
      <c r="CB20" s="32">
        <f t="shared" ca="1" si="132"/>
        <v>6.4815948976686917</v>
      </c>
      <c r="CC20" s="32">
        <f t="shared" ca="1" si="133"/>
        <v>17.479533341976399</v>
      </c>
      <c r="CD20" s="32">
        <f t="shared" ca="1" si="134"/>
        <v>6.4815948976686917</v>
      </c>
      <c r="CE20" s="32">
        <f t="shared" ca="1" si="135"/>
        <v>1.88455424694341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371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372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373</v>
      </c>
      <c r="O3" s="140" t="s">
        <v>374</v>
      </c>
      <c r="P3" s="140" t="s">
        <v>375</v>
      </c>
      <c r="Q3" s="140" t="s">
        <v>47</v>
      </c>
      <c r="R3" s="140" t="s">
        <v>376</v>
      </c>
      <c r="S3" s="139" t="s">
        <v>62</v>
      </c>
      <c r="T3" s="145" t="s">
        <v>377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3</v>
      </c>
      <c r="E4" s="41">
        <f>Plantilla!X4</f>
        <v>15</v>
      </c>
      <c r="F4" s="41">
        <f>Plantilla!Y4</f>
        <v>11.222222222222221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28</v>
      </c>
      <c r="E5" s="41">
        <f>Plantilla!X5</f>
        <v>6</v>
      </c>
      <c r="F5" s="41">
        <f>Plantilla!Y5</f>
        <v>4.75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0</v>
      </c>
      <c r="E6" s="41">
        <f>Plantilla!X6</f>
        <v>0</v>
      </c>
      <c r="F6" s="41">
        <f>Plantilla!Y6</f>
        <v>15.0625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22</v>
      </c>
      <c r="D7" s="144">
        <f ca="1">Plantilla!F7</f>
        <v>93</v>
      </c>
      <c r="E7" s="41">
        <f>Plantilla!X7</f>
        <v>0</v>
      </c>
      <c r="F7" s="41">
        <f>Plantilla!Y7</f>
        <v>15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31</v>
      </c>
      <c r="E8" s="41">
        <f>Plantilla!X8</f>
        <v>0</v>
      </c>
      <c r="F8" s="41">
        <f>Plantilla!Y8</f>
        <v>13.166666666666666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16</v>
      </c>
      <c r="E9" s="41">
        <f>Plantilla!X9</f>
        <v>0</v>
      </c>
      <c r="F9" s="41">
        <f>Plantilla!Y9</f>
        <v>11.222222222222221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>
        <f>Plantilla!D10</f>
        <v>0</v>
      </c>
      <c r="C10" s="141">
        <f>Plantilla!E10</f>
        <v>22</v>
      </c>
      <c r="D10" s="144">
        <f ca="1">Plantilla!F10</f>
        <v>104</v>
      </c>
      <c r="E10" s="41">
        <f>Plantilla!X10</f>
        <v>0</v>
      </c>
      <c r="F10" s="41">
        <f>Plantilla!Y10</f>
        <v>13</v>
      </c>
      <c r="G10" s="41">
        <f>Plantilla!Z10</f>
        <v>0</v>
      </c>
      <c r="H10" s="41">
        <f>Plantilla!AA10</f>
        <v>0</v>
      </c>
      <c r="I10" s="41">
        <f>Plantilla!AB10</f>
        <v>10</v>
      </c>
      <c r="J10" s="41">
        <f>Plantilla!AC10</f>
        <v>0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Plantilla!A11</f>
        <v>#9</v>
      </c>
      <c r="B11" s="142" t="str">
        <f>Plantilla!D11</f>
        <v>Francesc Añigas</v>
      </c>
      <c r="C11" s="141">
        <f>Plantilla!E11</f>
        <v>22</v>
      </c>
      <c r="D11" s="144">
        <f ca="1">Plantilla!F11</f>
        <v>108</v>
      </c>
      <c r="E11" s="41">
        <f>Plantilla!X11</f>
        <v>0</v>
      </c>
      <c r="F11" s="41">
        <f>Plantilla!Y11</f>
        <v>12.5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Plantilla!A12</f>
        <v>#3</v>
      </c>
      <c r="B12" s="142" t="str">
        <f>Plantilla!D12</f>
        <v>Will Duffill</v>
      </c>
      <c r="C12" s="141">
        <f>Plantilla!E12</f>
        <v>22</v>
      </c>
      <c r="D12" s="144">
        <f ca="1">Plantilla!F12</f>
        <v>69</v>
      </c>
      <c r="E12" s="41">
        <f>Plantilla!X12</f>
        <v>0</v>
      </c>
      <c r="F12" s="41">
        <f>Plantilla!Y12</f>
        <v>11.666666666666666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Plantilla!A13</f>
        <v>#5</v>
      </c>
      <c r="B13" s="142" t="str">
        <f>Plantilla!D13</f>
        <v>Valeri Gomis</v>
      </c>
      <c r="C13" s="141">
        <f>Plantilla!E13</f>
        <v>22</v>
      </c>
      <c r="D13" s="144">
        <f ca="1">Plantilla!F13</f>
        <v>108</v>
      </c>
      <c r="E13" s="41">
        <f>Plantilla!X13</f>
        <v>0</v>
      </c>
      <c r="F13" s="41">
        <f>Plantilla!Y13</f>
        <v>11.333333333333334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Plantilla!A14</f>
        <v>#8</v>
      </c>
      <c r="B14" s="142" t="str">
        <f>Plantilla!D14</f>
        <v>Enrique Cubas</v>
      </c>
      <c r="C14" s="141">
        <f>Plantilla!E14</f>
        <v>22</v>
      </c>
      <c r="D14" s="144">
        <f ca="1">Plantilla!F14</f>
        <v>104</v>
      </c>
      <c r="E14" s="41">
        <f>Plantilla!X14</f>
        <v>0</v>
      </c>
      <c r="F14" s="41">
        <f>Plantilla!Y14</f>
        <v>10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Plantilla!A15</f>
        <v>#11</v>
      </c>
      <c r="B15" s="142" t="str">
        <f>Plantilla!D15</f>
        <v>J. G. Peñuela</v>
      </c>
      <c r="C15" s="141">
        <f>Plantilla!E15</f>
        <v>22</v>
      </c>
      <c r="D15" s="144">
        <f ca="1">Plantilla!F15</f>
        <v>104</v>
      </c>
      <c r="E15" s="41">
        <f>Plantilla!X15</f>
        <v>0</v>
      </c>
      <c r="F15" s="41">
        <f>Plantilla!Y15</f>
        <v>10.375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Plantilla!A16</f>
        <v>#12</v>
      </c>
      <c r="B16" s="142" t="str">
        <f>Plantilla!D16</f>
        <v>David Garcia-Spiess</v>
      </c>
      <c r="C16" s="141">
        <f>Plantilla!E16</f>
        <v>30</v>
      </c>
      <c r="D16" s="144">
        <f ca="1">Plantilla!F16</f>
        <v>73</v>
      </c>
      <c r="E16" s="41">
        <f>Plantilla!X16</f>
        <v>0</v>
      </c>
      <c r="F16" s="41">
        <f>Plantilla!Y16</f>
        <v>9.1469135802469133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Plantilla!A17</f>
        <v>#26</v>
      </c>
      <c r="B17" s="142" t="str">
        <f>Plantilla!D17</f>
        <v>Fabien Fabre</v>
      </c>
      <c r="C17" s="141">
        <f>Plantilla!E17</f>
        <v>31</v>
      </c>
      <c r="D17" s="144">
        <f ca="1">Plantilla!F17</f>
        <v>78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Plantilla!A18</f>
        <v>#21</v>
      </c>
      <c r="B18" s="142" t="str">
        <f>Plantilla!D18</f>
        <v>Fernando Gazón</v>
      </c>
      <c r="C18" s="141">
        <f>Plantilla!E18</f>
        <v>23</v>
      </c>
      <c r="D18" s="144">
        <f ca="1">Plantilla!F18</f>
        <v>33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Plantilla!A19</f>
        <v>#36</v>
      </c>
      <c r="B19" s="142" t="str">
        <f>Plantilla!D19</f>
        <v>Stanisław Zdankiewicz</v>
      </c>
      <c r="C19" s="141">
        <f>Plantilla!E19</f>
        <v>29</v>
      </c>
      <c r="D19" s="144">
        <f ca="1">Plantilla!F19</f>
        <v>67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Plantilla!A20</f>
        <v>#38</v>
      </c>
      <c r="B20" s="142" t="str">
        <f>Plantilla!D20</f>
        <v>Emilio Rojas</v>
      </c>
      <c r="C20" s="141">
        <f>Plantilla!E20</f>
        <v>31</v>
      </c>
      <c r="D20" s="144">
        <f ca="1">Plantilla!F20</f>
        <v>108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Plantilla!A21</f>
        <v>#25</v>
      </c>
      <c r="B21" s="142" t="str">
        <f>Plantilla!D21</f>
        <v>Leo Hilpinen</v>
      </c>
      <c r="C21" s="141">
        <f>Plantilla!E21</f>
        <v>30</v>
      </c>
      <c r="D21" s="144">
        <f ca="1">Plantilla!F21</f>
        <v>83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702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709</v>
      </c>
      <c r="S2" s="37" t="s">
        <v>710</v>
      </c>
      <c r="T2" s="37" t="s">
        <v>711</v>
      </c>
      <c r="U2" s="37" t="s">
        <v>712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0.90806613967261018</v>
      </c>
      <c r="G3" s="440">
        <f>Plantilla!V4</f>
        <v>28790</v>
      </c>
      <c r="H3" s="34">
        <f>Plantilla!I4</f>
        <v>5</v>
      </c>
      <c r="I3" s="41">
        <f>Plantilla!X4</f>
        <v>15</v>
      </c>
      <c r="J3" s="41">
        <f>Plantilla!Y4</f>
        <v>11.222222222222221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13.658676158314648</v>
      </c>
      <c r="Q3" s="32">
        <f t="shared" ref="Q3:Q10" ca="1" si="1">((I3+F3+(LOG(H3)*4/3))*0.866)+((J3+F3+(LOG(H3)*4/3))*0.425)</f>
        <v>20.134918198225517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4.75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5.9360930335294695</v>
      </c>
      <c r="Q4" s="32">
        <f t="shared" ca="1" si="1"/>
        <v>8.757285058747474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713</v>
      </c>
      <c r="B5">
        <v>23</v>
      </c>
      <c r="C5">
        <v>96</v>
      </c>
      <c r="E5" s="50">
        <v>8000000</v>
      </c>
      <c r="F5" s="136">
        <f ca="1">$F$3</f>
        <v>0.90806613967261018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13.462036943557909</v>
      </c>
      <c r="Q5" s="32">
        <f t="shared" ca="1" si="1"/>
        <v>19.789835846658946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714</v>
      </c>
      <c r="B6">
        <v>23</v>
      </c>
      <c r="C6">
        <v>53</v>
      </c>
      <c r="E6" s="50">
        <v>9282257</v>
      </c>
      <c r="F6" s="136">
        <f t="shared" ref="F6:F10" ca="1" si="3">$F$3</f>
        <v>0.90806613967261018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12.231063646571364</v>
      </c>
      <c r="Q6" s="32">
        <f t="shared" ca="1" si="1"/>
        <v>17.88521783244402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715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0.90806613967261018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13.010353424912186</v>
      </c>
      <c r="Q7" s="32">
        <f t="shared" ca="1" si="1"/>
        <v>19.189277516107254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716</v>
      </c>
      <c r="B8">
        <v>23</v>
      </c>
      <c r="C8">
        <v>14</v>
      </c>
      <c r="E8" s="50">
        <v>10250000</v>
      </c>
      <c r="F8" s="136">
        <f t="shared" ca="1" si="3"/>
        <v>0.90806613967261018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14.253099022228826</v>
      </c>
      <c r="Q8" s="32">
        <f t="shared" ca="1" si="1"/>
        <v>20.841723754521666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0.90806613967261018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6.2083718020193466</v>
      </c>
      <c r="Q9" s="32">
        <f t="shared" ca="1" si="1"/>
        <v>9.1304478767548414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0.90806613967261018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7.7077707169722194</v>
      </c>
      <c r="Q10" s="32">
        <f t="shared" ca="1" si="1"/>
        <v>11.36462084262444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702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6">
        <f ca="1">Plantilla!N4</f>
        <v>0.90806613967261018</v>
      </c>
      <c r="K3" s="34">
        <f>Plantilla!I4</f>
        <v>5</v>
      </c>
      <c r="L3" s="41">
        <f>Plantilla!X4</f>
        <v>15</v>
      </c>
      <c r="M3" s="41">
        <f>Plantilla!Y4</f>
        <v>11.222222222222221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13.658676158314648</v>
      </c>
      <c r="T3" s="32">
        <f t="shared" ref="T3:T10" ca="1" si="3">((L3+J3+(LOG(K3)*4/3))*0.866)+((M3+J3+(LOG(K3)*4/3))*0.425)</f>
        <v>20.134918198225517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4.75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5.9360930335294695</v>
      </c>
      <c r="T4" s="32">
        <f t="shared" ca="1" si="3"/>
        <v>8.757285058747474</v>
      </c>
    </row>
    <row r="5" spans="1:21" x14ac:dyDescent="0.25">
      <c r="A5" t="s">
        <v>701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703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704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705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706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707</v>
      </c>
      <c r="B10">
        <v>21</v>
      </c>
      <c r="C10">
        <v>82</v>
      </c>
      <c r="D10" t="s">
        <v>708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0" sqref="D10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43704</v>
      </c>
      <c r="I2" s="29">
        <f>AVERAGE(I4:I21)</f>
        <v>4.6888888888888891</v>
      </c>
      <c r="J2" s="29"/>
      <c r="N2" s="32">
        <f ca="1">AVERAGE(N4:N21)</f>
        <v>0.8404496466834861</v>
      </c>
      <c r="O2" s="29">
        <f>AVERAGE(O4:O21)</f>
        <v>5.8117647058823518</v>
      </c>
      <c r="Q2" s="29">
        <f>AVERAGE(Q4:Q21)</f>
        <v>5.333333333333333</v>
      </c>
      <c r="R2" s="64">
        <f>AVERAGE(R4:R21)</f>
        <v>0.86911099384979973</v>
      </c>
      <c r="S2" s="64">
        <f>AVERAGE(S4:S21)</f>
        <v>0.94378744656778379</v>
      </c>
      <c r="T2" s="33">
        <f>SUM(T4:T21)</f>
        <v>1166360</v>
      </c>
      <c r="U2" s="33">
        <f>SUM(U4:U21)</f>
        <v>11420</v>
      </c>
      <c r="V2" s="33">
        <f>SUM(V4:V21)</f>
        <v>186438</v>
      </c>
      <c r="W2" s="34">
        <f>T2/V2</f>
        <v>6.256020768298308</v>
      </c>
      <c r="AD2" s="32">
        <f>AVERAGE(AD5:AD21)</f>
        <v>4.1875</v>
      </c>
      <c r="AE2" s="30">
        <f>AVERAGE(AE5:AE21)</f>
        <v>102.80500000000001</v>
      </c>
      <c r="AF2" s="30">
        <f>AVERAGE(AF5:AF21)</f>
        <v>2031.2222222222222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368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240</v>
      </c>
      <c r="AF3" s="10" t="s">
        <v>191</v>
      </c>
      <c r="AG3" s="14" t="s">
        <v>21</v>
      </c>
      <c r="AH3" s="14" t="s">
        <v>723</v>
      </c>
      <c r="AI3" s="14" t="s">
        <v>724</v>
      </c>
      <c r="AJ3" s="14" t="s">
        <v>725</v>
      </c>
      <c r="AK3" s="14" t="s">
        <v>726</v>
      </c>
      <c r="AL3" s="14" t="s">
        <v>727</v>
      </c>
      <c r="AM3" s="14" t="s">
        <v>728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10.973214285714286</v>
      </c>
      <c r="D4" s="435" t="s">
        <v>357</v>
      </c>
      <c r="E4" s="1">
        <v>23</v>
      </c>
      <c r="F4" s="2">
        <f ca="1">$D$2-$D$1-1097-112-112-112</f>
        <v>3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1">
        <v>43415</v>
      </c>
      <c r="N4" s="72">
        <f t="shared" ref="N4:N9" ca="1" si="0">IF((TODAY()-M4)&gt;335,1,((TODAY()-M4)^0.64)/(336^0.64))</f>
        <v>0.90806613967261018</v>
      </c>
      <c r="O4" s="24">
        <v>6.3</v>
      </c>
      <c r="P4" s="19">
        <f>O4*10+19</f>
        <v>82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73810</v>
      </c>
      <c r="U4" s="27">
        <f>T4-AU4</f>
        <v>2000</v>
      </c>
      <c r="V4" s="7">
        <v>28790</v>
      </c>
      <c r="W4" s="8">
        <f>T4/V4</f>
        <v>2.563737408822508</v>
      </c>
      <c r="X4" s="20">
        <v>15</v>
      </c>
      <c r="Y4" s="21">
        <f>11+2/9</f>
        <v>11.222222222222221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101.5</v>
      </c>
      <c r="AF4" s="9">
        <v>1746</v>
      </c>
      <c r="AG4" s="8">
        <f t="shared" ref="AG4:AG21" ca="1" si="1">(((Y4+LOG(I4)*4/3+N4)+(AB4+LOG(I4)*4/3+N4)*2)/8)*(Q4/7)^0.5</f>
        <v>1.9375448082690514</v>
      </c>
      <c r="AH4" s="22">
        <f ca="1">(Y4+J4+N4)*(Q4/7)^0.5</f>
        <v>12.093292087015817</v>
      </c>
      <c r="AI4" s="22">
        <f ca="1">(Y4+J4+N4)*(IF(Q4=7, (Q4/7)^0.5, ((Q4+1)/7)^0.5))</f>
        <v>13.06224836767619</v>
      </c>
      <c r="AJ4" s="22">
        <f t="shared" ref="AJ4:AJ21" ca="1" si="2">(Z4+N4+(LOG(I4)*4/3))*(Q4/7)^0.5</f>
        <v>1.7035331895682966</v>
      </c>
      <c r="AK4" s="22">
        <f t="shared" ref="AK4:AK21" ca="1" si="3">(Z4+N4+(LOG(I4)*4/3))*(IF(Q4=7, (Q4/7)^0.5, ((Q4+1)/7)^0.5))</f>
        <v>1.8400261454539688</v>
      </c>
      <c r="AL4" s="22">
        <f ca="1">(AD4+1+(LOG(I4)*4/3)+N4)*(Q4/7)^0.5</f>
        <v>3.5551733891133996</v>
      </c>
      <c r="AM4" s="22">
        <f ca="1">(AD4+1+N4+(LOG(I4)*4/3))*(IF(Q4=7, (Q4/7)^0.5, ((Q4+1)/7)^0.5))</f>
        <v>3.8400261454539688</v>
      </c>
      <c r="AN4" s="8">
        <f ca="1">(AD4+LOG(I4)*4/3+N4)*0.7+(AC4+LOG(I4)*4/3+N4)*0.3</f>
        <v>2.8400261454539688</v>
      </c>
      <c r="AO4" s="8">
        <f ca="1">(0.5*(AC4+LOG(I4)*4/3+N4)+ 0.3*(AD4+LOG(I4)*4/3+N4))/10</f>
        <v>0.22720209163631749</v>
      </c>
      <c r="AP4" s="8">
        <f ca="1">(0.4*(Y4+LOG(I4)*4/3+N4)+0.3*(AD4+LOG(I4)*4/3+N4))/10</f>
        <v>0.60769071907066663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71810</v>
      </c>
    </row>
    <row r="5" spans="1:47" x14ac:dyDescent="0.25">
      <c r="A5" s="15" t="s">
        <v>356</v>
      </c>
      <c r="B5" s="15" t="s">
        <v>27</v>
      </c>
      <c r="C5" s="68">
        <f t="shared" ref="C5:C21" ca="1" si="4">((34*112)-(E5*112)-(F5))/112</f>
        <v>10.75</v>
      </c>
      <c r="D5" s="120" t="s">
        <v>335</v>
      </c>
      <c r="E5" s="16">
        <v>23</v>
      </c>
      <c r="F5" s="2">
        <f ca="1">$D$2-$D$1-880+32-112-112-112-112-112</f>
        <v>28</v>
      </c>
      <c r="G5" s="17"/>
      <c r="H5" s="106">
        <v>5</v>
      </c>
      <c r="I5" s="26">
        <v>1.4</v>
      </c>
      <c r="J5" s="21">
        <f t="shared" ref="J5:J9" si="5">LOG(I5)*4/3</f>
        <v>0.19483738090431735</v>
      </c>
      <c r="K5" s="6">
        <f t="shared" ref="K5:K9" si="6">(H5)*(H5)*(I5)</f>
        <v>35</v>
      </c>
      <c r="L5" s="6">
        <f t="shared" ref="L5:L9" si="7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8">O5*10+19</f>
        <v>79</v>
      </c>
      <c r="Q5" s="25">
        <v>6</v>
      </c>
      <c r="R5" s="63">
        <f t="shared" ref="R5:R9" si="9">(Q5/7)^0.5</f>
        <v>0.92582009977255142</v>
      </c>
      <c r="S5" s="63">
        <f t="shared" ref="S5:S9" si="10">IF(Q5=7,1,((Q5+0.99)/7)^0.5)</f>
        <v>0.99928545900129484</v>
      </c>
      <c r="T5" s="27">
        <v>3320</v>
      </c>
      <c r="U5" s="27">
        <f>T5-AU5</f>
        <v>30</v>
      </c>
      <c r="V5" s="27">
        <v>1170</v>
      </c>
      <c r="W5" s="8">
        <f t="shared" ref="W5:W9" si="11">T5/V5</f>
        <v>2.8376068376068377</v>
      </c>
      <c r="X5" s="20">
        <v>6</v>
      </c>
      <c r="Y5" s="21">
        <v>4.75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1"/>
        <v>0.96453235794025594</v>
      </c>
      <c r="AH5" s="22">
        <f t="shared" ref="AH5:AH21" ca="1" si="12">(Y5+J5+N5)*(Q5/7)^0.5</f>
        <v>5.5038499371204281</v>
      </c>
      <c r="AI5" s="22">
        <f t="shared" ref="AI5:AI21" ca="1" si="13">(Y5+J5+N5)*(IF(Q5=7, (Q5/7)^0.5, ((Q5+1)/7)^0.5))</f>
        <v>5.9448373809043176</v>
      </c>
      <c r="AJ5" s="22">
        <f t="shared" ca="1" si="2"/>
        <v>1.106204463200809</v>
      </c>
      <c r="AK5" s="22">
        <f t="shared" ca="1" si="3"/>
        <v>1.1948373809043173</v>
      </c>
      <c r="AL5" s="22">
        <f ca="1">(AD5+1+(LOG(I5)*4/3)+N5)*(Q5/7)^0.5</f>
        <v>2.9578446627459121</v>
      </c>
      <c r="AM5" s="22">
        <f ca="1">(AD5+1+N5+(LOG(I5)*4/3))*(IF(Q5=7, (Q5/7)^0.5, ((Q5+1)/7)^0.5))</f>
        <v>3.1948373809043176</v>
      </c>
      <c r="AN5" s="8">
        <f ca="1">(AD5+LOG(I5)*4/3+N5)*0.7+(AC5+LOG(I5)*4/3+N5)*0.3</f>
        <v>2.1948373809043176</v>
      </c>
      <c r="AO5" s="8">
        <f ca="1">(0.5*(AC5+LOG(I5)*4/3+N5)+ 0.3*(AD5+LOG(I5)*4/3+N5))/10</f>
        <v>0.17558699047234541</v>
      </c>
      <c r="AP5" s="8">
        <f ca="1">(0.4*(Y5+LOG(I5)*4/3+N5)+0.3*(AD5+LOG(I5)*4/3+N5))/10</f>
        <v>0.30363861666330222</v>
      </c>
      <c r="AQ5" s="70">
        <f t="shared" ref="AQ5:AQ9" si="14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3290</v>
      </c>
    </row>
    <row r="6" spans="1:47" x14ac:dyDescent="0.25">
      <c r="A6" s="15" t="s">
        <v>31</v>
      </c>
      <c r="B6" s="23" t="s">
        <v>238</v>
      </c>
      <c r="C6" s="68">
        <f t="shared" ca="1" si="4"/>
        <v>11</v>
      </c>
      <c r="D6" s="435" t="s">
        <v>346</v>
      </c>
      <c r="E6" s="1">
        <v>23</v>
      </c>
      <c r="F6" s="2">
        <f ca="1">$D$2-$D$1-1100-112-112-112</f>
        <v>0</v>
      </c>
      <c r="G6" s="3"/>
      <c r="H6" s="106">
        <v>5</v>
      </c>
      <c r="I6" s="5">
        <v>2.8</v>
      </c>
      <c r="J6" s="21">
        <f t="shared" ref="J6" si="15">LOG(I6)*4/3</f>
        <v>0.59621070845629232</v>
      </c>
      <c r="K6" s="6">
        <f t="shared" ref="K6" si="16">(H6)*(H6)*(I6)</f>
        <v>70</v>
      </c>
      <c r="L6" s="6">
        <f t="shared" ref="L6" si="17">(H6+1)*(H6+1)*I6</f>
        <v>100.8</v>
      </c>
      <c r="M6" s="71">
        <v>43395</v>
      </c>
      <c r="N6" s="72">
        <f t="shared" ca="1" si="0"/>
        <v>0.94779909417541996</v>
      </c>
      <c r="O6" s="24">
        <v>6.1</v>
      </c>
      <c r="P6" s="19">
        <f t="shared" si="8"/>
        <v>80</v>
      </c>
      <c r="Q6" s="25">
        <v>4</v>
      </c>
      <c r="R6" s="63">
        <f t="shared" ref="R6" si="18">(Q6/7)^0.5</f>
        <v>0.7559289460184544</v>
      </c>
      <c r="S6" s="63">
        <f t="shared" ref="S6" si="19">IF(Q6=7,1,((Q6+0.99)/7)^0.5)</f>
        <v>0.84430867747355465</v>
      </c>
      <c r="T6" s="27">
        <v>97670</v>
      </c>
      <c r="U6" s="27">
        <f>T6-AU6</f>
        <v>6100</v>
      </c>
      <c r="V6" s="7">
        <v>27800</v>
      </c>
      <c r="W6" s="8">
        <f t="shared" ref="W6" si="20">T6/V6</f>
        <v>3.5133093525179855</v>
      </c>
      <c r="X6" s="20">
        <v>0</v>
      </c>
      <c r="Y6" s="21">
        <f>15+1/16</f>
        <v>15.0625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121</v>
      </c>
      <c r="AF6" s="9">
        <v>2033</v>
      </c>
      <c r="AG6" s="8">
        <f t="shared" ca="1" si="1"/>
        <v>2.994851526232635</v>
      </c>
      <c r="AH6" s="22">
        <f t="shared" ca="1" si="12"/>
        <v>12.553341452148523</v>
      </c>
      <c r="AI6" s="22">
        <f t="shared" ca="1" si="13"/>
        <v>14.03506241588501</v>
      </c>
      <c r="AJ6" s="22">
        <f t="shared" ca="1" si="2"/>
        <v>4.9468064328378238</v>
      </c>
      <c r="AK6" s="22">
        <f t="shared" ca="1" si="3"/>
        <v>5.5306977276793114</v>
      </c>
      <c r="AL6" s="22">
        <f ca="1">(AD6+1+(LOG(I6)*4/3)+N6)*(Q6/7)^0.5</f>
        <v>2.6790195947824609</v>
      </c>
      <c r="AM6" s="22">
        <f ca="1">(AD6+1+N6+(LOG(I6)*4/3))*(IF(Q6=7, (Q6/7)^0.5, ((Q6+1)/7)^0.5))</f>
        <v>2.9952349634937621</v>
      </c>
      <c r="AN6" s="8">
        <f ca="1">(AD6+LOG(I6)*4/3+N6)*0.7+(AC6+LOG(I6)*4/3+N6)*0.3</f>
        <v>2.844009802631712</v>
      </c>
      <c r="AO6" s="8">
        <f ca="1">(0.5*(AC6+LOG(I6)*4/3+N6)+ 0.3*(AD6+LOG(I6)*4/3+N6))/10</f>
        <v>0.25352078421053698</v>
      </c>
      <c r="AP6" s="8">
        <f ca="1">(0.4*(Y6+LOG(I6)*4/3+N6)+0.3*(AD6+LOG(I6)*4/3+N6))/10</f>
        <v>0.74058068618421991</v>
      </c>
      <c r="AQ6" s="70">
        <f t="shared" ref="AQ6" si="21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91570</v>
      </c>
    </row>
    <row r="7" spans="1:47" x14ac:dyDescent="0.25">
      <c r="A7" s="15" t="s">
        <v>33</v>
      </c>
      <c r="B7" s="15" t="s">
        <v>238</v>
      </c>
      <c r="C7" s="68">
        <f t="shared" ca="1" si="4"/>
        <v>11.169642857142858</v>
      </c>
      <c r="D7" s="435" t="s">
        <v>350</v>
      </c>
      <c r="E7" s="16">
        <v>22</v>
      </c>
      <c r="F7" s="2">
        <f ca="1">$D$2-$D$1-1102-17-112-112</f>
        <v>93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1">
        <v>43410</v>
      </c>
      <c r="N7" s="72">
        <f t="shared" ca="1" si="0"/>
        <v>0.91808978211137449</v>
      </c>
      <c r="O7" s="18">
        <v>6.4</v>
      </c>
      <c r="P7" s="19">
        <f>O7*10+19</f>
        <v>83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116940</v>
      </c>
      <c r="U7" s="27">
        <f>T7-AU7</f>
        <v>4530</v>
      </c>
      <c r="V7" s="27">
        <v>19870</v>
      </c>
      <c r="W7" s="8">
        <f>T7/V7</f>
        <v>5.8852541519879216</v>
      </c>
      <c r="X7" s="20">
        <v>0</v>
      </c>
      <c r="Y7" s="21">
        <f>15+0/16</f>
        <v>15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122.5</v>
      </c>
      <c r="AF7" s="9">
        <v>2051</v>
      </c>
      <c r="AG7" s="8">
        <f t="shared" ca="1" si="1"/>
        <v>3.538183961786082</v>
      </c>
      <c r="AH7" s="22">
        <f t="shared" ca="1" si="12"/>
        <v>15.452987879951136</v>
      </c>
      <c r="AI7" s="22">
        <f t="shared" ca="1" si="13"/>
        <v>16.691134577600454</v>
      </c>
      <c r="AJ7" s="22">
        <f t="shared" ca="1" si="2"/>
        <v>6.194786882225622</v>
      </c>
      <c r="AK7" s="22">
        <f t="shared" ca="1" si="3"/>
        <v>6.6911345776004554</v>
      </c>
      <c r="AL7" s="22">
        <f ca="1">(AD7+1+(LOG(I7)*4/3)+N7)*(Q7/7)^0.5</f>
        <v>2.4915064831354159</v>
      </c>
      <c r="AM7" s="22">
        <f ca="1">(AD7+1+N7+(LOG(I7)*4/3))*(IF(Q7=7, (Q7/7)^0.5, ((Q7+1)/7)^0.5))</f>
        <v>2.6911345776004545</v>
      </c>
      <c r="AN7" s="8">
        <f ca="1">(AD7+LOG(I7)*4/3+N7)*0.7+(AC7+LOG(I7)*4/3+N7)*0.3</f>
        <v>1.9911345776004543</v>
      </c>
      <c r="AO7" s="8">
        <f ca="1">(0.5*(AC7+LOG(I7)*4/3+N7)+ 0.3*(AD7+LOG(I7)*4/3+N7))/10</f>
        <v>0.18529076620803636</v>
      </c>
      <c r="AP7" s="8">
        <f ca="1">(0.4*(Y7+LOG(I7)*4/3+N7)+0.3*(AD7+LOG(I7)*4/3+N7))/10</f>
        <v>0.71837942043203185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112410</v>
      </c>
    </row>
    <row r="8" spans="1:47" x14ac:dyDescent="0.25">
      <c r="A8" s="15" t="s">
        <v>38</v>
      </c>
      <c r="B8" s="15" t="s">
        <v>238</v>
      </c>
      <c r="C8" s="68">
        <f t="shared" ca="1" si="4"/>
        <v>10.723214285714286</v>
      </c>
      <c r="D8" s="435" t="s">
        <v>345</v>
      </c>
      <c r="E8" s="16">
        <v>23</v>
      </c>
      <c r="F8" s="2">
        <f ca="1">$D$2-$D$1-1069-112-112-112</f>
        <v>31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1">
        <v>43383</v>
      </c>
      <c r="N8" s="72">
        <f t="shared" ca="1" si="0"/>
        <v>0.97119420690995484</v>
      </c>
      <c r="O8" s="18">
        <v>6.2</v>
      </c>
      <c r="P8" s="19">
        <f>O8*10+19</f>
        <v>81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95710</v>
      </c>
      <c r="U8" s="27">
        <f>T8-AU8</f>
        <v>1280</v>
      </c>
      <c r="V8" s="27">
        <v>11670</v>
      </c>
      <c r="W8" s="8">
        <f>T8/V8</f>
        <v>8.2013710368466146</v>
      </c>
      <c r="X8" s="20">
        <v>0</v>
      </c>
      <c r="Y8" s="21">
        <f>13+2/12</f>
        <v>13.166666666666666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113.5</v>
      </c>
      <c r="AF8" s="9">
        <v>1937</v>
      </c>
      <c r="AG8" s="8">
        <f t="shared" ca="1" si="1"/>
        <v>4.0924998767101757</v>
      </c>
      <c r="AH8" s="22">
        <f t="shared" ca="1" si="12"/>
        <v>12.627118021093292</v>
      </c>
      <c r="AI8" s="22">
        <f t="shared" ca="1" si="13"/>
        <v>13.83231475286558</v>
      </c>
      <c r="AJ8" s="22">
        <f t="shared" ca="1" si="2"/>
        <v>4.034716431353373</v>
      </c>
      <c r="AK8" s="22">
        <f t="shared" ca="1" si="3"/>
        <v>4.419810405177973</v>
      </c>
      <c r="AL8" s="22">
        <f ca="1">(AD8+1+(LOG(I8)*4/3)+N8)*(Q8/7)^0.5</f>
        <v>4.034716431353373</v>
      </c>
      <c r="AM8" s="22">
        <f ca="1">(AD8+1+N8+(LOG(I8)*4/3))*(IF(Q8=7, (Q8/7)^0.5, ((Q8+1)/7)^0.5))</f>
        <v>4.419810405177973</v>
      </c>
      <c r="AN8" s="8">
        <f ca="1">(AD8+LOG(I8)*4/3+N8)*0.7+(AC8+LOG(I8)*4/3+N8)*0.3</f>
        <v>4.0739408620139042</v>
      </c>
      <c r="AO8" s="8">
        <f ca="1">(0.5*(AC8+LOG(I8)*4/3+N8)+ 0.3*(AD8+LOG(I8)*4/3+N8))/10</f>
        <v>0.35191526896111236</v>
      </c>
      <c r="AP8" s="8">
        <f ca="1">(0.4*(Y8+LOG(I8)*4/3+N8)+0.3*(AD8+LOG(I8)*4/3+N8))/10</f>
        <v>0.71084252700763995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94430</v>
      </c>
    </row>
    <row r="9" spans="1:47" x14ac:dyDescent="0.25">
      <c r="A9" s="15" t="s">
        <v>31</v>
      </c>
      <c r="B9" s="15" t="s">
        <v>238</v>
      </c>
      <c r="C9" s="68">
        <f t="shared" ca="1" si="4"/>
        <v>10.857142857142858</v>
      </c>
      <c r="D9" s="435" t="s">
        <v>354</v>
      </c>
      <c r="E9" s="1">
        <v>23</v>
      </c>
      <c r="F9" s="2">
        <f ca="1">$D$2-$D$1-880+55-112-112-14-21-112-112-112</f>
        <v>16</v>
      </c>
      <c r="G9" s="3"/>
      <c r="H9" s="4">
        <v>4</v>
      </c>
      <c r="I9" s="5">
        <v>4.7</v>
      </c>
      <c r="J9" s="21">
        <f t="shared" si="5"/>
        <v>0.8961304772476234</v>
      </c>
      <c r="K9" s="6">
        <f t="shared" si="6"/>
        <v>75.2</v>
      </c>
      <c r="L9" s="6">
        <f t="shared" si="7"/>
        <v>117.5</v>
      </c>
      <c r="M9" s="71">
        <v>43419</v>
      </c>
      <c r="N9" s="72">
        <f t="shared" ca="1" si="0"/>
        <v>0.90000220379067897</v>
      </c>
      <c r="O9" s="24">
        <v>6.2</v>
      </c>
      <c r="P9" s="19">
        <f t="shared" si="8"/>
        <v>81</v>
      </c>
      <c r="Q9" s="25">
        <v>5</v>
      </c>
      <c r="R9" s="63">
        <f t="shared" si="9"/>
        <v>0.84515425472851657</v>
      </c>
      <c r="S9" s="63">
        <f t="shared" si="10"/>
        <v>0.92504826128926143</v>
      </c>
      <c r="T9" s="27">
        <v>92160</v>
      </c>
      <c r="U9" s="27">
        <f>T9-AU9</f>
        <v>-1330</v>
      </c>
      <c r="V9" s="7">
        <v>7670</v>
      </c>
      <c r="W9" s="8">
        <f t="shared" si="11"/>
        <v>12.015645371577575</v>
      </c>
      <c r="X9" s="20">
        <v>0</v>
      </c>
      <c r="Y9" s="21">
        <f>11+2/9</f>
        <v>11.222222222222221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120.5</v>
      </c>
      <c r="AF9" s="9">
        <v>2010</v>
      </c>
      <c r="AG9" s="8">
        <f t="shared" ca="1" si="1"/>
        <v>3.6865982025313553</v>
      </c>
      <c r="AH9" s="22">
        <f t="shared" ca="1" si="12"/>
        <v>11.002518036056479</v>
      </c>
      <c r="AI9" s="22">
        <f t="shared" ca="1" si="13"/>
        <v>12.052654635411143</v>
      </c>
      <c r="AJ9" s="22">
        <f t="shared" ca="1" si="2"/>
        <v>10.814705979450142</v>
      </c>
      <c r="AK9" s="22">
        <f t="shared" ca="1" si="3"/>
        <v>11.846916835461688</v>
      </c>
      <c r="AL9" s="22">
        <f ca="1">(AD9+1+(LOG(I9)*4/3)+N9)*(Q9/7)^0.5</f>
        <v>3.2083176868934919</v>
      </c>
      <c r="AM9" s="22">
        <f ca="1">(AD9+1+N9+(LOG(I9)*4/3))*(IF(Q9=7, (Q9/7)^0.5, ((Q9+1)/7)^0.5))</f>
        <v>3.5145359375087244</v>
      </c>
      <c r="AN9" s="8">
        <f ca="1">(AD9+LOG(I9)*4/3+N9)*0.7+(AC9+LOG(I9)*4/3+N9)*0.3</f>
        <v>3.6961326810383017</v>
      </c>
      <c r="AO9" s="8">
        <f ca="1">(0.5*(AC9+LOG(I9)*4/3+N9)+ 0.3*(AD9+LOG(I9)*4/3+N9))/10</f>
        <v>0.37369061448306418</v>
      </c>
      <c r="AP9" s="8">
        <f ca="1">(0.4*(Y9+LOG(I9)*4/3+N9)+0.3*(AD9+LOG(I9)*4/3+N9))/10</f>
        <v>0.60461817656157002</v>
      </c>
      <c r="AQ9" s="70">
        <f t="shared" si="14"/>
        <v>6.1499999999999999E-2</v>
      </c>
      <c r="AR9" s="19">
        <v>0</v>
      </c>
      <c r="AS9" s="19">
        <v>2</v>
      </c>
      <c r="AT9" s="19">
        <v>2</v>
      </c>
      <c r="AU9" s="27">
        <v>93490</v>
      </c>
    </row>
    <row r="10" spans="1:47" x14ac:dyDescent="0.25">
      <c r="A10" s="15" t="s">
        <v>193</v>
      </c>
      <c r="B10" s="15" t="s">
        <v>111</v>
      </c>
      <c r="C10" s="68">
        <f t="shared" ca="1" si="4"/>
        <v>11.071428571428571</v>
      </c>
      <c r="D10" s="120"/>
      <c r="E10" s="1">
        <v>22</v>
      </c>
      <c r="F10" s="2">
        <f ca="1">$D$2-$D$1-880-4-112-112-112-112</f>
        <v>104</v>
      </c>
      <c r="G10" s="3"/>
      <c r="H10" s="4"/>
      <c r="I10" s="5">
        <v>4</v>
      </c>
      <c r="J10" s="21">
        <f>LOG(I10)*4/3</f>
        <v>0.80274665510394982</v>
      </c>
      <c r="K10" s="6">
        <f>(H10)*(H10)*(I10)</f>
        <v>0</v>
      </c>
      <c r="L10" s="6">
        <f>(H10+1)*(H10+1)*I10</f>
        <v>4</v>
      </c>
      <c r="M10" s="71">
        <v>43703</v>
      </c>
      <c r="N10" s="72">
        <f ca="1">IF((TODAY()-M10)&gt;335,1,((TODAY()-M10)^0.64)/(336^0.64))</f>
        <v>2.4162555382234736E-2</v>
      </c>
      <c r="O10" s="24"/>
      <c r="P10" s="19">
        <f>O10*10+19</f>
        <v>19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/>
      <c r="U10" s="27">
        <f>T10-AU10</f>
        <v>0</v>
      </c>
      <c r="V10" s="7"/>
      <c r="W10" s="8" t="e">
        <f>T10/V10</f>
        <v>#DIV/0!</v>
      </c>
      <c r="X10" s="20"/>
      <c r="Y10" s="21">
        <v>13</v>
      </c>
      <c r="Z10" s="20"/>
      <c r="AA10" s="21"/>
      <c r="AB10" s="20">
        <v>10</v>
      </c>
      <c r="AC10" s="21"/>
      <c r="AD10" s="20"/>
      <c r="AE10" s="9"/>
      <c r="AF10" s="9"/>
      <c r="AG10" s="8">
        <f t="shared" ca="1" si="1"/>
        <v>3.7483359898238553</v>
      </c>
      <c r="AH10" s="22">
        <f t="shared" ca="1" si="12"/>
        <v>11.685871148987314</v>
      </c>
      <c r="AI10" s="22">
        <f t="shared" ca="1" si="13"/>
        <v>12.80123046479833</v>
      </c>
      <c r="AJ10" s="22">
        <f t="shared" ca="1" si="2"/>
        <v>0.69886583751659737</v>
      </c>
      <c r="AK10" s="22">
        <f t="shared" ca="1" si="3"/>
        <v>0.76556916775516115</v>
      </c>
      <c r="AL10" s="22">
        <f ca="1">(AD10+1+(LOG(I10)*4/3)+N10)*(Q10/7)^0.5</f>
        <v>1.5440200922451137</v>
      </c>
      <c r="AM10" s="22">
        <f ca="1">(AD10+1+N10+(LOG(I10)*4/3))*(IF(Q10=7, (Q10/7)^0.5, ((Q10+1)/7)^0.5))</f>
        <v>1.6913892675277125</v>
      </c>
      <c r="AN10" s="8">
        <f ca="1">(AD10+LOG(I10)*4/3+N10)*0.7+(AC10+LOG(I10)*4/3+N10)*0.3</f>
        <v>0.82690921048618449</v>
      </c>
      <c r="AO10" s="8">
        <f ca="1">(0.5*(AC10+LOG(I10)*4/3+N10)+ 0.3*(AD10+LOG(I10)*4/3+N10))/10</f>
        <v>6.6152736838894763E-2</v>
      </c>
      <c r="AP10" s="8">
        <f ca="1">(0.4*(Y10+LOG(I10)*4/3+N10)+0.3*(AD10+LOG(I10)*4/3+N10))/10</f>
        <v>0.57788364473403298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4.9399999999999999E-2</v>
      </c>
      <c r="AR10" s="19">
        <v>3</v>
      </c>
      <c r="AS10" s="19">
        <v>1</v>
      </c>
      <c r="AT10" s="19">
        <v>2</v>
      </c>
      <c r="AU10" s="27"/>
    </row>
    <row r="11" spans="1:47" x14ac:dyDescent="0.25">
      <c r="A11" s="15" t="s">
        <v>42</v>
      </c>
      <c r="B11" s="15" t="s">
        <v>367</v>
      </c>
      <c r="C11" s="68">
        <f t="shared" ca="1" si="4"/>
        <v>11.035714285714286</v>
      </c>
      <c r="D11" s="435" t="s">
        <v>246</v>
      </c>
      <c r="E11" s="1">
        <v>22</v>
      </c>
      <c r="F11" s="2">
        <f ca="1">$D$2-$D$1-880-112-112-112-112</f>
        <v>108</v>
      </c>
      <c r="G11" s="3" t="s">
        <v>190</v>
      </c>
      <c r="H11" s="106">
        <v>5</v>
      </c>
      <c r="I11" s="5">
        <v>4.4000000000000004</v>
      </c>
      <c r="J11" s="21">
        <f t="shared" ref="J11:J13" si="22">LOG(I11)*4/3</f>
        <v>0.85793690198158323</v>
      </c>
      <c r="K11" s="6">
        <f t="shared" ref="K11:K13" si="23">(H11)*(H11)*(I11)</f>
        <v>110.00000000000001</v>
      </c>
      <c r="L11" s="6">
        <f t="shared" ref="L11:L13" si="24">(H11+1)*(H11+1)*I11</f>
        <v>158.4</v>
      </c>
      <c r="M11" s="71">
        <v>43137</v>
      </c>
      <c r="N11" s="72">
        <f t="shared" ref="N11:N17" ca="1" si="25">IF((TODAY()-M11)&gt;335,1,((TODAY()-M11)^0.64)/(336^0.64))</f>
        <v>1</v>
      </c>
      <c r="O11" s="24">
        <v>6</v>
      </c>
      <c r="P11" s="19">
        <f t="shared" ref="P11:P13" si="26">O11*10+19</f>
        <v>79</v>
      </c>
      <c r="Q11" s="25">
        <v>7</v>
      </c>
      <c r="R11" s="63">
        <f t="shared" ref="R11:R13" si="27">(Q11/7)^0.5</f>
        <v>1</v>
      </c>
      <c r="S11" s="63">
        <f t="shared" ref="S11:S13" si="28">IF(Q11=7,1,((Q11+0.99)/7)^0.5)</f>
        <v>1</v>
      </c>
      <c r="T11" s="27">
        <v>123920</v>
      </c>
      <c r="U11" s="27">
        <f>T11-AU11</f>
        <v>2980</v>
      </c>
      <c r="V11" s="7">
        <v>8650</v>
      </c>
      <c r="W11" s="8">
        <f t="shared" ref="W11:W13" si="29">T11/V11</f>
        <v>14.326011560693642</v>
      </c>
      <c r="X11" s="20">
        <v>0</v>
      </c>
      <c r="Y11" s="21">
        <f>12+5/10</f>
        <v>12.5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130.5</v>
      </c>
      <c r="AF11" s="9">
        <v>2057</v>
      </c>
      <c r="AG11" s="8">
        <f t="shared" ca="1" si="1"/>
        <v>3.3842263382430939</v>
      </c>
      <c r="AH11" s="22">
        <f t="shared" ca="1" si="12"/>
        <v>14.357936901981583</v>
      </c>
      <c r="AI11" s="22">
        <f t="shared" ca="1" si="13"/>
        <v>14.357936901981583</v>
      </c>
      <c r="AJ11" s="22">
        <f t="shared" ca="1" si="2"/>
        <v>5.8579369019815832</v>
      </c>
      <c r="AK11" s="22">
        <f t="shared" ca="1" si="3"/>
        <v>5.8579369019815832</v>
      </c>
      <c r="AL11" s="22">
        <f ca="1">(AD11+1+(LOG(I11)*4/3)+N11)*(Q11/7)^0.5</f>
        <v>5.8579369019815832</v>
      </c>
      <c r="AM11" s="22">
        <f ca="1">(AD11+1+N11+(LOG(I11)*4/3))*(IF(Q11=7, (Q11/7)^0.5, ((Q11+1)/7)^0.5))</f>
        <v>5.8579369019815832</v>
      </c>
      <c r="AN11" s="8">
        <f ca="1">(AD11+LOG(I11)*4/3+N11)*0.7+(AC11+LOG(I11)*4/3+N11)*0.3</f>
        <v>6.0579369019815825</v>
      </c>
      <c r="AO11" s="8">
        <f ca="1">(0.5*(AC11+LOG(I11)*4/3+N11)+ 0.3*(AD11+LOG(I11)*4/3+N11))/10</f>
        <v>0.58863495215852668</v>
      </c>
      <c r="AP11" s="8">
        <f ca="1">(0.4*(Y11+LOG(I11)*4/3+N11)+0.3*(AD11+LOG(I11)*4/3+N11))/10</f>
        <v>0.72005558313871088</v>
      </c>
      <c r="AQ11" s="70">
        <f t="shared" ref="AQ11:AQ13" si="30"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1</v>
      </c>
      <c r="AS11" s="19">
        <v>2</v>
      </c>
      <c r="AT11" s="19">
        <v>3</v>
      </c>
      <c r="AU11" s="27">
        <v>120940</v>
      </c>
    </row>
    <row r="12" spans="1:47" x14ac:dyDescent="0.25">
      <c r="A12" s="15" t="s">
        <v>32</v>
      </c>
      <c r="B12" s="15" t="s">
        <v>367</v>
      </c>
      <c r="C12" s="68">
        <f t="shared" ca="1" si="4"/>
        <v>11.383928571428571</v>
      </c>
      <c r="D12" s="435" t="s">
        <v>245</v>
      </c>
      <c r="E12" s="1">
        <v>22</v>
      </c>
      <c r="F12" s="2">
        <f ca="1">$D$2-$D$1-1367</f>
        <v>69</v>
      </c>
      <c r="G12" s="3" t="s">
        <v>44</v>
      </c>
      <c r="H12" s="4">
        <v>3</v>
      </c>
      <c r="I12" s="5">
        <v>4.5</v>
      </c>
      <c r="J12" s="21">
        <f t="shared" si="22"/>
        <v>0.87095001836712493</v>
      </c>
      <c r="K12" s="6">
        <f t="shared" si="23"/>
        <v>40.5</v>
      </c>
      <c r="L12" s="6">
        <f t="shared" si="24"/>
        <v>72</v>
      </c>
      <c r="M12" s="71">
        <v>43122</v>
      </c>
      <c r="N12" s="72">
        <f t="shared" ca="1" si="25"/>
        <v>1</v>
      </c>
      <c r="O12" s="24">
        <v>6</v>
      </c>
      <c r="P12" s="19">
        <f t="shared" si="26"/>
        <v>79</v>
      </c>
      <c r="Q12" s="25">
        <v>5</v>
      </c>
      <c r="R12" s="63">
        <f t="shared" si="27"/>
        <v>0.84515425472851657</v>
      </c>
      <c r="S12" s="63">
        <f t="shared" si="28"/>
        <v>0.92504826128926143</v>
      </c>
      <c r="T12" s="27">
        <v>106410</v>
      </c>
      <c r="U12" s="27">
        <f>T12-AU12</f>
        <v>-2340</v>
      </c>
      <c r="V12" s="7">
        <v>9290</v>
      </c>
      <c r="W12" s="8">
        <f t="shared" si="29"/>
        <v>11.454251883745963</v>
      </c>
      <c r="X12" s="20">
        <v>0</v>
      </c>
      <c r="Y12" s="21">
        <f>11+6/9</f>
        <v>11.666666666666666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126.5</v>
      </c>
      <c r="AF12" s="9">
        <v>2156</v>
      </c>
      <c r="AG12" s="8">
        <f t="shared" ca="1" si="1"/>
        <v>3.3573242213272874</v>
      </c>
      <c r="AH12" s="22">
        <f t="shared" ca="1" si="12"/>
        <v>11.441374340240065</v>
      </c>
      <c r="AI12" s="22">
        <f t="shared" ca="1" si="13"/>
        <v>12.533397630020541</v>
      </c>
      <c r="AJ12" s="22">
        <f t="shared" ca="1" si="2"/>
        <v>4.1167041325929219</v>
      </c>
      <c r="AK12" s="22">
        <f t="shared" ca="1" si="3"/>
        <v>4.5096234319917627</v>
      </c>
      <c r="AL12" s="22">
        <f ca="1">(AD12+1+(LOG(I12)*4/3)+N12)*(Q12/7)^0.5</f>
        <v>4.9618583873214384</v>
      </c>
      <c r="AM12" s="22">
        <f ca="1">(AD12+1+N12+(LOG(I12)*4/3))*(IF(Q12=7, (Q12/7)^0.5, ((Q12+1)/7)^0.5))</f>
        <v>5.4354435317643146</v>
      </c>
      <c r="AN12" s="8">
        <f ca="1">(AD12+LOG(I12)*4/3+N12)*0.7+(AC12+LOG(I12)*4/3+N12)*0.3</f>
        <v>6.0709500183671246</v>
      </c>
      <c r="AO12" s="8">
        <f ca="1">(0.5*(AC12+LOG(I12)*4/3+N12)+ 0.3*(AD12+LOG(I12)*4/3+N12))/10</f>
        <v>0.58967600146937005</v>
      </c>
      <c r="AP12" s="8">
        <f ca="1">(0.4*(Y12+LOG(I12)*4/3+N12)+0.3*(AD12+LOG(I12)*4/3+N12))/10</f>
        <v>0.68763316795236551</v>
      </c>
      <c r="AQ12" s="70">
        <f t="shared" si="30"/>
        <v>2.63E-2</v>
      </c>
      <c r="AR12" s="19">
        <v>2</v>
      </c>
      <c r="AS12" s="19">
        <v>0</v>
      </c>
      <c r="AT12" s="19">
        <v>2</v>
      </c>
      <c r="AU12" s="27">
        <v>108750</v>
      </c>
    </row>
    <row r="13" spans="1:47" x14ac:dyDescent="0.25">
      <c r="A13" s="15" t="s">
        <v>40</v>
      </c>
      <c r="B13" s="15" t="s">
        <v>367</v>
      </c>
      <c r="C13" s="68">
        <f t="shared" ca="1" si="4"/>
        <v>11.035714285714286</v>
      </c>
      <c r="D13" s="435" t="s">
        <v>192</v>
      </c>
      <c r="E13" s="16">
        <v>22</v>
      </c>
      <c r="F13" s="2">
        <f ca="1">$D$2-$D$1-880-112-112-112-112</f>
        <v>108</v>
      </c>
      <c r="G13" s="17" t="s">
        <v>190</v>
      </c>
      <c r="H13" s="35">
        <v>6</v>
      </c>
      <c r="I13" s="26">
        <v>4.4000000000000004</v>
      </c>
      <c r="J13" s="21">
        <f t="shared" si="22"/>
        <v>0.85793690198158323</v>
      </c>
      <c r="K13" s="6">
        <f t="shared" si="23"/>
        <v>158.4</v>
      </c>
      <c r="L13" s="6">
        <f t="shared" si="24"/>
        <v>215.60000000000002</v>
      </c>
      <c r="M13" s="71">
        <v>43051</v>
      </c>
      <c r="N13" s="72">
        <f t="shared" ca="1" si="25"/>
        <v>1</v>
      </c>
      <c r="O13" s="18">
        <v>6</v>
      </c>
      <c r="P13" s="19">
        <f t="shared" si="26"/>
        <v>79</v>
      </c>
      <c r="Q13" s="25">
        <v>6</v>
      </c>
      <c r="R13" s="63">
        <f t="shared" si="27"/>
        <v>0.92582009977255142</v>
      </c>
      <c r="S13" s="63">
        <f t="shared" si="28"/>
        <v>0.99928545900129484</v>
      </c>
      <c r="T13" s="27">
        <v>85620</v>
      </c>
      <c r="U13" s="27">
        <f>T13-AU13</f>
        <v>7350</v>
      </c>
      <c r="V13" s="27">
        <v>5690</v>
      </c>
      <c r="W13" s="8">
        <f t="shared" si="29"/>
        <v>15.047451669595782</v>
      </c>
      <c r="X13" s="20">
        <v>0</v>
      </c>
      <c r="Y13" s="21">
        <f>11+3/9</f>
        <v>11.333333333333334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113.5</v>
      </c>
      <c r="AF13" s="9">
        <v>1977</v>
      </c>
      <c r="AG13" s="8">
        <f t="shared" ca="1" si="1"/>
        <v>3.3916428773116216</v>
      </c>
      <c r="AH13" s="22">
        <f t="shared" ca="1" si="12"/>
        <v>12.212743125385945</v>
      </c>
      <c r="AI13" s="22">
        <f t="shared" ca="1" si="13"/>
        <v>13.191270235314917</v>
      </c>
      <c r="AJ13" s="22">
        <f t="shared" ca="1" si="2"/>
        <v>4.497575627281349</v>
      </c>
      <c r="AK13" s="22">
        <f t="shared" ca="1" si="3"/>
        <v>4.8579369019815832</v>
      </c>
      <c r="AL13" s="22">
        <f ca="1">(AD13+1+(LOG(I13)*4/3)+N13)*(Q13/7)^0.5</f>
        <v>5.4233957270538999</v>
      </c>
      <c r="AM13" s="22">
        <f ca="1">(AD13+1+N13+(LOG(I13)*4/3))*(IF(Q13=7, (Q13/7)^0.5, ((Q13+1)/7)^0.5))</f>
        <v>5.8579369019815832</v>
      </c>
      <c r="AN13" s="8">
        <f ca="1">(AD13+LOG(I13)*4/3+N13)*0.7+(AC13+LOG(I13)*4/3+N13)*0.3</f>
        <v>6.1329369019815836</v>
      </c>
      <c r="AO13" s="8">
        <f ca="1">(0.5*(AC13+LOG(I13)*4/3+N13)+ 0.3*(AD13+LOG(I13)*4/3+N13))/10</f>
        <v>0.60113495215852664</v>
      </c>
      <c r="AP13" s="8">
        <f ca="1">(0.4*(Y13+LOG(I13)*4/3+N13)+0.3*(AD13+LOG(I13)*4/3+N13))/10</f>
        <v>0.67338891647204424</v>
      </c>
      <c r="AQ13" s="70">
        <f t="shared" si="30"/>
        <v>6.1499999999999999E-2</v>
      </c>
      <c r="AR13" s="19">
        <v>2</v>
      </c>
      <c r="AS13" s="19">
        <v>2</v>
      </c>
      <c r="AT13" s="19">
        <v>1</v>
      </c>
      <c r="AU13" s="27">
        <v>78270</v>
      </c>
    </row>
    <row r="14" spans="1:47" x14ac:dyDescent="0.25">
      <c r="A14" s="15" t="s">
        <v>30</v>
      </c>
      <c r="B14" s="15" t="s">
        <v>367</v>
      </c>
      <c r="C14" s="68">
        <f t="shared" ca="1" si="4"/>
        <v>11.071428571428571</v>
      </c>
      <c r="D14" s="435" t="s">
        <v>188</v>
      </c>
      <c r="E14" s="16">
        <v>22</v>
      </c>
      <c r="F14" s="2">
        <f ca="1">$D$2-$D$1-880-4-112-112-112-112</f>
        <v>104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1">
        <v>43046</v>
      </c>
      <c r="N14" s="72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114050</v>
      </c>
      <c r="U14" s="27">
        <f>T14-AU14</f>
        <v>-10830</v>
      </c>
      <c r="V14" s="27">
        <v>13450</v>
      </c>
      <c r="W14" s="8">
        <f>T14/V14</f>
        <v>8.4795539033457246</v>
      </c>
      <c r="X14" s="20">
        <v>0</v>
      </c>
      <c r="Y14" s="21">
        <f>10+0/8</f>
        <v>10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127</v>
      </c>
      <c r="AF14" s="9">
        <v>2074</v>
      </c>
      <c r="AG14" s="8">
        <f t="shared" si="1"/>
        <v>3.1371999180707348</v>
      </c>
      <c r="AH14" s="22">
        <f t="shared" si="12"/>
        <v>10.506923893500868</v>
      </c>
      <c r="AI14" s="22">
        <f t="shared" si="13"/>
        <v>11.509758452920865</v>
      </c>
      <c r="AJ14" s="22">
        <f t="shared" si="2"/>
        <v>6.8727605981682478</v>
      </c>
      <c r="AK14" s="22">
        <f t="shared" si="3"/>
        <v>7.5287320238988951</v>
      </c>
      <c r="AL14" s="22">
        <f>(AD14+1+(LOG(I14)*4/3)+N14)*(Q14/7)^0.5</f>
        <v>7.1263068745868035</v>
      </c>
      <c r="AM14" s="22">
        <f>(AD14+1+N14+(LOG(I14)*4/3))*(IF(Q14=7, (Q14/7)^0.5, ((Q14+1)/7)^0.5))</f>
        <v>7.8064780538306602</v>
      </c>
      <c r="AN14" s="8">
        <f>(AD14+LOG(I14)*4/3+N14)*0.7+(AC14+LOG(I14)*4/3+N14)*0.3</f>
        <v>8.1819600057813577</v>
      </c>
      <c r="AO14" s="8">
        <f>(0.5*(AC14+LOG(I14)*4/3+N14)+ 0.3*(AD14+LOG(I14)*4/3+N14))/10</f>
        <v>0.71955680046250858</v>
      </c>
      <c r="AP14" s="8">
        <f>(0.4*(Y14+LOG(I14)*4/3+N14)+0.3*(AD14+LOG(I14)*4/3+N14))/10</f>
        <v>0.72023720040469519</v>
      </c>
      <c r="AQ14" s="70">
        <f>IF(AS14=4,IF(AT14=0,0.137+0.0697,0.137+0.02),IF(AS14=3,IF(AT14=0,0.0958+0.0697,0.0958+0.02),IF(AS14=2,IF(AT14=0,0.0415+0.0697,0.0415+0.02),IF(AS14=1,IF(AT14=0,0.0294+0.0697,0.0294+0.02),IF(AS14=0,IF(AT14=0,0.0063+0.0697,0.0063+0.02))))))</f>
        <v>0.1158</v>
      </c>
      <c r="AR14" s="19">
        <v>4</v>
      </c>
      <c r="AS14" s="19">
        <v>3</v>
      </c>
      <c r="AT14" s="19">
        <v>2</v>
      </c>
      <c r="AU14" s="27">
        <v>124880</v>
      </c>
    </row>
    <row r="15" spans="1:47" x14ac:dyDescent="0.25">
      <c r="A15" s="15" t="s">
        <v>35</v>
      </c>
      <c r="B15" s="15" t="s">
        <v>367</v>
      </c>
      <c r="C15" s="68">
        <f t="shared" ca="1" si="4"/>
        <v>11.071428571428571</v>
      </c>
      <c r="D15" s="435" t="s">
        <v>243</v>
      </c>
      <c r="E15" s="16">
        <v>22</v>
      </c>
      <c r="F15" s="2">
        <f ca="1">$D$2-$D$1-880-4-112-112-112-112</f>
        <v>104</v>
      </c>
      <c r="G15" s="17" t="s">
        <v>190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1">
        <v>43054</v>
      </c>
      <c r="N15" s="72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95030</v>
      </c>
      <c r="U15" s="27">
        <f>T15-AU15</f>
        <v>-170</v>
      </c>
      <c r="V15" s="27">
        <v>9050</v>
      </c>
      <c r="W15" s="8">
        <f>T15/V15</f>
        <v>10.500552486187845</v>
      </c>
      <c r="X15" s="20">
        <v>0</v>
      </c>
      <c r="Y15" s="21">
        <f>10+3/8</f>
        <v>10.375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116.88</v>
      </c>
      <c r="AF15" s="9">
        <v>1986</v>
      </c>
      <c r="AG15" s="8">
        <f t="shared" ca="1" si="1"/>
        <v>2.7899465091901119</v>
      </c>
      <c r="AH15" s="22">
        <f t="shared" ca="1" si="12"/>
        <v>10.327467728162731</v>
      </c>
      <c r="AI15" s="22">
        <f t="shared" ca="1" si="13"/>
        <v>11.313174073242715</v>
      </c>
      <c r="AJ15" s="22">
        <f t="shared" ca="1" si="2"/>
        <v>5.7847636089969523</v>
      </c>
      <c r="AK15" s="22">
        <f t="shared" ca="1" si="3"/>
        <v>6.3368910369652509</v>
      </c>
      <c r="AL15" s="22">
        <f ca="1">(AD15+1+(LOG(I15)*4/3)+N15)*(Q15/7)^0.5</f>
        <v>4.9396093542684358</v>
      </c>
      <c r="AM15" s="22">
        <f ca="1">(AD15+1+N15+(LOG(I15)*4/3))*(IF(Q15=7, (Q15/7)^0.5, ((Q15+1)/7)^0.5))</f>
        <v>5.411070937192699</v>
      </c>
      <c r="AN15" s="8">
        <f ca="1">(AD15+LOG(I15)*4/3+N15)*0.7+(AC15+LOG(I15)*4/3+N15)*0.3</f>
        <v>6.2851246074394487</v>
      </c>
      <c r="AO15" s="8">
        <f ca="1">(0.5*(AC15+LOG(I15)*4/3+N15)+ 0.3*(AD15+LOG(I15)*4/3+N15))/10</f>
        <v>0.62765330192848934</v>
      </c>
      <c r="AP15" s="8">
        <f ca="1">(0.4*(Y15+LOG(I15)*4/3+N15)+0.3*(AD15+LOG(I15)*4/3+N15))/10</f>
        <v>0.63412372252076143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6.1499999999999999E-2</v>
      </c>
      <c r="AR15" s="19">
        <v>2</v>
      </c>
      <c r="AS15" s="19">
        <v>2</v>
      </c>
      <c r="AT15" s="19">
        <v>1</v>
      </c>
      <c r="AU15" s="27">
        <v>95200</v>
      </c>
    </row>
    <row r="16" spans="1:47" x14ac:dyDescent="0.25">
      <c r="A16" s="15" t="s">
        <v>39</v>
      </c>
      <c r="B16" s="15" t="s">
        <v>75</v>
      </c>
      <c r="C16" s="68">
        <f t="shared" ca="1" si="4"/>
        <v>3.3482142857142856</v>
      </c>
      <c r="D16" s="441" t="s">
        <v>365</v>
      </c>
      <c r="E16" s="16">
        <v>30</v>
      </c>
      <c r="F16" s="2">
        <f ca="1">$D$2-$D$1-880+25-112-112-60-112-112</f>
        <v>73</v>
      </c>
      <c r="G16" s="17" t="s">
        <v>99</v>
      </c>
      <c r="H16" s="4">
        <v>1</v>
      </c>
      <c r="I16" s="26">
        <v>7.3</v>
      </c>
      <c r="J16" s="21">
        <f t="shared" ref="J16:J21" si="31">LOG(I16)*4/3</f>
        <v>1.1510971468272746</v>
      </c>
      <c r="K16" s="6">
        <f t="shared" ref="K16:K17" si="32">(H16)*(H16)*(I16)</f>
        <v>7.3</v>
      </c>
      <c r="L16" s="6">
        <f t="shared" ref="L16:L17" si="33">(H16+1)*(H16+1)*I16</f>
        <v>29.2</v>
      </c>
      <c r="M16" s="71">
        <v>43591</v>
      </c>
      <c r="N16" s="72">
        <f t="shared" ca="1" si="25"/>
        <v>0.49786668509877713</v>
      </c>
      <c r="O16" s="18">
        <v>5.4</v>
      </c>
      <c r="P16" s="19">
        <f t="shared" ref="P16:P21" si="34">O16*10+19</f>
        <v>73</v>
      </c>
      <c r="Q16" s="25">
        <v>6</v>
      </c>
      <c r="R16" s="63">
        <f t="shared" ref="R16:R21" si="35">(Q16/7)^0.5</f>
        <v>0.92582009977255142</v>
      </c>
      <c r="S16" s="63">
        <f t="shared" ref="S16:S21" si="36">IF(Q16=7,1,((Q16+0.99)/7)^0.5)</f>
        <v>0.99928545900129484</v>
      </c>
      <c r="T16" s="27">
        <v>69610</v>
      </c>
      <c r="U16" s="27">
        <f>T16-AU16</f>
        <v>-1030</v>
      </c>
      <c r="V16" s="27">
        <v>17100</v>
      </c>
      <c r="W16" s="8">
        <f t="shared" ref="W16:W21" si="37">T16/V16</f>
        <v>4.0707602339181284</v>
      </c>
      <c r="X16" s="20">
        <v>0</v>
      </c>
      <c r="Y16" s="21">
        <f>9+1/9+1/9*29/90</f>
        <v>9.1469135802469133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1"/>
        <v>3.284291180872823</v>
      </c>
      <c r="AH16" s="22">
        <f t="shared" ca="1" si="12"/>
        <v>9.9950403028702084</v>
      </c>
      <c r="AI16" s="22">
        <f t="shared" ca="1" si="13"/>
        <v>10.795877412172965</v>
      </c>
      <c r="AJ16" s="22">
        <f t="shared" ca="1" si="2"/>
        <v>13.562305156438274</v>
      </c>
      <c r="AK16" s="22">
        <f t="shared" ca="1" si="3"/>
        <v>14.648963831926052</v>
      </c>
      <c r="AL16" s="22">
        <f ca="1">(AD16+1+(LOG(I16)*4/3)+N16)*(Q16/7)^0.5</f>
        <v>18.191405655301033</v>
      </c>
      <c r="AM16" s="22">
        <f ca="1">(AD16+1+N16+(LOG(I16)*4/3))*(IF(Q16=7, (Q16/7)^0.5, ((Q16+1)/7)^0.5))</f>
        <v>19.648963831926054</v>
      </c>
      <c r="AN16" s="8">
        <f ca="1">(AD16+LOG(I16)*4/3+N16)*0.7+(AC16+LOG(I16)*4/3+N16)*0.3</f>
        <v>15.648963831926052</v>
      </c>
      <c r="AO16" s="8">
        <f ca="1">(0.5*(AC16+LOG(I16)*4/3+N16)+ 0.3*(AD16+LOG(I16)*4/3+N16))/10</f>
        <v>0.99191710655408405</v>
      </c>
      <c r="AP16" s="8">
        <f ca="1">(0.4*(Y16+LOG(I16)*4/3+N16)+0.3*(AD16+LOG(I16)*4/3+N16))/10</f>
        <v>0.99130401144470015</v>
      </c>
      <c r="AQ16" s="70">
        <f t="shared" ref="AQ16:AQ17" si="38"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1</v>
      </c>
      <c r="AS16" s="19">
        <v>2</v>
      </c>
      <c r="AT16" s="19">
        <v>2</v>
      </c>
      <c r="AU16" s="27">
        <v>70640</v>
      </c>
    </row>
    <row r="17" spans="1:47" x14ac:dyDescent="0.25">
      <c r="A17" s="15" t="s">
        <v>237</v>
      </c>
      <c r="B17" s="23" t="s">
        <v>75</v>
      </c>
      <c r="C17" s="68">
        <f t="shared" ca="1" si="4"/>
        <v>2.3035714285714284</v>
      </c>
      <c r="D17" s="441" t="s">
        <v>352</v>
      </c>
      <c r="E17" s="1">
        <v>31</v>
      </c>
      <c r="F17" s="2">
        <f ca="1">$D$2-$D$1-880+25-112-112-55-112-112</f>
        <v>78</v>
      </c>
      <c r="G17" s="3" t="s">
        <v>190</v>
      </c>
      <c r="H17" s="106">
        <v>5</v>
      </c>
      <c r="I17" s="5">
        <v>5</v>
      </c>
      <c r="J17" s="21">
        <f t="shared" si="31"/>
        <v>0.93196000578135851</v>
      </c>
      <c r="K17" s="6">
        <f t="shared" si="32"/>
        <v>125</v>
      </c>
      <c r="L17" s="6">
        <f t="shared" si="33"/>
        <v>180</v>
      </c>
      <c r="M17" s="71">
        <v>43415</v>
      </c>
      <c r="N17" s="72">
        <f t="shared" ca="1" si="25"/>
        <v>0.90806613967261018</v>
      </c>
      <c r="O17" s="24">
        <v>5.3</v>
      </c>
      <c r="P17" s="19">
        <f t="shared" si="34"/>
        <v>72</v>
      </c>
      <c r="Q17" s="25">
        <v>6</v>
      </c>
      <c r="R17" s="63">
        <f t="shared" si="35"/>
        <v>0.92582009977255142</v>
      </c>
      <c r="S17" s="63">
        <f t="shared" si="36"/>
        <v>0.99928545900129484</v>
      </c>
      <c r="T17" s="27">
        <v>11640</v>
      </c>
      <c r="U17" s="27">
        <f>T17-AU17</f>
        <v>-450</v>
      </c>
      <c r="V17" s="7">
        <v>5892</v>
      </c>
      <c r="W17" s="8">
        <f t="shared" si="37"/>
        <v>1.9755600814663952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1"/>
        <v>2.2686540800627073</v>
      </c>
      <c r="AH17" s="22">
        <f t="shared" ca="1" si="12"/>
        <v>7.2584537882036049</v>
      </c>
      <c r="AI17" s="22">
        <f t="shared" ca="1" si="13"/>
        <v>7.8400261454539688</v>
      </c>
      <c r="AJ17" s="22">
        <f t="shared" ca="1" si="2"/>
        <v>11.88755428706636</v>
      </c>
      <c r="AK17" s="22">
        <f t="shared" ca="1" si="3"/>
        <v>12.840026145453967</v>
      </c>
      <c r="AL17" s="22">
        <f ca="1">(AD17+1+(LOG(I17)*4/3)+N17)*(Q17/7)^0.5</f>
        <v>13.739194486611465</v>
      </c>
      <c r="AM17" s="22">
        <f ca="1">(AD17+1+N17+(LOG(I17)*4/3))*(IF(Q17=7, (Q17/7)^0.5, ((Q17+1)/7)^0.5))</f>
        <v>14.840026145453967</v>
      </c>
      <c r="AN17" s="8">
        <f ca="1">(AD17+LOG(I17)*4/3+N17)*0.7+(AC17+LOG(I17)*4/3+N17)*0.3</f>
        <v>11.740026145453967</v>
      </c>
      <c r="AO17" s="8">
        <f ca="1">(0.5*(AC17+LOG(I17)*4/3+N17)+ 0.3*(AD17+LOG(I17)*4/3+N17))/10</f>
        <v>0.75720209163631746</v>
      </c>
      <c r="AP17" s="8">
        <f ca="1">(0.4*(Y17+LOG(I17)*4/3+N17)+0.3*(AD17+LOG(I17)*4/3+N17))/10</f>
        <v>0.7288018301817778</v>
      </c>
      <c r="AQ17" s="70">
        <f t="shared" si="38"/>
        <v>4.9399999999999999E-2</v>
      </c>
      <c r="AR17" s="19">
        <v>2</v>
      </c>
      <c r="AS17" s="19">
        <v>1</v>
      </c>
      <c r="AT17" s="19">
        <v>1</v>
      </c>
      <c r="AU17" s="27">
        <v>12090</v>
      </c>
    </row>
    <row r="18" spans="1:47" x14ac:dyDescent="0.25">
      <c r="A18" s="15" t="s">
        <v>187</v>
      </c>
      <c r="B18" s="15" t="s">
        <v>75</v>
      </c>
      <c r="C18" s="68">
        <f t="shared" ca="1" si="4"/>
        <v>10.705357142857142</v>
      </c>
      <c r="D18" s="120" t="s">
        <v>189</v>
      </c>
      <c r="E18" s="16">
        <v>23</v>
      </c>
      <c r="F18" s="2">
        <f ca="1">$D$2-$D$1-880+37-112-112-112-112-112</f>
        <v>33</v>
      </c>
      <c r="G18" s="17" t="s">
        <v>190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1">
        <v>43045</v>
      </c>
      <c r="N18" s="72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3</v>
      </c>
      <c r="R18" s="63">
        <f>(Q18/7)^0.5</f>
        <v>0.65465367070797709</v>
      </c>
      <c r="S18" s="63">
        <f>IF(Q18=7,1,((Q18+0.99)/7)^0.5)</f>
        <v>0.75498344352707503</v>
      </c>
      <c r="T18" s="27">
        <v>3350</v>
      </c>
      <c r="U18" s="27">
        <f>T18-AU18</f>
        <v>-250</v>
      </c>
      <c r="V18" s="27">
        <v>450</v>
      </c>
      <c r="W18" s="8">
        <f>T18/V18</f>
        <v>7.4444444444444446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1"/>
        <v>1.4497927487201232</v>
      </c>
      <c r="AH18" s="22">
        <f t="shared" ca="1" si="12"/>
        <v>3.8170149712838963</v>
      </c>
      <c r="AI18" s="22">
        <f t="shared" ca="1" si="13"/>
        <v>4.4075092423431785</v>
      </c>
      <c r="AJ18" s="22">
        <f t="shared" ca="1" si="2"/>
        <v>4.9299262114874578</v>
      </c>
      <c r="AK18" s="22">
        <f t="shared" ca="1" si="3"/>
        <v>5.6925884505745517</v>
      </c>
      <c r="AL18" s="22">
        <f ca="1">(AD18+1+(LOG(I18)*4/3)+N18)*(Q18/7)^0.5</f>
        <v>3.6206188700715036</v>
      </c>
      <c r="AM18" s="22">
        <f ca="1">(AD18+1+N18+(LOG(I18)*4/3))*(IF(Q18=7, (Q18/7)^0.5, ((Q18+1)/7)^0.5))</f>
        <v>4.1807305585376424</v>
      </c>
      <c r="AN18" s="8">
        <f ca="1">(AD18+LOG(I18)*4/3+N18)*0.7+(AC18+LOG(I18)*4/3+N18)*0.3</f>
        <v>5.3162945213666379</v>
      </c>
      <c r="AO18" s="8">
        <f ca="1">(0.5*(AC18+LOG(I18)*4/3+N18)+ 0.3*(AD18+LOG(I18)*4/3+N18))/10</f>
        <v>0.49339824144789307</v>
      </c>
      <c r="AP18" s="8">
        <f ca="1">(0.4*(Y18+LOG(I18)*4/3+N18)+0.3*(AD18+LOG(I18)*4/3+N18))/10</f>
        <v>0.36914106747605685</v>
      </c>
      <c r="AQ18" s="70">
        <f>IF(AS18=4,IF(AT18=0,0.137+0.0697,0.137+0.02),IF(AS18=3,IF(AT18=0,0.0958+0.0697,0.0958+0.02),IF(AS18=2,IF(AT18=0,0.0415+0.0697,0.0415+0.02),IF(AS18=1,IF(AT18=0,0.0294+0.0697,0.0294+0.02),IF(AS18=0,IF(AT18=0,0.0063+0.0697,0.0063+0.02))))))</f>
        <v>0.1158</v>
      </c>
      <c r="AR18" s="19">
        <v>2</v>
      </c>
      <c r="AS18" s="19">
        <v>3</v>
      </c>
      <c r="AT18" s="19">
        <v>2</v>
      </c>
      <c r="AU18" s="27">
        <v>3600</v>
      </c>
    </row>
    <row r="19" spans="1:47" x14ac:dyDescent="0.25">
      <c r="A19" s="15" t="s">
        <v>337</v>
      </c>
      <c r="B19" s="15" t="s">
        <v>43</v>
      </c>
      <c r="C19" s="68">
        <f t="shared" ca="1" si="4"/>
        <v>4.4017857142857144</v>
      </c>
      <c r="D19" s="441" t="s">
        <v>717</v>
      </c>
      <c r="E19" s="16">
        <v>29</v>
      </c>
      <c r="F19" s="2">
        <f ca="1">$D$2-$D$1-880-489</f>
        <v>67</v>
      </c>
      <c r="G19" s="17" t="s">
        <v>190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1">
        <v>43687</v>
      </c>
      <c r="N19" s="72">
        <f ca="1">IF((TODAY()-M19)&gt;335,1,((TODAY()-M19)^0.64)/(336^0.64))</f>
        <v>0.14812561692891457</v>
      </c>
      <c r="O19" s="18">
        <v>5.3</v>
      </c>
      <c r="P19" s="19">
        <f>O19*10+19</f>
        <v>72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24690</v>
      </c>
      <c r="U19" s="27">
        <f>T19-AU19</f>
        <v>4780</v>
      </c>
      <c r="V19" s="27">
        <v>9648</v>
      </c>
      <c r="W19" s="8">
        <f>T19/V19</f>
        <v>2.5590796019900499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1"/>
        <v>1.8181921328826514</v>
      </c>
      <c r="AH19" s="22">
        <f t="shared" ca="1" si="12"/>
        <v>1.8247965702799183</v>
      </c>
      <c r="AI19" s="22">
        <f t="shared" ca="1" si="13"/>
        <v>2.0401845881271852</v>
      </c>
      <c r="AJ19" s="22">
        <f t="shared" ca="1" si="2"/>
        <v>5.6044413003721907</v>
      </c>
      <c r="AK19" s="22">
        <f t="shared" ca="1" si="3"/>
        <v>6.2659558617697675</v>
      </c>
      <c r="AL19" s="22">
        <f ca="1">(AD19+1+(LOG(I19)*4/3)+N19)*(Q19/7)^0.5</f>
        <v>1.8247965702799183</v>
      </c>
      <c r="AM19" s="22">
        <f ca="1">(AD19+1+N19+(LOG(I19)*4/3))*(IF(Q19=7, (Q19/7)^0.5, ((Q19+1)/7)^0.5))</f>
        <v>2.0401845881271852</v>
      </c>
      <c r="AN19" s="8">
        <f ca="1">(AD19+LOG(I19)*4/3+N19)*0.7+(AC19+LOG(I19)*4/3+N19)*0.3</f>
        <v>5.0139789591221318</v>
      </c>
      <c r="AO19" s="8">
        <f ca="1">(0.5*(AC19+LOG(I19)*4/3+N19)+ 0.3*(AD19+LOG(I19)*4/3+N19))/10</f>
        <v>0.71311831672977066</v>
      </c>
      <c r="AP19" s="8">
        <f ca="1">(0.4*(Y19+LOG(I19)*4/3+N19)+0.3*(AD19+LOG(I19)*4/3+N19))/10</f>
        <v>0.13897852713854922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4.9399999999999999E-2</v>
      </c>
      <c r="AR19" s="19">
        <v>2</v>
      </c>
      <c r="AS19" s="19">
        <v>1</v>
      </c>
      <c r="AT19" s="19">
        <v>1</v>
      </c>
      <c r="AU19" s="27">
        <v>19910</v>
      </c>
    </row>
    <row r="20" spans="1:47" x14ac:dyDescent="0.25">
      <c r="A20" s="15" t="s">
        <v>344</v>
      </c>
      <c r="B20" s="15" t="s">
        <v>43</v>
      </c>
      <c r="C20" s="68">
        <f t="shared" ca="1" si="4"/>
        <v>2.0357142857142856</v>
      </c>
      <c r="D20" s="441" t="s">
        <v>353</v>
      </c>
      <c r="E20" s="16">
        <v>31</v>
      </c>
      <c r="F20" s="2">
        <f ca="1">$D$2-$D$1-880+56-112-112+41-112+15-112-112</f>
        <v>108</v>
      </c>
      <c r="G20" s="17" t="s">
        <v>190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1">
        <v>43417</v>
      </c>
      <c r="N20" s="72">
        <f ca="1">IF((TODAY()-M20)&gt;335,1,((TODAY()-M20)^0.64)/(336^0.64))</f>
        <v>0.90403922929805736</v>
      </c>
      <c r="O20" s="18">
        <v>5.2</v>
      </c>
      <c r="P20" s="19">
        <f>O20*10+19</f>
        <v>71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12700</v>
      </c>
      <c r="U20" s="27">
        <f>T20-AU20</f>
        <v>-50</v>
      </c>
      <c r="V20" s="27">
        <v>1812</v>
      </c>
      <c r="W20" s="8">
        <f>T20/V20</f>
        <v>7.0088300220750552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1"/>
        <v>3.4902329698356693</v>
      </c>
      <c r="AH20" s="22">
        <f t="shared" ca="1" si="12"/>
        <v>7.3870684533668634</v>
      </c>
      <c r="AI20" s="22">
        <f t="shared" ca="1" si="13"/>
        <v>7.9789458612765731</v>
      </c>
      <c r="AJ20" s="22">
        <f t="shared" ca="1" si="2"/>
        <v>3.6837880542766581</v>
      </c>
      <c r="AK20" s="22">
        <f t="shared" ca="1" si="3"/>
        <v>3.978945861276574</v>
      </c>
      <c r="AL20" s="22">
        <f ca="1">(AD20+1+(LOG(I20)*4/3)+N20)*(Q20/7)^0.5</f>
        <v>14.793629251547275</v>
      </c>
      <c r="AM20" s="22">
        <f ca="1">(AD20+1+N20+(LOG(I20)*4/3))*(IF(Q20=7, (Q20/7)^0.5, ((Q20+1)/7)^0.5))</f>
        <v>15.978945861276573</v>
      </c>
      <c r="AN20" s="8">
        <f ca="1">(AD20+LOG(I20)*4/3+N20)*0.7+(AC20+LOG(I20)*4/3+N20)*0.3</f>
        <v>13.763945861276571</v>
      </c>
      <c r="AO20" s="8">
        <f ca="1">(0.5*(AC20+LOG(I20)*4/3+N20)+ 0.3*(AD20+LOG(I20)*4/3+N20))/10</f>
        <v>0.99581566890212581</v>
      </c>
      <c r="AP20" s="8">
        <f ca="1">(0.4*(Y20+LOG(I20)*4/3+N20)+0.3*(AD20+LOG(I20)*4/3+N20))/10</f>
        <v>0.76852621028936008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0.1158</v>
      </c>
      <c r="AR20" s="19">
        <v>2</v>
      </c>
      <c r="AS20" s="19">
        <v>3</v>
      </c>
      <c r="AT20" s="19">
        <v>2</v>
      </c>
      <c r="AU20" s="27">
        <v>12750</v>
      </c>
    </row>
    <row r="21" spans="1:47" x14ac:dyDescent="0.25">
      <c r="A21" s="15" t="s">
        <v>349</v>
      </c>
      <c r="B21" s="15" t="s">
        <v>43</v>
      </c>
      <c r="C21" s="68">
        <f t="shared" ca="1" si="4"/>
        <v>3.2589285714285716</v>
      </c>
      <c r="D21" s="441" t="s">
        <v>366</v>
      </c>
      <c r="E21" s="16">
        <v>30</v>
      </c>
      <c r="F21" s="2">
        <f ca="1">$D$2-$D$1-1100+25-112-166</f>
        <v>83</v>
      </c>
      <c r="G21" s="17" t="s">
        <v>0</v>
      </c>
      <c r="H21" s="4">
        <v>3</v>
      </c>
      <c r="I21" s="26">
        <v>6</v>
      </c>
      <c r="J21" s="21">
        <f t="shared" si="31"/>
        <v>1.0375350005115249</v>
      </c>
      <c r="K21" s="6">
        <f t="shared" ref="K21" si="39">(H21)*(H21)*(I21)</f>
        <v>54</v>
      </c>
      <c r="L21" s="6">
        <f t="shared" ref="L21" si="40">(H21+1)*(H21+1)*I21</f>
        <v>96</v>
      </c>
      <c r="M21" s="71">
        <v>43590</v>
      </c>
      <c r="N21" s="72">
        <f ca="1">IF((TODAY()-M21)&gt;335,1,((TODAY()-M21)^0.64)/(336^0.64))</f>
        <v>0.50068198726211466</v>
      </c>
      <c r="O21" s="18">
        <v>5.0999999999999996</v>
      </c>
      <c r="P21" s="19">
        <f t="shared" si="34"/>
        <v>70</v>
      </c>
      <c r="Q21" s="25">
        <v>6</v>
      </c>
      <c r="R21" s="63">
        <f t="shared" si="35"/>
        <v>0.92582009977255142</v>
      </c>
      <c r="S21" s="63">
        <f t="shared" si="36"/>
        <v>0.99928545900129484</v>
      </c>
      <c r="T21" s="27">
        <v>39730</v>
      </c>
      <c r="U21" s="27">
        <f>T21-AU21</f>
        <v>-1180</v>
      </c>
      <c r="V21" s="27">
        <v>8436</v>
      </c>
      <c r="W21" s="8">
        <f t="shared" si="37"/>
        <v>4.7095779990516835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1"/>
        <v>3.2288398673190497</v>
      </c>
      <c r="AH21" s="22">
        <f t="shared" ca="1" si="12"/>
        <v>6.0532127039551824</v>
      </c>
      <c r="AI21" s="22">
        <f t="shared" ca="1" si="13"/>
        <v>6.53821698777364</v>
      </c>
      <c r="AJ21" s="22">
        <f t="shared" ca="1" si="2"/>
        <v>6.9790328037277334</v>
      </c>
      <c r="AK21" s="22">
        <f t="shared" ca="1" si="3"/>
        <v>7.53821698777364</v>
      </c>
      <c r="AL21" s="22">
        <f ca="1">(AD21+1+(LOG(I21)*4/3)+N21)*(Q21/7)^0.5</f>
        <v>2.3499323048649763</v>
      </c>
      <c r="AM21" s="22">
        <f ca="1">(AD21+1+N21+(LOG(I21)*4/3))*(IF(Q21=7, (Q21/7)^0.5, ((Q21+1)/7)^0.5))</f>
        <v>2.5382169877736396</v>
      </c>
      <c r="AN21" s="8">
        <f ca="1">(AD21+LOG(I21)*4/3+N21)*0.7+(AC21+LOG(I21)*4/3+N21)*0.3</f>
        <v>5.1382169877736397</v>
      </c>
      <c r="AO21" s="8">
        <f ca="1">(0.5*(AC21+LOG(I21)*4/3+N21)+ 0.3*(AD21+LOG(I21)*4/3+N21))/10</f>
        <v>0.72305735902189117</v>
      </c>
      <c r="AP21" s="8">
        <f ca="1">(0.4*(Y21+LOG(I21)*4/3+N21)+0.3*(AD21+LOG(I21)*4/3+N21))/10</f>
        <v>0.30767518914415481</v>
      </c>
      <c r="AQ21" s="70">
        <f t="shared" ref="AQ21" si="41">IF(AS21=4,IF(AT21=0,0.137+0.0697,0.137+0.02),IF(AS21=3,IF(AT21=0,0.0958+0.0697,0.0958+0.02),IF(AS21=2,IF(AT21=0,0.0415+0.0697,0.0415+0.02),IF(AS21=1,IF(AT21=0,0.0294+0.0697,0.0294+0.02),IF(AS21=0,IF(AT21=0,0.0063+0.0697,0.0063+0.02))))))</f>
        <v>0.1158</v>
      </c>
      <c r="AR21" s="19">
        <v>3</v>
      </c>
      <c r="AS21" s="19">
        <v>3</v>
      </c>
      <c r="AT21" s="19">
        <v>2</v>
      </c>
      <c r="AU21" s="27">
        <v>40910</v>
      </c>
    </row>
    <row r="22" spans="1:47" x14ac:dyDescent="0.25">
      <c r="V22" s="49"/>
    </row>
    <row r="24" spans="1:47" x14ac:dyDescent="0.25">
      <c r="T24" s="49"/>
      <c r="V24" s="49"/>
    </row>
    <row r="25" spans="1:47" x14ac:dyDescent="0.25">
      <c r="X25">
        <f>8+2/3</f>
        <v>8.6666666666666661</v>
      </c>
      <c r="AF25" s="49"/>
    </row>
    <row r="26" spans="1:47" x14ac:dyDescent="0.25">
      <c r="X26">
        <f>7+4/3</f>
        <v>8.3333333333333339</v>
      </c>
    </row>
    <row r="28" spans="1:47" x14ac:dyDescent="0.25">
      <c r="T28" s="49"/>
      <c r="V28" s="49"/>
    </row>
  </sheetData>
  <sortState ref="A5:AU21">
    <sortCondition descending="1" ref="AF5:AF21"/>
  </sortState>
  <conditionalFormatting sqref="U2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0">
    <cfRule type="colorScale" priority="5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9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1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3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4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{3965C245-1404-40A3-BAA4-947B6FF18717}</x14:id>
        </ext>
      </extLst>
    </cfRule>
  </conditionalFormatting>
  <conditionalFormatting sqref="AJ4:AK21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3965C245-1404-40A3-BAA4-947B6FF18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tabSelected="1" zoomScaleNormal="100" workbookViewId="0">
      <selection activeCell="G24" sqref="G24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406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456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407</v>
      </c>
      <c r="C2" s="153" t="s">
        <v>5</v>
      </c>
      <c r="D2" s="154" t="s">
        <v>408</v>
      </c>
      <c r="E2" s="153" t="s">
        <v>409</v>
      </c>
      <c r="F2" s="154" t="s">
        <v>410</v>
      </c>
      <c r="G2" s="155" t="s">
        <v>411</v>
      </c>
      <c r="H2" s="154" t="s">
        <v>412</v>
      </c>
      <c r="I2" s="154" t="s">
        <v>7</v>
      </c>
      <c r="J2" s="153" t="s">
        <v>27</v>
      </c>
      <c r="K2" s="153" t="s">
        <v>413</v>
      </c>
      <c r="L2" s="156" t="s">
        <v>29</v>
      </c>
      <c r="M2" s="156" t="s">
        <v>413</v>
      </c>
      <c r="N2" s="153" t="s">
        <v>68</v>
      </c>
      <c r="O2" s="153" t="s">
        <v>413</v>
      </c>
      <c r="P2" s="156" t="s">
        <v>111</v>
      </c>
      <c r="Q2" s="156" t="s">
        <v>413</v>
      </c>
      <c r="R2" s="153" t="s">
        <v>69</v>
      </c>
      <c r="S2" s="153" t="s">
        <v>413</v>
      </c>
      <c r="T2" s="156" t="s">
        <v>70</v>
      </c>
      <c r="U2" s="156" t="s">
        <v>413</v>
      </c>
      <c r="V2" s="153" t="s">
        <v>46</v>
      </c>
      <c r="W2" s="153" t="s">
        <v>413</v>
      </c>
      <c r="X2" s="157" t="s">
        <v>414</v>
      </c>
      <c r="Y2" s="157" t="s">
        <v>99</v>
      </c>
      <c r="Z2" s="154" t="s">
        <v>415</v>
      </c>
      <c r="AA2" s="154" t="s">
        <v>46</v>
      </c>
      <c r="AB2" s="154" t="s">
        <v>191</v>
      </c>
      <c r="AC2" s="158" t="s">
        <v>416</v>
      </c>
      <c r="AD2" s="158" t="s">
        <v>417</v>
      </c>
      <c r="AE2" s="158" t="s">
        <v>418</v>
      </c>
      <c r="AF2" s="158" t="s">
        <v>419</v>
      </c>
      <c r="AG2" s="158" t="s">
        <v>420</v>
      </c>
      <c r="AH2" s="158" t="s">
        <v>421</v>
      </c>
      <c r="AI2" s="155" t="s">
        <v>422</v>
      </c>
      <c r="AK2" s="252" t="s">
        <v>3</v>
      </c>
      <c r="AL2" s="252" t="s">
        <v>407</v>
      </c>
      <c r="AM2" s="252" t="s">
        <v>5</v>
      </c>
      <c r="AN2" s="291" t="s">
        <v>408</v>
      </c>
      <c r="AO2" s="293" t="s">
        <v>27</v>
      </c>
      <c r="AP2" s="293" t="s">
        <v>457</v>
      </c>
      <c r="AQ2" s="293" t="s">
        <v>29</v>
      </c>
      <c r="AR2" s="293" t="s">
        <v>458</v>
      </c>
      <c r="AS2" s="293" t="s">
        <v>68</v>
      </c>
      <c r="AT2" s="293" t="s">
        <v>459</v>
      </c>
      <c r="AU2" s="293" t="s">
        <v>111</v>
      </c>
      <c r="AV2" s="293" t="s">
        <v>460</v>
      </c>
      <c r="AW2" s="293" t="s">
        <v>70</v>
      </c>
      <c r="AX2" s="293" t="s">
        <v>461</v>
      </c>
      <c r="AY2" s="293" t="s">
        <v>69</v>
      </c>
      <c r="AZ2" s="293" t="s">
        <v>462</v>
      </c>
      <c r="BA2" s="293" t="s">
        <v>46</v>
      </c>
      <c r="BB2" s="293" t="s">
        <v>463</v>
      </c>
      <c r="BC2" s="293" t="s">
        <v>378</v>
      </c>
    </row>
    <row r="3" spans="1:56" x14ac:dyDescent="0.25">
      <c r="A3" s="178" t="s">
        <v>429</v>
      </c>
      <c r="B3" s="178"/>
      <c r="C3" s="178"/>
      <c r="D3" s="179"/>
      <c r="E3" s="178"/>
      <c r="F3" s="179"/>
      <c r="G3" s="180"/>
      <c r="H3" s="179"/>
      <c r="I3" s="179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9"/>
      <c r="Y3" s="179"/>
      <c r="Z3" s="179"/>
      <c r="AA3" s="179"/>
      <c r="AB3" s="179"/>
      <c r="AC3" s="181"/>
      <c r="AD3" s="181"/>
      <c r="AE3" s="181"/>
      <c r="AF3" s="181"/>
      <c r="AG3" s="181"/>
      <c r="AH3" s="181"/>
      <c r="AI3" s="180"/>
      <c r="AK3" s="266" t="s">
        <v>464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82" t="s">
        <v>430</v>
      </c>
      <c r="B4" s="182"/>
      <c r="C4" s="182"/>
      <c r="D4" s="183"/>
      <c r="E4" s="182"/>
      <c r="F4" s="184"/>
      <c r="G4" s="185"/>
      <c r="H4" s="184"/>
      <c r="I4" s="184"/>
      <c r="J4" s="186" t="s">
        <v>431</v>
      </c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4"/>
      <c r="Y4" s="184"/>
      <c r="Z4" s="184"/>
      <c r="AA4" s="184"/>
      <c r="AB4" s="184"/>
      <c r="AC4" s="187" t="s">
        <v>432</v>
      </c>
      <c r="AD4" s="187"/>
      <c r="AE4" s="187"/>
      <c r="AF4" s="187"/>
      <c r="AG4" s="187"/>
      <c r="AH4" s="187"/>
      <c r="AI4" s="188"/>
      <c r="AK4" s="266" t="s">
        <v>465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9" t="s">
        <v>3</v>
      </c>
      <c r="B5" s="189" t="s">
        <v>407</v>
      </c>
      <c r="C5" s="189" t="s">
        <v>5</v>
      </c>
      <c r="D5" s="190" t="s">
        <v>408</v>
      </c>
      <c r="E5" s="189" t="s">
        <v>409</v>
      </c>
      <c r="F5" s="190" t="str">
        <f>F2</f>
        <v>Promoción</v>
      </c>
      <c r="G5" s="191" t="str">
        <f>G2</f>
        <v>Gen</v>
      </c>
      <c r="H5" s="190" t="str">
        <f>H2</f>
        <v>u20</v>
      </c>
      <c r="I5" s="190" t="str">
        <f>I2</f>
        <v>Lid</v>
      </c>
      <c r="J5" s="189" t="s">
        <v>27</v>
      </c>
      <c r="K5" s="189" t="str">
        <f>K2</f>
        <v>Pot</v>
      </c>
      <c r="L5" s="192" t="str">
        <f>L2</f>
        <v>DEF</v>
      </c>
      <c r="M5" s="192" t="str">
        <f>M2</f>
        <v>Pot</v>
      </c>
      <c r="N5" s="189" t="str">
        <f>N2</f>
        <v>JUG</v>
      </c>
      <c r="O5" s="189" t="str">
        <f>O2</f>
        <v>Pot</v>
      </c>
      <c r="P5" s="192" t="str">
        <f>P2</f>
        <v>LAT</v>
      </c>
      <c r="Q5" s="192" t="str">
        <f>Q2</f>
        <v>Pot</v>
      </c>
      <c r="R5" s="189" t="str">
        <f>R2</f>
        <v>PAS</v>
      </c>
      <c r="S5" s="189" t="str">
        <f>S2</f>
        <v>Pot</v>
      </c>
      <c r="T5" s="192" t="str">
        <f>T2</f>
        <v>ANO</v>
      </c>
      <c r="U5" s="192" t="str">
        <f>U2</f>
        <v>Pot</v>
      </c>
      <c r="V5" s="189" t="str">
        <f>V2</f>
        <v>BP</v>
      </c>
      <c r="W5" s="189" t="str">
        <f>W2</f>
        <v>Pot</v>
      </c>
      <c r="X5" s="193" t="str">
        <f>X2</f>
        <v>HAB</v>
      </c>
      <c r="Y5" s="193" t="str">
        <f>Y2</f>
        <v>POT</v>
      </c>
      <c r="Z5" s="190" t="str">
        <f>Z2</f>
        <v>Cap</v>
      </c>
      <c r="AA5" s="190" t="s">
        <v>46</v>
      </c>
      <c r="AB5" s="190" t="str">
        <f>AB2</f>
        <v>HTMS</v>
      </c>
      <c r="AC5" s="194" t="str">
        <f>AC2</f>
        <v>PR</v>
      </c>
      <c r="AD5" s="194" t="str">
        <f>AD2</f>
        <v>DL</v>
      </c>
      <c r="AE5" s="194" t="str">
        <f>AE2</f>
        <v>DC</v>
      </c>
      <c r="AF5" s="194" t="str">
        <f>AF2</f>
        <v>In</v>
      </c>
      <c r="AG5" s="194" t="str">
        <f>AG2</f>
        <v>ExO</v>
      </c>
      <c r="AH5" s="194" t="str">
        <f>AH2</f>
        <v>DV</v>
      </c>
      <c r="AI5" s="191" t="str">
        <f>AI2</f>
        <v>Atributs</v>
      </c>
      <c r="AK5" s="266" t="s">
        <v>466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200" t="s">
        <v>435</v>
      </c>
      <c r="B6" s="161">
        <v>17</v>
      </c>
      <c r="C6" s="162">
        <f ca="1">88+A33-2254-6-112-112-112-82-112</f>
        <v>4</v>
      </c>
      <c r="D6" s="163" t="s">
        <v>99</v>
      </c>
      <c r="E6" s="164">
        <f ca="1">F6-TODAY()</f>
        <v>18</v>
      </c>
      <c r="F6" s="165">
        <v>43722</v>
      </c>
      <c r="G6" s="201" t="s">
        <v>436</v>
      </c>
      <c r="H6" s="167" t="s">
        <v>425</v>
      </c>
      <c r="I6" s="166" t="s">
        <v>424</v>
      </c>
      <c r="J6" s="176"/>
      <c r="K6" s="176"/>
      <c r="L6" s="176"/>
      <c r="M6" s="172">
        <v>3.99</v>
      </c>
      <c r="N6" s="176"/>
      <c r="O6" s="172">
        <v>4.99</v>
      </c>
      <c r="P6" s="168">
        <v>3</v>
      </c>
      <c r="Q6" s="169">
        <v>3.99</v>
      </c>
      <c r="R6" s="170">
        <v>2</v>
      </c>
      <c r="S6" s="171">
        <v>2.99</v>
      </c>
      <c r="T6" s="197">
        <v>5.5</v>
      </c>
      <c r="U6" s="199">
        <v>7</v>
      </c>
      <c r="V6" s="176"/>
      <c r="W6" s="176"/>
      <c r="X6" s="173">
        <f>7-(COUNTBLANK(J6)+COUNTBLANK(L6)+COUNTBLANK(N6)+COUNTBLANK(P6)+COUNTBLANK(R6)+COUNTBLANK(T6)+COUNTBLANK(V6))</f>
        <v>3</v>
      </c>
      <c r="Y6" s="166">
        <f>COUNT(W6,S6,U6,Q6,O6,M6,K6)</f>
        <v>5</v>
      </c>
      <c r="Z6" s="177"/>
      <c r="AA6" s="177"/>
      <c r="AB6" s="177"/>
      <c r="AC6" s="174"/>
      <c r="AD6" s="174"/>
      <c r="AE6" s="174"/>
      <c r="AF6" s="174"/>
      <c r="AG6" s="174"/>
      <c r="AH6" s="174">
        <v>6</v>
      </c>
      <c r="AI6" s="174" t="s">
        <v>428</v>
      </c>
      <c r="AK6" s="266" t="s">
        <v>467</v>
      </c>
      <c r="AL6" s="260">
        <v>17</v>
      </c>
      <c r="AM6" s="267">
        <v>0</v>
      </c>
      <c r="AN6" s="292" t="s">
        <v>468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433</v>
      </c>
      <c r="B7" s="176">
        <v>16</v>
      </c>
      <c r="C7" s="195">
        <f ca="1">A33-2100-6-93+31-112-29-112-112-87</f>
        <v>86</v>
      </c>
      <c r="D7" s="163"/>
      <c r="E7" s="164">
        <f t="shared" ref="E7:E8" ca="1" si="0">F7-TODAY()</f>
        <v>26</v>
      </c>
      <c r="F7" s="165">
        <v>43730</v>
      </c>
      <c r="G7" s="196"/>
      <c r="H7" s="166" t="s">
        <v>434</v>
      </c>
      <c r="I7" s="166" t="s">
        <v>424</v>
      </c>
      <c r="J7" s="176"/>
      <c r="K7" s="176"/>
      <c r="L7" s="170">
        <v>3</v>
      </c>
      <c r="M7" s="171">
        <v>3.99</v>
      </c>
      <c r="N7" s="197">
        <v>4</v>
      </c>
      <c r="O7" s="198">
        <v>5.99</v>
      </c>
      <c r="P7" s="170">
        <v>1</v>
      </c>
      <c r="Q7" s="171">
        <v>1.99</v>
      </c>
      <c r="R7" s="176"/>
      <c r="S7" s="198">
        <v>5.99</v>
      </c>
      <c r="T7" s="197">
        <v>5.2</v>
      </c>
      <c r="U7" s="199">
        <v>7</v>
      </c>
      <c r="V7" s="176"/>
      <c r="W7" s="176"/>
      <c r="X7" s="173">
        <f>7-(COUNTBLANK(J7)+COUNTBLANK(L7)+COUNTBLANK(N7)+COUNTBLANK(P7)+COUNTBLANK(R7)+COUNTBLANK(T7)+COUNTBLANK(V7))</f>
        <v>4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/>
      <c r="AG7" s="174"/>
      <c r="AH7" s="174">
        <v>7</v>
      </c>
      <c r="AI7" s="174" t="s">
        <v>428</v>
      </c>
      <c r="AK7" s="266" t="s">
        <v>469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75" t="s">
        <v>440</v>
      </c>
      <c r="B8" s="161">
        <v>16</v>
      </c>
      <c r="C8" s="162">
        <f ca="1">86+A33-2516-112-112</f>
        <v>52</v>
      </c>
      <c r="D8" s="163" t="s">
        <v>190</v>
      </c>
      <c r="E8" s="164">
        <f t="shared" ca="1" si="0"/>
        <v>60</v>
      </c>
      <c r="F8" s="165">
        <v>43764</v>
      </c>
      <c r="G8" s="201" t="s">
        <v>436</v>
      </c>
      <c r="H8" s="167" t="s">
        <v>439</v>
      </c>
      <c r="I8" s="166" t="s">
        <v>424</v>
      </c>
      <c r="J8" s="166"/>
      <c r="K8" s="166"/>
      <c r="L8" s="166"/>
      <c r="M8" s="166"/>
      <c r="N8" s="197">
        <v>4</v>
      </c>
      <c r="O8" s="199">
        <v>6.99</v>
      </c>
      <c r="P8" s="197">
        <v>3</v>
      </c>
      <c r="Q8" s="172">
        <v>4.99</v>
      </c>
      <c r="R8" s="170">
        <v>2</v>
      </c>
      <c r="S8" s="171">
        <v>2.99</v>
      </c>
      <c r="T8" s="166"/>
      <c r="U8" s="172">
        <v>2.99</v>
      </c>
      <c r="V8" s="166"/>
      <c r="W8" s="166"/>
      <c r="X8" s="173">
        <f>7-(COUNTBLANK(J8)+COUNTBLANK(L8)+COUNTBLANK(N8)+COUNTBLANK(P8)+COUNTBLANK(R8)+COUNTBLANK(T8)+COUNTBLANK(V8))</f>
        <v>3</v>
      </c>
      <c r="Y8" s="166">
        <f>COUNT(W8,S8,U8,Q8,O8,M8,K8)</f>
        <v>4</v>
      </c>
      <c r="Z8" s="177"/>
      <c r="AA8" s="177"/>
      <c r="AB8" s="177"/>
      <c r="AC8" s="174"/>
      <c r="AD8" s="174"/>
      <c r="AE8" s="174"/>
      <c r="AF8" s="174">
        <v>4.5</v>
      </c>
      <c r="AG8" s="174">
        <v>4</v>
      </c>
      <c r="AH8" s="174">
        <v>3.5</v>
      </c>
      <c r="AI8" s="174" t="s">
        <v>441</v>
      </c>
      <c r="AK8" s="266" t="s">
        <v>474</v>
      </c>
      <c r="AL8" s="260">
        <v>17</v>
      </c>
      <c r="AM8" s="267">
        <v>1723</v>
      </c>
      <c r="AN8" s="292" t="s">
        <v>475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160" t="s">
        <v>668</v>
      </c>
      <c r="B9" s="161">
        <v>16</v>
      </c>
      <c r="C9" s="162">
        <f ca="1">A33-2100-6-93-112+6-36-112-112-12-112</f>
        <v>17</v>
      </c>
      <c r="D9" s="163" t="s">
        <v>190</v>
      </c>
      <c r="E9" s="164">
        <f ca="1">F9-TODAY()</f>
        <v>95</v>
      </c>
      <c r="F9" s="165">
        <v>43799</v>
      </c>
      <c r="G9" s="220" t="s">
        <v>449</v>
      </c>
      <c r="H9" s="196" t="s">
        <v>434</v>
      </c>
      <c r="I9" s="166" t="s">
        <v>424</v>
      </c>
      <c r="J9" s="161"/>
      <c r="K9" s="172">
        <v>1.99</v>
      </c>
      <c r="L9" s="161"/>
      <c r="M9" s="172">
        <v>3.99</v>
      </c>
      <c r="N9" s="161"/>
      <c r="O9" s="172">
        <v>3.99</v>
      </c>
      <c r="P9" s="161"/>
      <c r="Q9" s="198">
        <v>5.99</v>
      </c>
      <c r="R9" s="161"/>
      <c r="S9" s="172">
        <v>4.99</v>
      </c>
      <c r="T9" s="197">
        <v>5.2</v>
      </c>
      <c r="U9" s="199">
        <v>6.99</v>
      </c>
      <c r="V9" s="161"/>
      <c r="W9" s="161"/>
      <c r="X9" s="173">
        <f t="shared" ref="X9" si="1">7-(COUNTBLANK(J9)+COUNTBLANK(L9)+COUNTBLANK(N9)+COUNTBLANK(P9)+COUNTBLANK(R9)+COUNTBLANK(T9)+COUNTBLANK(V9))</f>
        <v>1</v>
      </c>
      <c r="Y9" s="166">
        <f t="shared" ref="Y9" si="2">COUNT(W9,S9,U9,Q9,O9,M9,K9)</f>
        <v>6</v>
      </c>
      <c r="Z9" s="166"/>
      <c r="AA9" s="166"/>
      <c r="AB9" s="166"/>
      <c r="AC9" s="174"/>
      <c r="AD9" s="174"/>
      <c r="AE9" s="174"/>
      <c r="AF9" s="174"/>
      <c r="AG9" s="174"/>
      <c r="AH9" s="174">
        <v>7.5</v>
      </c>
      <c r="AI9" s="174" t="s">
        <v>441</v>
      </c>
      <c r="AK9" s="266" t="s">
        <v>470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175" t="s">
        <v>730</v>
      </c>
      <c r="B10" s="176">
        <v>15</v>
      </c>
      <c r="C10" s="162">
        <f ca="1">A32-43375-230</f>
        <v>99</v>
      </c>
      <c r="D10" s="163"/>
      <c r="E10" s="164">
        <f ca="1">F10-TODAY()</f>
        <v>125</v>
      </c>
      <c r="F10" s="165">
        <v>43829</v>
      </c>
      <c r="G10" s="220" t="s">
        <v>449</v>
      </c>
      <c r="H10" s="166" t="s">
        <v>434</v>
      </c>
      <c r="I10" s="166" t="s">
        <v>424</v>
      </c>
      <c r="J10" s="176"/>
      <c r="K10" s="176"/>
      <c r="L10" s="176"/>
      <c r="M10" s="176"/>
      <c r="N10" s="176"/>
      <c r="O10" s="176"/>
      <c r="P10" s="176"/>
      <c r="Q10" s="176"/>
      <c r="R10" s="477">
        <v>4</v>
      </c>
      <c r="S10" s="478"/>
      <c r="T10" s="478"/>
      <c r="U10" s="198">
        <v>5.99</v>
      </c>
      <c r="V10" s="176"/>
      <c r="W10" s="176"/>
      <c r="X10" s="173">
        <f>7-(COUNTBLANK(J10)+COUNTBLANK(M10)+COUNTBLANK(O10)+COUNTBLANK(Q10)+COUNTBLANK(S10)+COUNTBLANK(U10)+COUNTBLANK(W10))</f>
        <v>1</v>
      </c>
      <c r="Y10" s="166">
        <f>COUNT(#REF!,T10,V10,R10,P10,N10,L10)</f>
        <v>1</v>
      </c>
      <c r="Z10" s="177"/>
      <c r="AA10" s="177"/>
      <c r="AB10" s="177"/>
      <c r="AC10" s="174"/>
      <c r="AD10" s="174"/>
      <c r="AE10" s="174"/>
      <c r="AF10" s="174"/>
      <c r="AG10" s="174"/>
      <c r="AH10" s="174"/>
      <c r="AI10" s="174" t="s">
        <v>441</v>
      </c>
      <c r="AK10" s="266" t="s">
        <v>473</v>
      </c>
      <c r="AL10" s="260">
        <v>17</v>
      </c>
      <c r="AM10" s="267">
        <v>1729</v>
      </c>
      <c r="AN10" s="292" t="s">
        <v>413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203" t="s">
        <v>442</v>
      </c>
      <c r="B11" s="203"/>
      <c r="C11" s="203"/>
      <c r="D11" s="204"/>
      <c r="E11" s="203"/>
      <c r="F11" s="204"/>
      <c r="G11" s="205"/>
      <c r="H11" s="204"/>
      <c r="I11" s="204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4"/>
      <c r="Y11" s="204"/>
      <c r="Z11" s="204"/>
      <c r="AA11" s="204"/>
      <c r="AB11" s="204"/>
      <c r="AC11" s="206"/>
      <c r="AD11" s="206"/>
      <c r="AE11" s="206"/>
      <c r="AF11" s="206"/>
      <c r="AG11" s="206"/>
      <c r="AH11" s="206"/>
      <c r="AI11" s="205"/>
      <c r="AK11" s="266" t="s">
        <v>471</v>
      </c>
      <c r="AL11" s="260">
        <v>17</v>
      </c>
      <c r="AM11" s="267">
        <v>1764</v>
      </c>
      <c r="AN11" s="292" t="s">
        <v>472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7" t="s">
        <v>430</v>
      </c>
      <c r="B12" s="207"/>
      <c r="C12" s="207"/>
      <c r="D12" s="208"/>
      <c r="E12" s="207"/>
      <c r="F12" s="209"/>
      <c r="G12" s="210"/>
      <c r="H12" s="209"/>
      <c r="I12" s="209"/>
      <c r="J12" s="211" t="s">
        <v>431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09"/>
      <c r="Y12" s="209"/>
      <c r="Z12" s="209"/>
      <c r="AA12" s="209"/>
      <c r="AB12" s="209"/>
      <c r="AC12" s="212" t="s">
        <v>432</v>
      </c>
      <c r="AD12" s="212"/>
      <c r="AE12" s="212"/>
      <c r="AF12" s="212"/>
      <c r="AG12" s="212"/>
      <c r="AH12" s="212"/>
      <c r="AI12" s="213"/>
      <c r="AK12" s="266" t="s">
        <v>476</v>
      </c>
      <c r="AL12" s="260">
        <v>17</v>
      </c>
      <c r="AM12" s="267">
        <v>1789</v>
      </c>
      <c r="AN12" s="292" t="s">
        <v>468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14" t="s">
        <v>3</v>
      </c>
      <c r="B13" s="214" t="s">
        <v>407</v>
      </c>
      <c r="C13" s="214" t="s">
        <v>5</v>
      </c>
      <c r="D13" s="215" t="s">
        <v>408</v>
      </c>
      <c r="E13" s="214" t="s">
        <v>409</v>
      </c>
      <c r="F13" s="215" t="str">
        <f>F5</f>
        <v>Promoción</v>
      </c>
      <c r="G13" s="216" t="str">
        <f>G5</f>
        <v>Gen</v>
      </c>
      <c r="H13" s="215" t="str">
        <f>H5</f>
        <v>u20</v>
      </c>
      <c r="I13" s="215" t="str">
        <f>I5</f>
        <v>Lid</v>
      </c>
      <c r="J13" s="214" t="s">
        <v>27</v>
      </c>
      <c r="K13" s="214" t="str">
        <f>K5</f>
        <v>Pot</v>
      </c>
      <c r="L13" s="217" t="str">
        <f>L5</f>
        <v>DEF</v>
      </c>
      <c r="M13" s="217" t="str">
        <f>M5</f>
        <v>Pot</v>
      </c>
      <c r="N13" s="214" t="str">
        <f>N5</f>
        <v>JUG</v>
      </c>
      <c r="O13" s="214" t="str">
        <f>O5</f>
        <v>Pot</v>
      </c>
      <c r="P13" s="217" t="str">
        <f>P5</f>
        <v>LAT</v>
      </c>
      <c r="Q13" s="217" t="str">
        <f>Q5</f>
        <v>Pot</v>
      </c>
      <c r="R13" s="214" t="str">
        <f>R5</f>
        <v>PAS</v>
      </c>
      <c r="S13" s="214" t="str">
        <f>S5</f>
        <v>Pot</v>
      </c>
      <c r="T13" s="217" t="str">
        <f>T5</f>
        <v>ANO</v>
      </c>
      <c r="U13" s="217" t="str">
        <f>U5</f>
        <v>Pot</v>
      </c>
      <c r="V13" s="214" t="str">
        <f>V5</f>
        <v>BP</v>
      </c>
      <c r="W13" s="214" t="str">
        <f>W5</f>
        <v>Pot</v>
      </c>
      <c r="X13" s="218" t="str">
        <f>X5</f>
        <v>HAB</v>
      </c>
      <c r="Y13" s="218" t="str">
        <f>Y5</f>
        <v>POT</v>
      </c>
      <c r="Z13" s="215" t="str">
        <f>Z5</f>
        <v>Cap</v>
      </c>
      <c r="AA13" s="215" t="s">
        <v>46</v>
      </c>
      <c r="AB13" s="215" t="str">
        <f>AB5</f>
        <v>HTMS</v>
      </c>
      <c r="AC13" s="219" t="str">
        <f>AC5</f>
        <v>PR</v>
      </c>
      <c r="AD13" s="219" t="str">
        <f>AD5</f>
        <v>DL</v>
      </c>
      <c r="AE13" s="219" t="str">
        <f>AE5</f>
        <v>DC</v>
      </c>
      <c r="AF13" s="219" t="str">
        <f>AF5</f>
        <v>In</v>
      </c>
      <c r="AG13" s="219" t="str">
        <f>AG5</f>
        <v>ExO</v>
      </c>
      <c r="AH13" s="219" t="str">
        <f>AH5</f>
        <v>DV</v>
      </c>
      <c r="AI13" s="216" t="str">
        <f>AI5</f>
        <v>Atributs</v>
      </c>
      <c r="AK13" s="266" t="s">
        <v>477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160" t="s">
        <v>672</v>
      </c>
      <c r="B14" s="161">
        <v>15</v>
      </c>
      <c r="C14" s="162">
        <f ca="1">A32-43400+6-112-110</f>
        <v>88</v>
      </c>
      <c r="D14" s="163" t="s">
        <v>190</v>
      </c>
      <c r="E14" s="164">
        <f t="shared" ref="E14:E17" ca="1" si="3">F14-TODAY()</f>
        <v>136</v>
      </c>
      <c r="F14" s="165">
        <v>43840</v>
      </c>
      <c r="G14" s="201" t="s">
        <v>436</v>
      </c>
      <c r="H14" s="196" t="s">
        <v>434</v>
      </c>
      <c r="I14" s="166" t="s">
        <v>424</v>
      </c>
      <c r="J14" s="161"/>
      <c r="K14" s="172">
        <v>1.99</v>
      </c>
      <c r="L14" s="161"/>
      <c r="M14" s="172">
        <v>4.99</v>
      </c>
      <c r="N14" s="161"/>
      <c r="O14" s="172">
        <v>3.99</v>
      </c>
      <c r="P14" s="197">
        <v>3</v>
      </c>
      <c r="Q14" s="198">
        <v>5.99</v>
      </c>
      <c r="R14" s="161"/>
      <c r="S14" s="172">
        <v>3.99</v>
      </c>
      <c r="T14" s="161"/>
      <c r="U14" s="172">
        <v>3.99</v>
      </c>
      <c r="V14" s="161"/>
      <c r="W14" s="161"/>
      <c r="X14" s="173">
        <f t="shared" ref="X14" si="4">7-(COUNTBLANK(J14)+COUNTBLANK(L14)+COUNTBLANK(N14)+COUNTBLANK(P14)+COUNTBLANK(R14)+COUNTBLANK(T14)+COUNTBLANK(V14))</f>
        <v>1</v>
      </c>
      <c r="Y14" s="166">
        <f t="shared" ref="Y14" si="5">COUNT(W14,S14,U14,Q14,O14,M14,K14)</f>
        <v>6</v>
      </c>
      <c r="Z14" s="166"/>
      <c r="AA14" s="166"/>
      <c r="AB14" s="166"/>
      <c r="AC14" s="174"/>
      <c r="AD14" s="174"/>
      <c r="AE14" s="174"/>
      <c r="AF14" s="174"/>
      <c r="AG14" s="174">
        <v>5</v>
      </c>
      <c r="AH14" s="174">
        <v>5.5</v>
      </c>
      <c r="AI14" s="174" t="s">
        <v>441</v>
      </c>
      <c r="AK14" s="266" t="s">
        <v>478</v>
      </c>
      <c r="AL14" s="260">
        <v>16</v>
      </c>
      <c r="AM14" s="267">
        <v>1807</v>
      </c>
      <c r="AN14" s="292" t="s">
        <v>468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75" t="s">
        <v>444</v>
      </c>
      <c r="B15" s="161">
        <v>16</v>
      </c>
      <c r="C15" s="162">
        <f ca="1">A33-2100-6-93-112+2-62-112-112</f>
        <v>111</v>
      </c>
      <c r="D15" s="163" t="s">
        <v>0</v>
      </c>
      <c r="E15" s="164">
        <f t="shared" ca="1" si="3"/>
        <v>1</v>
      </c>
      <c r="F15" s="165">
        <v>43705</v>
      </c>
      <c r="G15" s="220"/>
      <c r="H15" s="167" t="s">
        <v>427</v>
      </c>
      <c r="I15" s="166" t="s">
        <v>424</v>
      </c>
      <c r="J15" s="176"/>
      <c r="K15" s="176"/>
      <c r="L15" s="170">
        <v>3</v>
      </c>
      <c r="M15" s="171">
        <v>3.99</v>
      </c>
      <c r="N15" s="176"/>
      <c r="O15" s="172">
        <v>4.99</v>
      </c>
      <c r="P15" s="176"/>
      <c r="Q15" s="198">
        <v>5.99</v>
      </c>
      <c r="R15" s="168">
        <v>4</v>
      </c>
      <c r="S15" s="169">
        <v>4.99</v>
      </c>
      <c r="T15" s="176"/>
      <c r="U15" s="172">
        <v>3.99</v>
      </c>
      <c r="V15" s="176"/>
      <c r="W15" s="172">
        <v>2.99</v>
      </c>
      <c r="X15" s="173">
        <f>7-(COUNTBLANK(J15)+COUNTBLANK(L15)+COUNTBLANK(N15)+COUNTBLANK(P15)+COUNTBLANK(R15)+COUNTBLANK(T15)+COUNTBLANK(V15))</f>
        <v>2</v>
      </c>
      <c r="Y15" s="166">
        <f>COUNT(W15,S15,U15,Q15,O15,M15,K15)</f>
        <v>6</v>
      </c>
      <c r="Z15" s="177"/>
      <c r="AA15" s="177"/>
      <c r="AB15" s="177"/>
      <c r="AC15" s="174"/>
      <c r="AD15" s="174"/>
      <c r="AE15" s="174"/>
      <c r="AF15" s="174"/>
      <c r="AG15" s="174"/>
      <c r="AH15" s="174"/>
      <c r="AI15" s="174"/>
      <c r="AK15" s="266" t="s">
        <v>479</v>
      </c>
      <c r="AL15" s="260">
        <v>18</v>
      </c>
      <c r="AM15" s="267">
        <v>1778</v>
      </c>
      <c r="AN15" s="292" t="s">
        <v>413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200" t="s">
        <v>445</v>
      </c>
      <c r="B16" s="176">
        <v>17</v>
      </c>
      <c r="C16" s="162">
        <f ca="1">A33-2100-5-93-112+6-36-112-112-12-112</f>
        <v>18</v>
      </c>
      <c r="D16" s="163"/>
      <c r="E16" s="164">
        <f t="shared" ca="1" si="3"/>
        <v>-18</v>
      </c>
      <c r="F16" s="165">
        <v>43686</v>
      </c>
      <c r="G16" s="166"/>
      <c r="H16" s="167" t="s">
        <v>425</v>
      </c>
      <c r="I16" s="166" t="s">
        <v>424</v>
      </c>
      <c r="J16" s="176"/>
      <c r="K16" s="176"/>
      <c r="L16" s="170">
        <v>4</v>
      </c>
      <c r="M16" s="171">
        <v>4.99</v>
      </c>
      <c r="N16" s="168">
        <v>2</v>
      </c>
      <c r="O16" s="169">
        <v>2.99</v>
      </c>
      <c r="P16" s="176"/>
      <c r="Q16" s="172">
        <v>3.99</v>
      </c>
      <c r="R16" s="176"/>
      <c r="S16" s="172">
        <v>2.99</v>
      </c>
      <c r="T16" s="176"/>
      <c r="U16" s="198">
        <v>5.99</v>
      </c>
      <c r="V16" s="176"/>
      <c r="W16" s="176"/>
      <c r="X16" s="173">
        <f>7-(COUNTBLANK(J16)+COUNTBLANK(L16)+COUNTBLANK(N16)+COUNTBLANK(P16)+COUNTBLANK(R16)+COUNTBLANK(T16)+COUNTBLANK(V16))</f>
        <v>2</v>
      </c>
      <c r="Y16" s="166">
        <f>COUNT(W16,S16,U16,Q16,O16,M16,K16)</f>
        <v>5</v>
      </c>
      <c r="Z16" s="177"/>
      <c r="AA16" s="177"/>
      <c r="AB16" s="177"/>
      <c r="AC16" s="174"/>
      <c r="AD16" s="174"/>
      <c r="AE16" s="174"/>
      <c r="AF16" s="174">
        <v>3.5</v>
      </c>
      <c r="AG16" s="174"/>
      <c r="AH16" s="174"/>
      <c r="AI16" s="174" t="s">
        <v>428</v>
      </c>
      <c r="AK16" s="266" t="s">
        <v>480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446</v>
      </c>
      <c r="B17" s="161">
        <v>17</v>
      </c>
      <c r="C17" s="162">
        <f ca="1">A33-2100-6-116+4-112-112-6-112-112</f>
        <v>34</v>
      </c>
      <c r="D17" s="163"/>
      <c r="E17" s="164">
        <f t="shared" ca="1" si="3"/>
        <v>-34</v>
      </c>
      <c r="F17" s="165">
        <v>43670</v>
      </c>
      <c r="G17" s="201" t="s">
        <v>436</v>
      </c>
      <c r="H17" s="167" t="s">
        <v>425</v>
      </c>
      <c r="I17" s="166" t="s">
        <v>424</v>
      </c>
      <c r="J17" s="176"/>
      <c r="K17" s="172">
        <v>1.99</v>
      </c>
      <c r="L17" s="176"/>
      <c r="M17" s="172">
        <v>2.99</v>
      </c>
      <c r="N17" s="168">
        <v>4</v>
      </c>
      <c r="O17" s="169">
        <v>4.99</v>
      </c>
      <c r="P17" s="176"/>
      <c r="Q17" s="172">
        <v>4.99</v>
      </c>
      <c r="R17" s="197">
        <v>4</v>
      </c>
      <c r="S17" s="198">
        <v>5.99</v>
      </c>
      <c r="T17" s="170">
        <v>2</v>
      </c>
      <c r="U17" s="171">
        <v>2.99</v>
      </c>
      <c r="V17" s="176"/>
      <c r="W17" s="199">
        <v>6.99</v>
      </c>
      <c r="X17" s="173">
        <f>7-(COUNTBLANK(J17)+COUNTBLANK(L17)+COUNTBLANK(N17)+COUNTBLANK(P17)+COUNTBLANK(R17)+COUNTBLANK(T17)+COUNTBLANK(V17))</f>
        <v>3</v>
      </c>
      <c r="Y17" s="166">
        <f>COUNT(W17,S17,U17,Q17,O17,M17,K17)</f>
        <v>7</v>
      </c>
      <c r="Z17" s="177"/>
      <c r="AA17" s="177">
        <v>10</v>
      </c>
      <c r="AB17" s="177"/>
      <c r="AC17" s="174"/>
      <c r="AD17" s="174"/>
      <c r="AE17" s="174"/>
      <c r="AF17" s="174">
        <v>4.5</v>
      </c>
      <c r="AG17" s="174">
        <v>4.5</v>
      </c>
      <c r="AH17" s="174"/>
      <c r="AI17" s="174" t="s">
        <v>428</v>
      </c>
      <c r="AK17" s="266" t="s">
        <v>481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21" t="s">
        <v>430</v>
      </c>
      <c r="B18" s="221"/>
      <c r="C18" s="221"/>
      <c r="D18" s="222"/>
      <c r="E18" s="221"/>
      <c r="F18" s="223"/>
      <c r="G18" s="224"/>
      <c r="H18" s="223"/>
      <c r="I18" s="223"/>
      <c r="J18" s="225" t="s">
        <v>431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3"/>
      <c r="Y18" s="223"/>
      <c r="Z18" s="223"/>
      <c r="AA18" s="223"/>
      <c r="AB18" s="223"/>
      <c r="AC18" s="226" t="s">
        <v>432</v>
      </c>
      <c r="AD18" s="226"/>
      <c r="AE18" s="226"/>
      <c r="AF18" s="226"/>
      <c r="AG18" s="226"/>
      <c r="AH18" s="226"/>
      <c r="AI18" s="227"/>
      <c r="AK18" s="266" t="s">
        <v>482</v>
      </c>
      <c r="AL18" s="260">
        <v>17</v>
      </c>
      <c r="AM18" s="267">
        <v>1733</v>
      </c>
      <c r="AN18" s="292" t="s">
        <v>483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8" t="s">
        <v>3</v>
      </c>
      <c r="B19" s="228" t="s">
        <v>407</v>
      </c>
      <c r="C19" s="228" t="s">
        <v>5</v>
      </c>
      <c r="D19" s="229" t="s">
        <v>408</v>
      </c>
      <c r="E19" s="228" t="s">
        <v>409</v>
      </c>
      <c r="F19" s="229" t="str">
        <f>F13</f>
        <v>Promoción</v>
      </c>
      <c r="G19" s="230" t="str">
        <f>G13</f>
        <v>Gen</v>
      </c>
      <c r="H19" s="229" t="str">
        <f>H13</f>
        <v>u20</v>
      </c>
      <c r="I19" s="229" t="str">
        <f>I13</f>
        <v>Lid</v>
      </c>
      <c r="J19" s="228" t="s">
        <v>27</v>
      </c>
      <c r="K19" s="228" t="str">
        <f t="shared" ref="K19:Z19" si="6">K13</f>
        <v>Pot</v>
      </c>
      <c r="L19" s="231" t="str">
        <f t="shared" si="6"/>
        <v>DEF</v>
      </c>
      <c r="M19" s="231" t="str">
        <f t="shared" si="6"/>
        <v>Pot</v>
      </c>
      <c r="N19" s="228" t="str">
        <f t="shared" si="6"/>
        <v>JUG</v>
      </c>
      <c r="O19" s="228" t="str">
        <f t="shared" si="6"/>
        <v>Pot</v>
      </c>
      <c r="P19" s="231" t="str">
        <f t="shared" si="6"/>
        <v>LAT</v>
      </c>
      <c r="Q19" s="231" t="str">
        <f t="shared" si="6"/>
        <v>Pot</v>
      </c>
      <c r="R19" s="228" t="str">
        <f t="shared" si="6"/>
        <v>PAS</v>
      </c>
      <c r="S19" s="228" t="str">
        <f t="shared" si="6"/>
        <v>Pot</v>
      </c>
      <c r="T19" s="231" t="str">
        <f t="shared" si="6"/>
        <v>ANO</v>
      </c>
      <c r="U19" s="231" t="str">
        <f t="shared" si="6"/>
        <v>Pot</v>
      </c>
      <c r="V19" s="228" t="str">
        <f t="shared" si="6"/>
        <v>BP</v>
      </c>
      <c r="W19" s="228" t="str">
        <f t="shared" si="6"/>
        <v>Pot</v>
      </c>
      <c r="X19" s="232" t="str">
        <f t="shared" si="6"/>
        <v>HAB</v>
      </c>
      <c r="Y19" s="232" t="str">
        <f t="shared" si="6"/>
        <v>POT</v>
      </c>
      <c r="Z19" s="229" t="str">
        <f t="shared" si="6"/>
        <v>Cap</v>
      </c>
      <c r="AA19" s="229" t="s">
        <v>46</v>
      </c>
      <c r="AB19" s="229" t="str">
        <f t="shared" ref="AB19:AI19" si="7">AB13</f>
        <v>HTMS</v>
      </c>
      <c r="AC19" s="233" t="str">
        <f t="shared" si="7"/>
        <v>PR</v>
      </c>
      <c r="AD19" s="233" t="str">
        <f t="shared" si="7"/>
        <v>DL</v>
      </c>
      <c r="AE19" s="233" t="str">
        <f t="shared" si="7"/>
        <v>DC</v>
      </c>
      <c r="AF19" s="233" t="str">
        <f t="shared" si="7"/>
        <v>In</v>
      </c>
      <c r="AG19" s="233" t="str">
        <f t="shared" si="7"/>
        <v>ExO</v>
      </c>
      <c r="AH19" s="233" t="str">
        <f t="shared" si="7"/>
        <v>DV</v>
      </c>
      <c r="AI19" s="230" t="str">
        <f t="shared" si="7"/>
        <v>Atributs</v>
      </c>
      <c r="AK19" s="266" t="s">
        <v>484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175"/>
      <c r="B20" s="176">
        <v>17</v>
      </c>
      <c r="C20" s="162">
        <f ca="1">A33-2100-6-93-112+4-62-112-112-112</f>
        <v>1</v>
      </c>
      <c r="D20" s="163"/>
      <c r="E20" s="164">
        <f ca="1">F20-TODAY()</f>
        <v>-43704</v>
      </c>
      <c r="F20" s="165"/>
      <c r="G20" s="166"/>
      <c r="H20" s="166"/>
      <c r="I20" s="166" t="s">
        <v>424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3">
        <f>7-(COUNTBLANK(J20)+COUNTBLANK(L20)+COUNTBLANK(N20)+COUNTBLANK(P20)+COUNTBLANK(R20)+COUNTBLANK(T20)+COUNTBLANK(V20))</f>
        <v>0</v>
      </c>
      <c r="Y20" s="166">
        <f>COUNT(W20,S20,U20,Q20,O20,M20,K20)</f>
        <v>0</v>
      </c>
      <c r="Z20" s="177"/>
      <c r="AA20" s="177"/>
      <c r="AB20" s="177"/>
      <c r="AC20" s="174"/>
      <c r="AD20" s="174"/>
      <c r="AE20" s="174"/>
      <c r="AF20" s="174"/>
      <c r="AG20" s="174"/>
      <c r="AH20" s="174"/>
      <c r="AI20" s="174"/>
      <c r="AK20" s="266" t="s">
        <v>485</v>
      </c>
      <c r="AL20" s="260">
        <v>17</v>
      </c>
      <c r="AM20" s="267">
        <v>1585</v>
      </c>
      <c r="AN20" s="292" t="s">
        <v>472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160"/>
      <c r="B21" s="161">
        <v>17</v>
      </c>
      <c r="C21" s="162">
        <f ca="1">A33-2100-6-93-112+6-64-112-54-112</f>
        <v>59</v>
      </c>
      <c r="D21" s="163"/>
      <c r="E21" s="164">
        <f ca="1">F21-TODAY()</f>
        <v>-43704</v>
      </c>
      <c r="F21" s="165"/>
      <c r="G21" s="166"/>
      <c r="H21" s="166"/>
      <c r="I21" s="166" t="s">
        <v>424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73">
        <f>7-(COUNTBLANK(J21)+COUNTBLANK(L21)+COUNTBLANK(N21)+COUNTBLANK(P21)+COUNTBLANK(R21)+COUNTBLANK(T21)+COUNTBLANK(V21))</f>
        <v>0</v>
      </c>
      <c r="Y21" s="166">
        <f>COUNT(W21,S21,U21,Q21,O21,M21,K21)</f>
        <v>0</v>
      </c>
      <c r="Z21" s="166"/>
      <c r="AA21" s="166"/>
      <c r="AB21" s="166"/>
      <c r="AC21" s="174"/>
      <c r="AD21" s="174"/>
      <c r="AE21" s="174"/>
      <c r="AF21" s="174"/>
      <c r="AG21" s="174"/>
      <c r="AH21" s="174"/>
      <c r="AI21" s="174"/>
      <c r="AK21" s="266" t="s">
        <v>486</v>
      </c>
      <c r="AL21" s="260">
        <v>16</v>
      </c>
      <c r="AM21" s="267">
        <v>1687</v>
      </c>
      <c r="AN21" s="292" t="s">
        <v>475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160" t="s">
        <v>437</v>
      </c>
      <c r="B22" s="161">
        <v>16</v>
      </c>
      <c r="C22" s="162">
        <f ca="1">A33-2100-6-116+4-112-112-113-112</f>
        <v>39</v>
      </c>
      <c r="D22" s="163" t="s">
        <v>438</v>
      </c>
      <c r="E22" s="164">
        <f ca="1">F22-TODAY()</f>
        <v>73</v>
      </c>
      <c r="F22" s="165">
        <v>43777</v>
      </c>
      <c r="G22" s="196"/>
      <c r="H22" s="202" t="s">
        <v>439</v>
      </c>
      <c r="I22" s="166" t="s">
        <v>424</v>
      </c>
      <c r="J22" s="161"/>
      <c r="K22" s="161"/>
      <c r="L22" s="197">
        <v>3</v>
      </c>
      <c r="M22" s="161"/>
      <c r="N22" s="161"/>
      <c r="O22" s="172">
        <v>2.99</v>
      </c>
      <c r="P22" s="161"/>
      <c r="Q22" s="172">
        <v>4.99</v>
      </c>
      <c r="R22" s="161"/>
      <c r="S22" s="172">
        <v>4.99</v>
      </c>
      <c r="T22" s="170">
        <v>2</v>
      </c>
      <c r="U22" s="171">
        <v>2.99</v>
      </c>
      <c r="V22" s="161"/>
      <c r="W22" s="161"/>
      <c r="X22" s="173">
        <f>7-(COUNTBLANK(J22)+COUNTBLANK(L22)+COUNTBLANK(N22)+COUNTBLANK(P22)+COUNTBLANK(R22)+COUNTBLANK(T22)+COUNTBLANK(V22))</f>
        <v>2</v>
      </c>
      <c r="Y22" s="166">
        <f>COUNT(W22,S22,U22,Q22,O22,M22,K22)</f>
        <v>4</v>
      </c>
      <c r="Z22" s="166"/>
      <c r="AA22" s="166"/>
      <c r="AB22" s="166"/>
      <c r="AC22" s="174"/>
      <c r="AD22" s="174"/>
      <c r="AE22" s="174"/>
      <c r="AF22" s="174"/>
      <c r="AG22" s="174">
        <v>4.5</v>
      </c>
      <c r="AH22" s="174"/>
      <c r="AI22" s="174" t="s">
        <v>428</v>
      </c>
      <c r="AK22" s="266" t="s">
        <v>490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235" t="s">
        <v>447</v>
      </c>
      <c r="B23" s="161">
        <v>18</v>
      </c>
      <c r="C23" s="162">
        <f ca="1">A33-2150+2-112+7-112-78-112-112</f>
        <v>39</v>
      </c>
      <c r="D23" s="163" t="s">
        <v>99</v>
      </c>
      <c r="E23" s="164">
        <f t="shared" ref="E23:E28" ca="1" si="8">F23-TODAY()</f>
        <v>0</v>
      </c>
      <c r="F23" s="165">
        <f ca="1">TODAY()</f>
        <v>43704</v>
      </c>
      <c r="G23" s="201" t="s">
        <v>436</v>
      </c>
      <c r="H23" s="196" t="s">
        <v>434</v>
      </c>
      <c r="I23" s="166" t="s">
        <v>424</v>
      </c>
      <c r="J23" s="161"/>
      <c r="K23" s="172">
        <v>1.99</v>
      </c>
      <c r="L23" s="161"/>
      <c r="M23" s="172">
        <v>3.99</v>
      </c>
      <c r="N23" s="170">
        <v>2</v>
      </c>
      <c r="O23" s="171">
        <v>2.99</v>
      </c>
      <c r="P23" s="197">
        <v>4</v>
      </c>
      <c r="Q23" s="199">
        <v>6.99</v>
      </c>
      <c r="R23" s="168">
        <v>4</v>
      </c>
      <c r="S23" s="169">
        <v>4.99</v>
      </c>
      <c r="T23" s="161"/>
      <c r="U23" s="172">
        <v>3.99</v>
      </c>
      <c r="V23" s="161"/>
      <c r="W23" s="161"/>
      <c r="X23" s="173">
        <f t="shared" ref="X23:X28" si="9">7-(COUNTBLANK(J23)+COUNTBLANK(L23)+COUNTBLANK(N23)+COUNTBLANK(P23)+COUNTBLANK(R23)+COUNTBLANK(T23)+COUNTBLANK(V23))</f>
        <v>3</v>
      </c>
      <c r="Y23" s="166">
        <f t="shared" ref="Y23:Y28" si="10">COUNT(W23,S23,U23,Q23,O23,M23,K23)</f>
        <v>6</v>
      </c>
      <c r="Z23" s="166"/>
      <c r="AA23" s="166"/>
      <c r="AB23" s="166"/>
      <c r="AC23" s="174"/>
      <c r="AD23" s="174">
        <v>3.5</v>
      </c>
      <c r="AE23" s="174"/>
      <c r="AF23" s="174"/>
      <c r="AG23" s="174"/>
      <c r="AH23" s="174"/>
      <c r="AI23" s="174" t="s">
        <v>428</v>
      </c>
      <c r="AK23" s="266" t="s">
        <v>487</v>
      </c>
      <c r="AL23" s="260">
        <v>18</v>
      </c>
      <c r="AM23" s="267">
        <v>1648</v>
      </c>
      <c r="AN23" s="292" t="s">
        <v>468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00" t="s">
        <v>448</v>
      </c>
      <c r="B24" s="161">
        <v>18</v>
      </c>
      <c r="C24" s="162">
        <f ca="1">A33-2150+2-112+7-112-72-112-112</f>
        <v>45</v>
      </c>
      <c r="D24" s="163"/>
      <c r="E24" s="164">
        <f t="shared" ca="1" si="8"/>
        <v>0</v>
      </c>
      <c r="F24" s="165">
        <f ca="1">TODAY()</f>
        <v>43704</v>
      </c>
      <c r="G24" s="220" t="s">
        <v>449</v>
      </c>
      <c r="H24" s="196" t="s">
        <v>434</v>
      </c>
      <c r="I24" s="166" t="s">
        <v>424</v>
      </c>
      <c r="J24" s="161"/>
      <c r="K24" s="172">
        <v>1.99</v>
      </c>
      <c r="L24" s="170">
        <v>2</v>
      </c>
      <c r="M24" s="171">
        <v>2.99</v>
      </c>
      <c r="N24" s="168">
        <v>3</v>
      </c>
      <c r="O24" s="169">
        <v>3.99</v>
      </c>
      <c r="P24" s="170">
        <v>4</v>
      </c>
      <c r="Q24" s="171">
        <v>4.99</v>
      </c>
      <c r="R24" s="176"/>
      <c r="S24" s="199">
        <v>6.99</v>
      </c>
      <c r="T24" s="170">
        <v>2</v>
      </c>
      <c r="U24" s="171">
        <v>2.99</v>
      </c>
      <c r="V24" s="161"/>
      <c r="W24" s="161"/>
      <c r="X24" s="173">
        <f t="shared" si="9"/>
        <v>4</v>
      </c>
      <c r="Y24" s="166">
        <f t="shared" si="10"/>
        <v>6</v>
      </c>
      <c r="Z24" s="166"/>
      <c r="AA24" s="166"/>
      <c r="AB24" s="166"/>
      <c r="AC24" s="174"/>
      <c r="AD24" s="174">
        <v>2</v>
      </c>
      <c r="AE24" s="174">
        <v>3</v>
      </c>
      <c r="AF24" s="174">
        <v>5</v>
      </c>
      <c r="AG24" s="174">
        <v>5.5</v>
      </c>
      <c r="AH24" s="174">
        <v>4.5</v>
      </c>
      <c r="AI24" s="174" t="s">
        <v>441</v>
      </c>
      <c r="AK24" s="266" t="s">
        <v>488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450</v>
      </c>
      <c r="B25" s="161">
        <v>17</v>
      </c>
      <c r="C25" s="162">
        <f ca="1">88+A33-2516-112-112</f>
        <v>54</v>
      </c>
      <c r="D25" s="163"/>
      <c r="E25" s="164">
        <v>0</v>
      </c>
      <c r="F25" s="165">
        <v>43650</v>
      </c>
      <c r="G25" s="201" t="s">
        <v>436</v>
      </c>
      <c r="H25" s="167" t="s">
        <v>425</v>
      </c>
      <c r="I25" s="166" t="s">
        <v>424</v>
      </c>
      <c r="J25" s="197">
        <v>3</v>
      </c>
      <c r="K25" s="172">
        <v>4.99</v>
      </c>
      <c r="L25" s="197">
        <v>3</v>
      </c>
      <c r="M25" s="172">
        <v>4.99</v>
      </c>
      <c r="N25" s="176"/>
      <c r="O25" s="172">
        <v>0.99</v>
      </c>
      <c r="P25" s="176"/>
      <c r="Q25" s="172">
        <v>1.99</v>
      </c>
      <c r="R25" s="176"/>
      <c r="S25" s="172">
        <v>1.99</v>
      </c>
      <c r="T25" s="170">
        <v>0</v>
      </c>
      <c r="U25" s="171">
        <v>0.99</v>
      </c>
      <c r="V25" s="176"/>
      <c r="W25" s="172">
        <v>1.99</v>
      </c>
      <c r="X25" s="173">
        <f t="shared" si="9"/>
        <v>3</v>
      </c>
      <c r="Y25" s="166">
        <f t="shared" si="10"/>
        <v>7</v>
      </c>
      <c r="Z25" s="177"/>
      <c r="AA25" s="177"/>
      <c r="AB25" s="177"/>
      <c r="AC25" s="174">
        <v>4</v>
      </c>
      <c r="AD25" s="174"/>
      <c r="AE25" s="174"/>
      <c r="AF25" s="174"/>
      <c r="AG25" s="174"/>
      <c r="AH25" s="174">
        <v>6.5</v>
      </c>
      <c r="AI25" s="174" t="s">
        <v>428</v>
      </c>
      <c r="AK25" s="266" t="s">
        <v>489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451</v>
      </c>
      <c r="B26" s="176">
        <v>17</v>
      </c>
      <c r="C26" s="162">
        <f ca="1">A32-43400+6-112-112</f>
        <v>86</v>
      </c>
      <c r="D26" s="163"/>
      <c r="E26" s="164">
        <f t="shared" ca="1" si="8"/>
        <v>0</v>
      </c>
      <c r="F26" s="165">
        <f ca="1">TODAY()</f>
        <v>43704</v>
      </c>
      <c r="G26" s="196" t="s">
        <v>436</v>
      </c>
      <c r="H26" s="166" t="s">
        <v>434</v>
      </c>
      <c r="I26" s="166" t="s">
        <v>424</v>
      </c>
      <c r="J26" s="176"/>
      <c r="K26" s="172">
        <v>1.99</v>
      </c>
      <c r="L26" s="170">
        <v>2</v>
      </c>
      <c r="M26" s="171">
        <v>2.99</v>
      </c>
      <c r="N26" s="176"/>
      <c r="O26" s="172">
        <v>4.99</v>
      </c>
      <c r="P26" s="170">
        <v>4</v>
      </c>
      <c r="Q26" s="171">
        <v>4.99</v>
      </c>
      <c r="R26" s="176"/>
      <c r="S26" s="172">
        <v>4.99</v>
      </c>
      <c r="T26" s="176"/>
      <c r="U26" s="172">
        <v>3.99</v>
      </c>
      <c r="V26" s="176"/>
      <c r="W26" s="176"/>
      <c r="X26" s="173">
        <f t="shared" si="9"/>
        <v>2</v>
      </c>
      <c r="Y26" s="166">
        <f t="shared" si="10"/>
        <v>6</v>
      </c>
      <c r="Z26" s="177"/>
      <c r="AA26" s="177"/>
      <c r="AB26" s="177"/>
      <c r="AC26" s="174"/>
      <c r="AD26" s="174"/>
      <c r="AE26" s="174">
        <v>3</v>
      </c>
      <c r="AF26" s="174">
        <v>4.5</v>
      </c>
      <c r="AG26" s="174">
        <v>4.5</v>
      </c>
      <c r="AH26" s="174">
        <v>5</v>
      </c>
      <c r="AI26" s="174" t="s">
        <v>441</v>
      </c>
      <c r="AK26" s="266" t="s">
        <v>491</v>
      </c>
      <c r="AL26" s="260">
        <v>16</v>
      </c>
      <c r="AM26" s="267">
        <v>1566</v>
      </c>
      <c r="AN26" s="292" t="s">
        <v>468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452</v>
      </c>
      <c r="B27" s="176">
        <v>18</v>
      </c>
      <c r="C27" s="162">
        <f ca="1">A33-2100-6-93-112+6-36-112-112-112</f>
        <v>29</v>
      </c>
      <c r="D27" s="163"/>
      <c r="E27" s="164">
        <f t="shared" ca="1" si="8"/>
        <v>0</v>
      </c>
      <c r="F27" s="165">
        <f ca="1">TODAY()</f>
        <v>43704</v>
      </c>
      <c r="G27" s="196" t="s">
        <v>453</v>
      </c>
      <c r="H27" s="166" t="s">
        <v>434</v>
      </c>
      <c r="I27" s="166" t="s">
        <v>424</v>
      </c>
      <c r="J27" s="176"/>
      <c r="K27" s="176"/>
      <c r="L27" s="176"/>
      <c r="M27" s="172">
        <v>2.99</v>
      </c>
      <c r="N27" s="176"/>
      <c r="O27" s="172">
        <v>3.99</v>
      </c>
      <c r="P27" s="168">
        <v>4</v>
      </c>
      <c r="Q27" s="169">
        <v>4.99</v>
      </c>
      <c r="R27" s="170">
        <v>2</v>
      </c>
      <c r="S27" s="171">
        <v>2.99</v>
      </c>
      <c r="T27" s="176"/>
      <c r="U27" s="172">
        <v>2.99</v>
      </c>
      <c r="V27" s="176"/>
      <c r="W27" s="176"/>
      <c r="X27" s="173">
        <f t="shared" si="9"/>
        <v>2</v>
      </c>
      <c r="Y27" s="166">
        <f t="shared" si="10"/>
        <v>5</v>
      </c>
      <c r="Z27" s="177"/>
      <c r="AA27" s="177"/>
      <c r="AB27" s="177"/>
      <c r="AC27" s="174">
        <v>1</v>
      </c>
      <c r="AD27" s="174"/>
      <c r="AE27" s="174">
        <v>3.5</v>
      </c>
      <c r="AF27" s="174">
        <v>4</v>
      </c>
      <c r="AG27" s="174">
        <v>4</v>
      </c>
      <c r="AH27" s="174"/>
      <c r="AI27" s="174" t="s">
        <v>428</v>
      </c>
      <c r="AK27" s="266" t="s">
        <v>492</v>
      </c>
      <c r="AL27" s="260">
        <v>19</v>
      </c>
      <c r="AM27" s="267">
        <v>1449</v>
      </c>
      <c r="AN27" s="292" t="s">
        <v>475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35" t="s">
        <v>454</v>
      </c>
      <c r="B28" s="161">
        <v>18</v>
      </c>
      <c r="C28" s="236">
        <f ca="1">A33-2158+4-112-23-112-112-112</f>
        <v>81</v>
      </c>
      <c r="D28" s="163" t="s">
        <v>99</v>
      </c>
      <c r="E28" s="164">
        <f t="shared" ca="1" si="8"/>
        <v>0</v>
      </c>
      <c r="F28" s="165">
        <f ca="1">TODAY()</f>
        <v>43704</v>
      </c>
      <c r="G28" s="196" t="s">
        <v>436</v>
      </c>
      <c r="H28" s="166" t="s">
        <v>434</v>
      </c>
      <c r="I28" s="166" t="s">
        <v>424</v>
      </c>
      <c r="J28" s="161"/>
      <c r="K28" s="172">
        <v>1.99</v>
      </c>
      <c r="L28" s="170">
        <v>4</v>
      </c>
      <c r="M28" s="171">
        <v>4.99</v>
      </c>
      <c r="N28" s="161"/>
      <c r="O28" s="172">
        <v>1.99</v>
      </c>
      <c r="P28" s="170">
        <v>3</v>
      </c>
      <c r="Q28" s="171">
        <v>3.99</v>
      </c>
      <c r="R28" s="161"/>
      <c r="S28" s="198">
        <v>5.99</v>
      </c>
      <c r="T28" s="170">
        <v>3</v>
      </c>
      <c r="U28" s="171">
        <v>3.99</v>
      </c>
      <c r="V28" s="161"/>
      <c r="W28" s="161"/>
      <c r="X28" s="173">
        <f t="shared" si="9"/>
        <v>3</v>
      </c>
      <c r="Y28" s="166">
        <f t="shared" si="10"/>
        <v>6</v>
      </c>
      <c r="Z28" s="166"/>
      <c r="AA28" s="166"/>
      <c r="AB28" s="166"/>
      <c r="AC28" s="174">
        <v>2</v>
      </c>
      <c r="AD28" s="174">
        <v>3.5</v>
      </c>
      <c r="AE28" s="174">
        <v>4</v>
      </c>
      <c r="AF28" s="174">
        <v>3.5</v>
      </c>
      <c r="AG28" s="174">
        <v>4.5</v>
      </c>
      <c r="AH28" s="174"/>
      <c r="AI28" s="174" t="s">
        <v>441</v>
      </c>
      <c r="AK28" s="266" t="s">
        <v>493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494</v>
      </c>
      <c r="AL29" s="260">
        <v>18</v>
      </c>
      <c r="AM29" s="267">
        <v>1507</v>
      </c>
      <c r="AN29" s="292" t="s">
        <v>413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495</v>
      </c>
      <c r="AL30" s="260">
        <v>19</v>
      </c>
      <c r="AM30" s="267">
        <v>1392</v>
      </c>
      <c r="AN30" s="292" t="s">
        <v>496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455</v>
      </c>
      <c r="B31" s="176"/>
      <c r="C31" s="176"/>
      <c r="D31" s="177"/>
      <c r="E31" s="176"/>
      <c r="F31" s="177"/>
      <c r="G31" s="450"/>
      <c r="H31" s="450"/>
      <c r="I31" s="450"/>
      <c r="J31" s="450"/>
      <c r="K31" s="450"/>
      <c r="L31" s="450"/>
      <c r="M31" s="450"/>
      <c r="N31" s="450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497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498</v>
      </c>
    </row>
    <row r="32" spans="1:56" x14ac:dyDescent="0.25">
      <c r="A32" s="244">
        <f ca="1">TODAY()</f>
        <v>43704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499</v>
      </c>
      <c r="AL32" s="260">
        <v>17</v>
      </c>
      <c r="AM32" s="267">
        <v>1357</v>
      </c>
      <c r="AN32" s="292" t="s">
        <v>472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2706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500</v>
      </c>
      <c r="AL33" s="260">
        <v>17</v>
      </c>
      <c r="AM33" s="267">
        <v>1358</v>
      </c>
      <c r="AN33" s="292" t="s">
        <v>475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498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501</v>
      </c>
      <c r="AL34" s="260">
        <v>17</v>
      </c>
      <c r="AM34" s="267">
        <v>1417</v>
      </c>
      <c r="AN34" s="292" t="s">
        <v>483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498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502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2295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503</v>
      </c>
      <c r="AL36" s="260">
        <v>17</v>
      </c>
      <c r="AM36" s="267">
        <v>1312</v>
      </c>
      <c r="AN36" s="292" t="s">
        <v>496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504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505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498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506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507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508</v>
      </c>
      <c r="AL41" s="260">
        <v>17</v>
      </c>
      <c r="AM41" s="267">
        <v>1269</v>
      </c>
      <c r="AN41" s="292" t="s">
        <v>475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509</v>
      </c>
      <c r="AL42" s="260">
        <v>17</v>
      </c>
      <c r="AM42" s="267">
        <v>1213</v>
      </c>
      <c r="AN42" s="292" t="s">
        <v>475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510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511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512</v>
      </c>
      <c r="AL45" s="260">
        <v>16</v>
      </c>
      <c r="AM45" s="267">
        <v>1228</v>
      </c>
      <c r="AN45" s="292" t="s">
        <v>472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513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514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515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516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517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518</v>
      </c>
      <c r="AL51" s="260">
        <v>18</v>
      </c>
      <c r="AM51" s="267">
        <v>1024</v>
      </c>
      <c r="AN51" s="292" t="s">
        <v>413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519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520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521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522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523</v>
      </c>
      <c r="AL56" s="260">
        <v>17</v>
      </c>
      <c r="AM56" s="267">
        <v>914</v>
      </c>
      <c r="AN56" s="292" t="s">
        <v>468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524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525</v>
      </c>
      <c r="AL58" s="260">
        <v>19</v>
      </c>
      <c r="AM58" s="267">
        <v>909</v>
      </c>
      <c r="AN58" s="292" t="s">
        <v>483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526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527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528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529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530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531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532</v>
      </c>
      <c r="AL65" s="260">
        <v>17</v>
      </c>
      <c r="AM65" s="267">
        <v>804</v>
      </c>
      <c r="AN65" s="292" t="s">
        <v>468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533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534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535</v>
      </c>
      <c r="AL68" s="260">
        <v>16</v>
      </c>
      <c r="AM68" s="267">
        <v>883</v>
      </c>
      <c r="AN68" s="292" t="s">
        <v>468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536</v>
      </c>
      <c r="AL69" s="260">
        <v>17</v>
      </c>
      <c r="AM69" s="267">
        <v>787</v>
      </c>
      <c r="AN69" s="292" t="s">
        <v>537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538</v>
      </c>
      <c r="AL70" s="260">
        <v>17</v>
      </c>
      <c r="AM70" s="267">
        <v>812</v>
      </c>
      <c r="AN70" s="292" t="s">
        <v>413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539</v>
      </c>
      <c r="AL71" s="260">
        <v>17</v>
      </c>
      <c r="AM71" s="267">
        <v>-1523</v>
      </c>
      <c r="AN71" s="292" t="s">
        <v>475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540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541</v>
      </c>
      <c r="AL73" s="260">
        <v>18</v>
      </c>
      <c r="AM73" s="267">
        <v>770</v>
      </c>
      <c r="AN73" s="292" t="s">
        <v>475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542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543</v>
      </c>
      <c r="AL75" s="260">
        <v>16</v>
      </c>
      <c r="AM75" s="267">
        <v>745</v>
      </c>
      <c r="AN75" s="292" t="s">
        <v>475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544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545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546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547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548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549</v>
      </c>
      <c r="AL81" s="260">
        <v>16</v>
      </c>
      <c r="AM81" s="267">
        <v>581</v>
      </c>
      <c r="AN81" s="292" t="s">
        <v>550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551</v>
      </c>
      <c r="AL82" s="260">
        <v>17</v>
      </c>
      <c r="AM82" s="267">
        <v>473</v>
      </c>
      <c r="AN82" s="292" t="s">
        <v>550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552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553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554</v>
      </c>
      <c r="AL85" s="260">
        <v>18</v>
      </c>
      <c r="AM85" s="267">
        <v>-1718</v>
      </c>
      <c r="AN85" s="292" t="s">
        <v>468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555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556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557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558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559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560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561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562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563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564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565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566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567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336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568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569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570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571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572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573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574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575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576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577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578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579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580</v>
      </c>
      <c r="AL111" s="260">
        <v>16</v>
      </c>
      <c r="AM111" s="267">
        <f>-1500+[1]Jugadores!AM33-770-112</f>
        <v>-2382</v>
      </c>
      <c r="AN111" s="292" t="s">
        <v>438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581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582</v>
      </c>
      <c r="AL113" s="260">
        <v>16</v>
      </c>
      <c r="AM113" s="267">
        <f>[1]Jugadores!AM33-2100-6-93+31-112-26-44-112</f>
        <v>-2462</v>
      </c>
      <c r="AN113" s="292" t="s">
        <v>438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583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584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423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443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426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BD119" s="159"/>
      <c r="BE119" s="159"/>
      <c r="BF119" s="159"/>
    </row>
  </sheetData>
  <mergeCells count="1">
    <mergeCell ref="G31:N31"/>
  </mergeCells>
  <conditionalFormatting sqref="AC14:AH17 AC20:AH28 AC6:AH10">
    <cfRule type="cellIs" dxfId="47" priority="715" stopIfTrue="1" operator="between">
      <formula>4</formula>
      <formula>5</formula>
    </cfRule>
    <cfRule type="cellIs" dxfId="46" priority="716" stopIfTrue="1" operator="lessThan">
      <formula>4</formula>
    </cfRule>
    <cfRule type="cellIs" dxfId="45" priority="717" stopIfTrue="1" operator="greaterThan">
      <formula>5</formula>
    </cfRule>
  </conditionalFormatting>
  <conditionalFormatting sqref="E14:E17 E20:E28 E6:E10">
    <cfRule type="cellIs" dxfId="44" priority="714" stopIfTrue="1" operator="greaterThan">
      <formula>50</formula>
    </cfRule>
  </conditionalFormatting>
  <conditionalFormatting sqref="E14:E17 E20:E28 E6:E10">
    <cfRule type="cellIs" dxfId="43" priority="712" stopIfTrue="1" operator="lessThan">
      <formula>1</formula>
    </cfRule>
    <cfRule type="cellIs" dxfId="42" priority="713" stopIfTrue="1" operator="between">
      <formula>1</formula>
      <formula>50</formula>
    </cfRule>
  </conditionalFormatting>
  <conditionalFormatting sqref="AC8:AH8">
    <cfRule type="cellIs" dxfId="41" priority="703" stopIfTrue="1" operator="between">
      <formula>4</formula>
      <formula>5</formula>
    </cfRule>
    <cfRule type="cellIs" dxfId="40" priority="704" stopIfTrue="1" operator="lessThan">
      <formula>4</formula>
    </cfRule>
    <cfRule type="cellIs" dxfId="39" priority="705" stopIfTrue="1" operator="greaterThan">
      <formula>5</formula>
    </cfRule>
  </conditionalFormatting>
  <conditionalFormatting sqref="AC15:AH15">
    <cfRule type="cellIs" dxfId="38" priority="700" stopIfTrue="1" operator="between">
      <formula>4</formula>
      <formula>5</formula>
    </cfRule>
    <cfRule type="cellIs" dxfId="37" priority="701" stopIfTrue="1" operator="lessThan">
      <formula>4</formula>
    </cfRule>
    <cfRule type="cellIs" dxfId="36" priority="702" stopIfTrue="1" operator="greaterThan">
      <formula>5</formula>
    </cfRule>
  </conditionalFormatting>
  <conditionalFormatting sqref="BC31:BC43">
    <cfRule type="cellIs" dxfId="35" priority="44" stopIfTrue="1" operator="lessThan">
      <formula>4</formula>
    </cfRule>
    <cfRule type="cellIs" dxfId="34" priority="45" stopIfTrue="1" operator="greaterThan">
      <formula>6.4</formula>
    </cfRule>
  </conditionalFormatting>
  <conditionalFormatting sqref="BC31:BC43">
    <cfRule type="cellIs" dxfId="33" priority="42" stopIfTrue="1" operator="lessThan">
      <formula>4</formula>
    </cfRule>
    <cfRule type="cellIs" dxfId="32" priority="43" stopIfTrue="1" operator="greaterThan">
      <formula>6.4</formula>
    </cfRule>
  </conditionalFormatting>
  <conditionalFormatting sqref="BC31:BC43">
    <cfRule type="cellIs" dxfId="31" priority="40" stopIfTrue="1" operator="lessThan">
      <formula>4</formula>
    </cfRule>
    <cfRule type="cellIs" dxfId="30" priority="41" stopIfTrue="1" operator="greaterThan">
      <formula>6.4</formula>
    </cfRule>
  </conditionalFormatting>
  <conditionalFormatting sqref="BC31:BC43">
    <cfRule type="cellIs" dxfId="29" priority="38" stopIfTrue="1" operator="lessThan">
      <formula>4</formula>
    </cfRule>
    <cfRule type="cellIs" dxfId="28" priority="39" stopIfTrue="1" operator="greaterThan">
      <formula>6.4</formula>
    </cfRule>
  </conditionalFormatting>
  <conditionalFormatting sqref="BC31:BC43">
    <cfRule type="cellIs" dxfId="27" priority="36" stopIfTrue="1" operator="lessThan">
      <formula>4</formula>
    </cfRule>
    <cfRule type="cellIs" dxfId="26" priority="37" stopIfTrue="1" operator="greaterThan">
      <formula>6.4</formula>
    </cfRule>
  </conditionalFormatting>
  <conditionalFormatting sqref="BC31:BC43">
    <cfRule type="cellIs" dxfId="25" priority="34" stopIfTrue="1" operator="lessThan">
      <formula>4</formula>
    </cfRule>
    <cfRule type="cellIs" dxfId="24" priority="35" stopIfTrue="1" operator="greaterThan">
      <formula>6.4</formula>
    </cfRule>
  </conditionalFormatting>
  <conditionalFormatting sqref="BC31:BC43">
    <cfRule type="cellIs" dxfId="23" priority="32" stopIfTrue="1" operator="lessThan">
      <formula>4</formula>
    </cfRule>
    <cfRule type="cellIs" dxfId="22" priority="33" stopIfTrue="1" operator="greaterThan">
      <formula>6.4</formula>
    </cfRule>
  </conditionalFormatting>
  <conditionalFormatting sqref="AC14:AH14">
    <cfRule type="cellIs" dxfId="21" priority="21" stopIfTrue="1" operator="between">
      <formula>4</formula>
      <formula>5</formula>
    </cfRule>
    <cfRule type="cellIs" dxfId="20" priority="22" stopIfTrue="1" operator="lessThan">
      <formula>4</formula>
    </cfRule>
    <cfRule type="cellIs" dxfId="19" priority="23" stopIfTrue="1" operator="greaterThan">
      <formula>5</formula>
    </cfRule>
  </conditionalFormatting>
  <conditionalFormatting sqref="E14">
    <cfRule type="cellIs" dxfId="18" priority="17" stopIfTrue="1" operator="greaterThan">
      <formula>50</formula>
    </cfRule>
  </conditionalFormatting>
  <conditionalFormatting sqref="E14">
    <cfRule type="cellIs" dxfId="17" priority="15" stopIfTrue="1" operator="lessThan">
      <formula>1</formula>
    </cfRule>
    <cfRule type="cellIs" dxfId="16" priority="16" stopIfTrue="1" operator="between">
      <formula>1</formula>
      <formula>50</formula>
    </cfRule>
  </conditionalFormatting>
  <conditionalFormatting sqref="X20:Y28 X6:Y10 X14:Y17">
    <cfRule type="colorScale" priority="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H4" sqref="H4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141930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358</v>
      </c>
      <c r="E3" s="3">
        <f>Plantilla!E4</f>
        <v>23</v>
      </c>
      <c r="F3" s="25">
        <f ca="1">Plantilla!F4</f>
        <v>3</v>
      </c>
      <c r="G3" s="104">
        <f>Plantilla!X4</f>
        <v>15</v>
      </c>
      <c r="H3" s="104">
        <f>Plantilla!Y4</f>
        <v>11.222222222222221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50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101.5</v>
      </c>
      <c r="X3" t="s">
        <v>28</v>
      </c>
      <c r="Y3" s="17">
        <f>E3+1</f>
        <v>24</v>
      </c>
      <c r="Z3" s="3">
        <f ca="1">F3+(7*$AR$8)-122</f>
        <v>-70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57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108.5</v>
      </c>
    </row>
    <row r="4" spans="1:45" x14ac:dyDescent="0.25">
      <c r="A4" t="s">
        <v>31</v>
      </c>
      <c r="B4" s="15" t="s">
        <v>29</v>
      </c>
      <c r="C4" s="3"/>
      <c r="D4" s="3" t="s">
        <v>347</v>
      </c>
      <c r="E4" s="3">
        <f>Plantilla!E6</f>
        <v>23</v>
      </c>
      <c r="F4" s="3">
        <f ca="1">Plantilla!F6</f>
        <v>0</v>
      </c>
      <c r="G4" s="104">
        <f>Plantilla!X6</f>
        <v>0</v>
      </c>
      <c r="H4" s="104">
        <f>Plantilla!Y6</f>
        <v>15.0625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96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121</v>
      </c>
      <c r="X4" t="s">
        <v>31</v>
      </c>
      <c r="Y4" s="17">
        <f t="shared" ref="Y4:Y15" si="3">E4+1</f>
        <v>24</v>
      </c>
      <c r="Z4" s="3">
        <f t="shared" ref="Z4:Z15" ca="1" si="4">F4+(7*$AR$8)-122</f>
        <v>-73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103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128</v>
      </c>
    </row>
    <row r="5" spans="1:45" x14ac:dyDescent="0.25">
      <c r="A5" t="s">
        <v>32</v>
      </c>
      <c r="B5" s="15" t="s">
        <v>29</v>
      </c>
      <c r="C5" s="3"/>
      <c r="D5" s="3" t="s">
        <v>348</v>
      </c>
      <c r="E5" s="3">
        <f>Plantilla!E8</f>
        <v>23</v>
      </c>
      <c r="F5" s="3">
        <f ca="1">Plantilla!F8</f>
        <v>31</v>
      </c>
      <c r="G5" s="104">
        <f>Plantilla!X8</f>
        <v>0</v>
      </c>
      <c r="H5" s="104">
        <f>Plantilla!Y8</f>
        <v>13.166666666666666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67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113.5</v>
      </c>
      <c r="X5" t="s">
        <v>32</v>
      </c>
      <c r="Y5" s="17">
        <f t="shared" si="3"/>
        <v>24</v>
      </c>
      <c r="Z5" s="3">
        <f t="shared" ca="1" si="4"/>
        <v>-42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74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351</v>
      </c>
      <c r="E6" s="3">
        <f>Plantilla!E7</f>
        <v>22</v>
      </c>
      <c r="F6" s="25">
        <f ca="1">Plantilla!F7</f>
        <v>93</v>
      </c>
      <c r="G6" s="104">
        <f>Plantilla!X7</f>
        <v>0</v>
      </c>
      <c r="H6" s="104">
        <f>Plantilla!Y7</f>
        <v>15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19870</v>
      </c>
      <c r="O6" s="119">
        <v>0</v>
      </c>
      <c r="P6" s="119">
        <v>95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122.5</v>
      </c>
      <c r="X6" t="s">
        <v>38</v>
      </c>
      <c r="Y6" s="17">
        <f t="shared" si="3"/>
        <v>23</v>
      </c>
      <c r="Z6" s="3">
        <f t="shared" ca="1" si="4"/>
        <v>20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102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129.5</v>
      </c>
    </row>
    <row r="7" spans="1:45" x14ac:dyDescent="0.25">
      <c r="A7" t="s">
        <v>40</v>
      </c>
      <c r="B7" s="15" t="s">
        <v>29</v>
      </c>
      <c r="C7" s="3"/>
      <c r="D7" s="3" t="s">
        <v>355</v>
      </c>
      <c r="E7" s="3">
        <f>Plantilla!E9</f>
        <v>23</v>
      </c>
      <c r="F7" s="25">
        <f ca="1">Plantilla!F9</f>
        <v>16</v>
      </c>
      <c r="G7" s="104">
        <f>Plantilla!X9</f>
        <v>0</v>
      </c>
      <c r="H7" s="104">
        <f>Plantilla!Y9</f>
        <v>11.222222222222221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48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120.5</v>
      </c>
      <c r="X7" t="s">
        <v>40</v>
      </c>
      <c r="Y7" s="17">
        <f t="shared" si="3"/>
        <v>24</v>
      </c>
      <c r="Z7" s="3">
        <f t="shared" ca="1" si="4"/>
        <v>-57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55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3">SUM(AI7:AO7)</f>
        <v>127.5</v>
      </c>
      <c r="AR7" s="105" t="s">
        <v>240</v>
      </c>
      <c r="AS7" s="105" t="s">
        <v>241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4">
        <v>0</v>
      </c>
      <c r="H8" s="72">
        <v>2</v>
      </c>
      <c r="I8" s="104">
        <v>2</v>
      </c>
      <c r="J8" s="72">
        <v>2</v>
      </c>
      <c r="K8" s="104">
        <v>2</v>
      </c>
      <c r="L8" s="72">
        <v>2</v>
      </c>
      <c r="M8" s="104">
        <v>2</v>
      </c>
      <c r="N8" s="42"/>
      <c r="O8" s="119">
        <v>0</v>
      </c>
      <c r="P8" s="119">
        <v>0</v>
      </c>
      <c r="Q8" s="119">
        <v>0</v>
      </c>
      <c r="R8" s="88">
        <v>0</v>
      </c>
      <c r="S8" s="88">
        <v>0</v>
      </c>
      <c r="T8" s="88">
        <v>0</v>
      </c>
      <c r="U8" s="88">
        <v>0</v>
      </c>
      <c r="V8" s="126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1">
        <f t="shared" si="6"/>
        <v>0</v>
      </c>
      <c r="AJ8" s="121">
        <v>0</v>
      </c>
      <c r="AK8" s="121">
        <f t="shared" si="8"/>
        <v>0</v>
      </c>
      <c r="AL8" s="121">
        <f t="shared" si="9"/>
        <v>0</v>
      </c>
      <c r="AM8" s="121">
        <f t="shared" si="10"/>
        <v>0</v>
      </c>
      <c r="AN8" s="121">
        <f t="shared" si="11"/>
        <v>0</v>
      </c>
      <c r="AO8" s="121">
        <f t="shared" si="12"/>
        <v>0</v>
      </c>
      <c r="AP8" s="126">
        <f t="shared" si="13"/>
        <v>0</v>
      </c>
      <c r="AQ8" s="105" t="s">
        <v>29</v>
      </c>
      <c r="AR8" s="60">
        <v>7</v>
      </c>
      <c r="AS8" s="124">
        <f>AR8/16</f>
        <v>0.4375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339</v>
      </c>
      <c r="E9" s="3">
        <f>Plantilla!E11</f>
        <v>22</v>
      </c>
      <c r="F9" s="3">
        <f ca="1">Plantilla!F11</f>
        <v>108</v>
      </c>
      <c r="G9" s="104">
        <f>Plantilla!X11</f>
        <v>0</v>
      </c>
      <c r="H9" s="104">
        <f>Plantilla!Y11</f>
        <v>12.5</v>
      </c>
      <c r="I9" s="104">
        <f>Plantilla!Z11</f>
        <v>4</v>
      </c>
      <c r="J9" s="104">
        <f>Plantilla!AA11</f>
        <v>12.666666666666666</v>
      </c>
      <c r="K9" s="104">
        <f>Plantilla!AB11</f>
        <v>4.5</v>
      </c>
      <c r="L9" s="104">
        <f>Plantilla!AC11</f>
        <v>7</v>
      </c>
      <c r="M9" s="104">
        <f>Plantilla!AD11</f>
        <v>3</v>
      </c>
      <c r="N9" s="42">
        <f>Plantilla!V11</f>
        <v>8650</v>
      </c>
      <c r="O9" s="119">
        <v>0</v>
      </c>
      <c r="P9" s="119">
        <v>61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130.5</v>
      </c>
      <c r="X9" t="s">
        <v>34</v>
      </c>
      <c r="Y9" s="17">
        <f t="shared" si="3"/>
        <v>23</v>
      </c>
      <c r="Z9" s="3">
        <f t="shared" ca="1" si="4"/>
        <v>35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68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3"/>
        <v>137.5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Plantilla!E13</f>
        <v>22</v>
      </c>
      <c r="F10" s="3">
        <f ca="1">Plantilla!F13</f>
        <v>108</v>
      </c>
      <c r="G10" s="104">
        <f>Plantilla!X13</f>
        <v>0</v>
      </c>
      <c r="H10" s="104">
        <f>Plantilla!Y13</f>
        <v>11.333333333333334</v>
      </c>
      <c r="I10" s="104">
        <f>Plantilla!Z13</f>
        <v>3</v>
      </c>
      <c r="J10" s="104">
        <f>Plantilla!AA13</f>
        <v>12</v>
      </c>
      <c r="K10" s="104">
        <f>Plantilla!AB13</f>
        <v>6.2000000000000011</v>
      </c>
      <c r="L10" s="104">
        <f>Plantilla!AC13</f>
        <v>7.25</v>
      </c>
      <c r="M10" s="104">
        <f>Plantilla!AD13</f>
        <v>3</v>
      </c>
      <c r="N10" s="42">
        <f>Plantilla!V13</f>
        <v>5690</v>
      </c>
      <c r="O10" s="119">
        <v>0</v>
      </c>
      <c r="P10" s="119">
        <v>49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113.5</v>
      </c>
      <c r="X10" t="s">
        <v>30</v>
      </c>
      <c r="Y10" s="17">
        <f t="shared" si="3"/>
        <v>23</v>
      </c>
      <c r="Z10" s="3">
        <f t="shared" ca="1" si="4"/>
        <v>35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56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3"/>
        <v>120.5</v>
      </c>
      <c r="AR10" s="125"/>
      <c r="AS10" s="125"/>
    </row>
    <row r="11" spans="1:45" x14ac:dyDescent="0.25">
      <c r="A11" t="s">
        <v>42</v>
      </c>
      <c r="B11" s="15" t="s">
        <v>242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3"/>
        <v>0</v>
      </c>
    </row>
    <row r="12" spans="1:45" x14ac:dyDescent="0.25">
      <c r="A12" t="s">
        <v>36</v>
      </c>
      <c r="B12" s="15" t="s">
        <v>242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Plantilla!E14</f>
        <v>22</v>
      </c>
      <c r="F13" s="3">
        <f ca="1">Plantilla!F14</f>
        <v>104</v>
      </c>
      <c r="G13" s="104">
        <f>Plantilla!X14</f>
        <v>0</v>
      </c>
      <c r="H13" s="104">
        <f>Plantilla!Y14</f>
        <v>10</v>
      </c>
      <c r="I13" s="104">
        <f>Plantilla!Z14</f>
        <v>5.7</v>
      </c>
      <c r="J13" s="104">
        <f>Plantilla!AA14</f>
        <v>14.124999999999996</v>
      </c>
      <c r="K13" s="104">
        <f>Plantilla!AB14</f>
        <v>6.2</v>
      </c>
      <c r="L13" s="104">
        <f>Plantilla!AC14</f>
        <v>7.5</v>
      </c>
      <c r="M13" s="104">
        <f>Plantilla!AD14</f>
        <v>5</v>
      </c>
      <c r="N13" s="42">
        <f>Plantilla!V14</f>
        <v>13450</v>
      </c>
      <c r="O13" s="119">
        <v>0</v>
      </c>
      <c r="P13" s="119">
        <v>37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127</v>
      </c>
      <c r="X13" t="s">
        <v>35</v>
      </c>
      <c r="Y13" s="17">
        <f t="shared" si="3"/>
        <v>23</v>
      </c>
      <c r="Z13" s="3">
        <f t="shared" ca="1" si="4"/>
        <v>31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44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3"/>
        <v>134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338</v>
      </c>
      <c r="E14" s="3">
        <f>Plantilla!E12</f>
        <v>22</v>
      </c>
      <c r="F14" s="3">
        <f ca="1">Plantilla!F12</f>
        <v>69</v>
      </c>
      <c r="G14" s="104">
        <f>Plantilla!X12</f>
        <v>0</v>
      </c>
      <c r="H14" s="104">
        <f>Plantilla!Y12</f>
        <v>11.666666666666666</v>
      </c>
      <c r="I14" s="104">
        <f>Plantilla!Z12</f>
        <v>3</v>
      </c>
      <c r="J14" s="104">
        <f>Plantilla!AA12</f>
        <v>13</v>
      </c>
      <c r="K14" s="104">
        <f>Plantilla!AB12</f>
        <v>7.25</v>
      </c>
      <c r="L14" s="104">
        <f>Plantilla!AC12</f>
        <v>7</v>
      </c>
      <c r="M14" s="104">
        <f>Plantilla!AD12</f>
        <v>3</v>
      </c>
      <c r="N14" s="42">
        <f>Plantilla!V12</f>
        <v>9290</v>
      </c>
      <c r="O14" s="119">
        <v>0</v>
      </c>
      <c r="P14" s="119">
        <v>52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126.5</v>
      </c>
      <c r="X14" t="s">
        <v>39</v>
      </c>
      <c r="Y14" s="17">
        <f>E14</f>
        <v>22</v>
      </c>
      <c r="Z14" s="3">
        <f ca="1">F14+(7*$AR$8)</f>
        <v>118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59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133.5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Plantilla!E15</f>
        <v>22</v>
      </c>
      <c r="F15" s="3">
        <f ca="1">Plantilla!F15</f>
        <v>104</v>
      </c>
      <c r="G15" s="104">
        <f>Plantilla!X15</f>
        <v>0</v>
      </c>
      <c r="H15" s="104">
        <f>Plantilla!Y15</f>
        <v>10.375</v>
      </c>
      <c r="I15" s="104">
        <f>Plantilla!Z15</f>
        <v>5</v>
      </c>
      <c r="J15" s="104">
        <f>Plantilla!AA15</f>
        <v>13.19</v>
      </c>
      <c r="K15" s="104">
        <f>Plantilla!AB15</f>
        <v>5.25</v>
      </c>
      <c r="L15" s="104">
        <f>Plantilla!AC15</f>
        <v>7.8016666666666676</v>
      </c>
      <c r="M15" s="104">
        <f>Plantilla!AD15</f>
        <v>3</v>
      </c>
      <c r="N15" s="42">
        <f>Plantilla!V15</f>
        <v>9050</v>
      </c>
      <c r="O15" s="119">
        <v>0</v>
      </c>
      <c r="P15" s="119">
        <v>40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116.88</v>
      </c>
      <c r="X15" t="s">
        <v>33</v>
      </c>
      <c r="Y15" s="17">
        <f t="shared" si="3"/>
        <v>23</v>
      </c>
      <c r="Z15" s="3">
        <f t="shared" ca="1" si="4"/>
        <v>31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47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123.88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256852.38000000009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24</v>
      </c>
      <c r="F21" s="17">
        <f t="shared" ref="F21" ca="1" si="16">Z3</f>
        <v>-70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19">
        <f>AI3</f>
        <v>51.5</v>
      </c>
      <c r="P21" s="122">
        <f t="shared" ref="P21:U21" si="24">AJ3</f>
        <v>57</v>
      </c>
      <c r="Q21" s="122">
        <f t="shared" si="24"/>
        <v>0</v>
      </c>
      <c r="R21" s="122">
        <f t="shared" si="24"/>
        <v>0</v>
      </c>
      <c r="S21" s="122">
        <f t="shared" si="24"/>
        <v>0</v>
      </c>
      <c r="T21" s="122">
        <f t="shared" si="24"/>
        <v>0</v>
      </c>
      <c r="U21" s="122">
        <f t="shared" si="24"/>
        <v>0</v>
      </c>
      <c r="V21" s="48">
        <f>SUM(O21:U21)</f>
        <v>108.5</v>
      </c>
      <c r="X21" t="s">
        <v>28</v>
      </c>
      <c r="Y21" s="17">
        <f>E21+2</f>
        <v>26</v>
      </c>
      <c r="Z21" s="17">
        <f ca="1">F21+(($AR$25+$AR$26)*7)-112-112</f>
        <v>-91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57</v>
      </c>
      <c r="AK21" s="119">
        <f t="shared" ref="AK21:AN36" si="26">Q21</f>
        <v>0</v>
      </c>
      <c r="AL21" s="119">
        <f t="shared" si="26"/>
        <v>0</v>
      </c>
      <c r="AM21" s="119">
        <f t="shared" si="26"/>
        <v>0</v>
      </c>
      <c r="AN21" s="119">
        <f t="shared" si="26"/>
        <v>0</v>
      </c>
      <c r="AO21" s="119">
        <f>U21+$AR$26</f>
        <v>15</v>
      </c>
      <c r="AP21" s="48">
        <f>SUM(AI21:AO21)</f>
        <v>123.5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24</v>
      </c>
      <c r="F22" s="17">
        <f t="shared" ca="1" si="27"/>
        <v>-73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2">
        <f t="shared" ref="O22:O33" si="36">AI4</f>
        <v>0</v>
      </c>
      <c r="P22" s="122">
        <f t="shared" ref="P22:P33" si="37">AJ4</f>
        <v>103</v>
      </c>
      <c r="Q22" s="122">
        <f t="shared" ref="Q22:Q33" si="38">AK4</f>
        <v>9</v>
      </c>
      <c r="R22" s="122">
        <f t="shared" ref="R22:R33" si="39">AL4</f>
        <v>6</v>
      </c>
      <c r="S22" s="122">
        <f t="shared" ref="S22:S33" si="40">AM4</f>
        <v>10</v>
      </c>
      <c r="T22" s="122">
        <f t="shared" ref="T22:T33" si="41">AN4</f>
        <v>0</v>
      </c>
      <c r="U22" s="122">
        <f t="shared" ref="U22:U33" si="42">AO4</f>
        <v>0</v>
      </c>
      <c r="V22" s="48">
        <f>SUM(O22:U22)</f>
        <v>128</v>
      </c>
      <c r="X22" t="s">
        <v>31</v>
      </c>
      <c r="Y22" s="17">
        <f>E22+1</f>
        <v>25</v>
      </c>
      <c r="Z22" s="17">
        <f ca="1">F22+(($AR$25+$AR$26)*7)-112</f>
        <v>18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19">
        <f t="shared" ref="AI22:AJ36" si="44">O22</f>
        <v>0</v>
      </c>
      <c r="AJ22" s="122">
        <f t="shared" ref="AJ22:AJ33" si="45">P22</f>
        <v>103</v>
      </c>
      <c r="AK22" s="119">
        <f t="shared" si="26"/>
        <v>9</v>
      </c>
      <c r="AL22" s="119">
        <f t="shared" si="26"/>
        <v>6</v>
      </c>
      <c r="AM22" s="119">
        <f>S22+$AR$25</f>
        <v>24</v>
      </c>
      <c r="AN22" s="119">
        <f t="shared" si="26"/>
        <v>0</v>
      </c>
      <c r="AO22" s="122">
        <f t="shared" ref="AO22:AO36" si="46">U22+$AR$26</f>
        <v>15</v>
      </c>
      <c r="AP22" s="48">
        <f>SUM(AI22:AO22)</f>
        <v>157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24</v>
      </c>
      <c r="F23" s="17">
        <f t="shared" ca="1" si="48"/>
        <v>-42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2">
        <f t="shared" si="36"/>
        <v>0</v>
      </c>
      <c r="P23" s="122">
        <f t="shared" si="37"/>
        <v>74</v>
      </c>
      <c r="Q23" s="122">
        <f t="shared" si="38"/>
        <v>3</v>
      </c>
      <c r="R23" s="122">
        <f t="shared" si="39"/>
        <v>11.5</v>
      </c>
      <c r="S23" s="122">
        <f t="shared" si="40"/>
        <v>30</v>
      </c>
      <c r="T23" s="122">
        <f t="shared" si="41"/>
        <v>2</v>
      </c>
      <c r="U23" s="122">
        <f t="shared" si="42"/>
        <v>0</v>
      </c>
      <c r="V23" s="48">
        <f>SUM(O23:U23)</f>
        <v>120.5</v>
      </c>
      <c r="X23" t="s">
        <v>32</v>
      </c>
      <c r="Y23" s="17">
        <f>E23+2</f>
        <v>26</v>
      </c>
      <c r="Z23" s="17">
        <f ca="1">F23+(($AR$25+$AR$26)*7)-112-112</f>
        <v>-63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19">
        <f t="shared" si="44"/>
        <v>0</v>
      </c>
      <c r="AJ23" s="122">
        <f t="shared" si="45"/>
        <v>74</v>
      </c>
      <c r="AK23" s="119">
        <f t="shared" si="26"/>
        <v>3</v>
      </c>
      <c r="AL23" s="119">
        <f t="shared" si="26"/>
        <v>11.5</v>
      </c>
      <c r="AM23" s="122">
        <f t="shared" ref="AM23:AM36" si="53">S23+$AR$25</f>
        <v>44</v>
      </c>
      <c r="AN23" s="119">
        <f t="shared" si="26"/>
        <v>2</v>
      </c>
      <c r="AO23" s="122">
        <f t="shared" si="46"/>
        <v>15</v>
      </c>
      <c r="AP23" s="48">
        <f>SUM(AI23:AO23)</f>
        <v>149.5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20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2">
        <f t="shared" si="36"/>
        <v>0</v>
      </c>
      <c r="P24" s="122">
        <f t="shared" si="37"/>
        <v>102</v>
      </c>
      <c r="Q24" s="122">
        <f t="shared" si="38"/>
        <v>9</v>
      </c>
      <c r="R24" s="122">
        <f t="shared" si="39"/>
        <v>10.5</v>
      </c>
      <c r="S24" s="122">
        <f t="shared" si="40"/>
        <v>8</v>
      </c>
      <c r="T24" s="122">
        <f t="shared" si="41"/>
        <v>0</v>
      </c>
      <c r="U24" s="122">
        <f t="shared" si="42"/>
        <v>0</v>
      </c>
      <c r="V24" s="48">
        <f>SUM(O24:U24)</f>
        <v>129.5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111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19">
        <f t="shared" si="44"/>
        <v>0</v>
      </c>
      <c r="AJ24" s="122">
        <f t="shared" si="45"/>
        <v>102</v>
      </c>
      <c r="AK24" s="119">
        <f t="shared" si="26"/>
        <v>9</v>
      </c>
      <c r="AL24" s="119">
        <f t="shared" si="26"/>
        <v>10.5</v>
      </c>
      <c r="AM24" s="122">
        <f t="shared" si="53"/>
        <v>22</v>
      </c>
      <c r="AN24" s="119">
        <f t="shared" si="26"/>
        <v>0</v>
      </c>
      <c r="AO24" s="122">
        <f t="shared" si="46"/>
        <v>15</v>
      </c>
      <c r="AP24" s="48">
        <f>SUM(AI24:AO24)</f>
        <v>158.5</v>
      </c>
      <c r="AQ24" s="105"/>
      <c r="AR24" s="105" t="s">
        <v>240</v>
      </c>
      <c r="AS24" s="105" t="s">
        <v>241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24</v>
      </c>
      <c r="F25" s="17">
        <f t="shared" ca="1" si="55"/>
        <v>-57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2">
        <f t="shared" si="36"/>
        <v>0</v>
      </c>
      <c r="P25" s="122">
        <f t="shared" si="37"/>
        <v>55</v>
      </c>
      <c r="Q25" s="122">
        <f t="shared" si="38"/>
        <v>40</v>
      </c>
      <c r="R25" s="122">
        <f t="shared" si="39"/>
        <v>3.5</v>
      </c>
      <c r="S25" s="122">
        <f t="shared" si="40"/>
        <v>24</v>
      </c>
      <c r="T25" s="122">
        <f t="shared" si="41"/>
        <v>5</v>
      </c>
      <c r="U25" s="122">
        <f t="shared" si="42"/>
        <v>0</v>
      </c>
      <c r="V25" s="48">
        <f t="shared" ref="V25:V31" si="58">SUM(O25:U25)</f>
        <v>127.5</v>
      </c>
      <c r="X25" t="s">
        <v>40</v>
      </c>
      <c r="Y25" s="17">
        <f t="shared" ref="Y25:Y34" si="59">E25+2</f>
        <v>26</v>
      </c>
      <c r="Z25" s="17">
        <f t="shared" ref="Z25:Z34" ca="1" si="60">F25+(($AR$25+$AR$26)*7)-112-112</f>
        <v>-78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19">
        <f t="shared" si="44"/>
        <v>0</v>
      </c>
      <c r="AJ25" s="122">
        <f t="shared" si="45"/>
        <v>55</v>
      </c>
      <c r="AK25" s="119">
        <f t="shared" si="26"/>
        <v>40</v>
      </c>
      <c r="AL25" s="119">
        <f t="shared" si="26"/>
        <v>3.5</v>
      </c>
      <c r="AM25" s="122">
        <f t="shared" si="53"/>
        <v>38</v>
      </c>
      <c r="AN25" s="119">
        <f t="shared" si="26"/>
        <v>5</v>
      </c>
      <c r="AO25" s="122">
        <f t="shared" si="46"/>
        <v>15</v>
      </c>
      <c r="AP25" s="48">
        <f t="shared" ref="AP25:AP31" si="61">SUM(AI25:AO25)</f>
        <v>156.5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 t="s">
        <v>190</v>
      </c>
      <c r="D26" s="3" t="s">
        <v>209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2">
        <f t="shared" si="36"/>
        <v>0</v>
      </c>
      <c r="P26" s="122">
        <v>79</v>
      </c>
      <c r="Q26" s="122">
        <v>21</v>
      </c>
      <c r="R26" s="122">
        <f t="shared" si="39"/>
        <v>0</v>
      </c>
      <c r="S26" s="122">
        <v>18</v>
      </c>
      <c r="T26" s="122">
        <f t="shared" si="41"/>
        <v>0</v>
      </c>
      <c r="U26" s="122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19">
        <f t="shared" si="44"/>
        <v>0</v>
      </c>
      <c r="AJ26" s="122">
        <f t="shared" si="45"/>
        <v>79</v>
      </c>
      <c r="AK26" s="119">
        <f t="shared" si="26"/>
        <v>21</v>
      </c>
      <c r="AL26" s="119">
        <f t="shared" si="26"/>
        <v>0</v>
      </c>
      <c r="AM26" s="122">
        <f t="shared" si="53"/>
        <v>32</v>
      </c>
      <c r="AN26" s="119">
        <f t="shared" si="26"/>
        <v>0</v>
      </c>
      <c r="AO26" s="122">
        <f t="shared" si="46"/>
        <v>15</v>
      </c>
      <c r="AP26" s="48">
        <f t="shared" si="61"/>
        <v>147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339</v>
      </c>
      <c r="E27" s="17">
        <f t="shared" ref="E27:F28" si="62">Y9</f>
        <v>23</v>
      </c>
      <c r="F27" s="17">
        <f t="shared" ca="1" si="62"/>
        <v>35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2">
        <f t="shared" si="36"/>
        <v>0</v>
      </c>
      <c r="P27" s="122">
        <f t="shared" si="37"/>
        <v>68</v>
      </c>
      <c r="Q27" s="122">
        <f t="shared" si="38"/>
        <v>6</v>
      </c>
      <c r="R27" s="122">
        <f t="shared" si="39"/>
        <v>40.5</v>
      </c>
      <c r="S27" s="122">
        <f t="shared" si="40"/>
        <v>6</v>
      </c>
      <c r="T27" s="122">
        <f t="shared" si="41"/>
        <v>16</v>
      </c>
      <c r="U27" s="122">
        <f t="shared" si="42"/>
        <v>1</v>
      </c>
      <c r="V27" s="48">
        <f t="shared" si="58"/>
        <v>137.5</v>
      </c>
      <c r="X27" t="s">
        <v>34</v>
      </c>
      <c r="Y27" s="17">
        <f>E27+1</f>
        <v>24</v>
      </c>
      <c r="Z27" s="17">
        <f ca="1">F27+(($AR$25+$AR$26)*7)-112</f>
        <v>126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19">
        <f t="shared" si="44"/>
        <v>0</v>
      </c>
      <c r="AJ27" s="122">
        <f t="shared" si="45"/>
        <v>68</v>
      </c>
      <c r="AK27" s="119">
        <f t="shared" si="26"/>
        <v>6</v>
      </c>
      <c r="AL27" s="119">
        <f t="shared" si="26"/>
        <v>40.5</v>
      </c>
      <c r="AM27" s="122">
        <f t="shared" si="53"/>
        <v>20</v>
      </c>
      <c r="AN27" s="119">
        <f t="shared" si="26"/>
        <v>16</v>
      </c>
      <c r="AO27" s="122">
        <f t="shared" si="46"/>
        <v>16</v>
      </c>
      <c r="AP27" s="48">
        <f t="shared" si="61"/>
        <v>166.5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62"/>
        <v>23</v>
      </c>
      <c r="F28" s="17">
        <f t="shared" ca="1" si="62"/>
        <v>35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2">
        <f t="shared" si="36"/>
        <v>0</v>
      </c>
      <c r="P28" s="122">
        <f t="shared" si="37"/>
        <v>56</v>
      </c>
      <c r="Q28" s="122">
        <f t="shared" si="38"/>
        <v>3</v>
      </c>
      <c r="R28" s="122">
        <f t="shared" si="39"/>
        <v>32.5</v>
      </c>
      <c r="S28" s="122">
        <f t="shared" si="40"/>
        <v>11</v>
      </c>
      <c r="T28" s="122">
        <f t="shared" si="41"/>
        <v>17</v>
      </c>
      <c r="U28" s="122">
        <f t="shared" si="42"/>
        <v>1</v>
      </c>
      <c r="V28" s="48">
        <f t="shared" si="58"/>
        <v>120.5</v>
      </c>
      <c r="X28" t="s">
        <v>30</v>
      </c>
      <c r="Y28" s="17">
        <f>E28+1</f>
        <v>24</v>
      </c>
      <c r="Z28" s="17">
        <f ca="1">F28+(($AR$25+$AR$26)*7)-112</f>
        <v>126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19">
        <f t="shared" si="44"/>
        <v>0</v>
      </c>
      <c r="AJ28" s="122">
        <f t="shared" si="45"/>
        <v>56</v>
      </c>
      <c r="AK28" s="119">
        <f t="shared" si="26"/>
        <v>3</v>
      </c>
      <c r="AL28" s="119">
        <f t="shared" si="26"/>
        <v>32.5</v>
      </c>
      <c r="AM28" s="122">
        <f t="shared" si="53"/>
        <v>25</v>
      </c>
      <c r="AN28" s="119">
        <f t="shared" si="26"/>
        <v>17</v>
      </c>
      <c r="AO28" s="122">
        <f t="shared" si="46"/>
        <v>16</v>
      </c>
      <c r="AP28" s="48">
        <f t="shared" si="61"/>
        <v>149.5</v>
      </c>
      <c r="AQ28" s="105"/>
    </row>
    <row r="29" spans="1:45" x14ac:dyDescent="0.25">
      <c r="A29" t="s">
        <v>42</v>
      </c>
      <c r="B29" s="15" t="s">
        <v>242</v>
      </c>
      <c r="C29" s="3" t="s">
        <v>340</v>
      </c>
      <c r="D29" s="3" t="s">
        <v>359</v>
      </c>
      <c r="E29" s="17">
        <v>23</v>
      </c>
      <c r="F29" s="17">
        <v>50</v>
      </c>
      <c r="G29" s="61">
        <f t="shared" si="2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3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58"/>
        <v>126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13</v>
      </c>
      <c r="AC29" s="61">
        <f t="shared" si="50"/>
        <v>9</v>
      </c>
      <c r="AD29" s="61">
        <f t="shared" si="51"/>
        <v>3</v>
      </c>
      <c r="AE29" s="61">
        <f>9+5/6</f>
        <v>9.8333333333333339</v>
      </c>
      <c r="AF29" s="61">
        <f t="shared" si="52"/>
        <v>5</v>
      </c>
      <c r="AG29" s="61">
        <v>19</v>
      </c>
      <c r="AH29" s="42">
        <f>(14490+225+200+125+165)*1.049</f>
        <v>15950.044999999998</v>
      </c>
      <c r="AI29" s="119">
        <f t="shared" si="44"/>
        <v>0</v>
      </c>
      <c r="AJ29" s="122">
        <f t="shared" si="45"/>
        <v>67</v>
      </c>
      <c r="AK29" s="119">
        <f t="shared" si="26"/>
        <v>26</v>
      </c>
      <c r="AL29" s="119">
        <f t="shared" si="26"/>
        <v>1.5</v>
      </c>
      <c r="AM29" s="122">
        <f t="shared" si="53"/>
        <v>24</v>
      </c>
      <c r="AN29" s="119">
        <f t="shared" si="26"/>
        <v>5.5</v>
      </c>
      <c r="AO29" s="122">
        <v>31</v>
      </c>
      <c r="AP29" s="48">
        <f t="shared" si="61"/>
        <v>155</v>
      </c>
    </row>
    <row r="30" spans="1:45" x14ac:dyDescent="0.25">
      <c r="A30" t="s">
        <v>36</v>
      </c>
      <c r="B30" s="15" t="s">
        <v>242</v>
      </c>
      <c r="C30" s="3" t="s">
        <v>340</v>
      </c>
      <c r="D30" s="3" t="s">
        <v>359</v>
      </c>
      <c r="E30" s="17">
        <v>23</v>
      </c>
      <c r="F30" s="17">
        <v>50</v>
      </c>
      <c r="G30" s="61">
        <f t="shared" ref="G30" si="63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3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58"/>
        <v>126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13</v>
      </c>
      <c r="AC30" s="61">
        <f t="shared" si="50"/>
        <v>9</v>
      </c>
      <c r="AD30" s="61">
        <f t="shared" si="51"/>
        <v>3</v>
      </c>
      <c r="AE30" s="61">
        <f>9+5/6</f>
        <v>9.8333333333333339</v>
      </c>
      <c r="AF30" s="61">
        <f t="shared" si="52"/>
        <v>5</v>
      </c>
      <c r="AG30" s="61">
        <v>19</v>
      </c>
      <c r="AH30" s="42">
        <f>(14490+225+200+125+165)*1.049</f>
        <v>15950.044999999998</v>
      </c>
      <c r="AI30" s="119">
        <f t="shared" si="44"/>
        <v>0</v>
      </c>
      <c r="AJ30" s="122">
        <f t="shared" si="45"/>
        <v>67</v>
      </c>
      <c r="AK30" s="119">
        <f t="shared" si="26"/>
        <v>26</v>
      </c>
      <c r="AL30" s="119">
        <f t="shared" si="26"/>
        <v>1.5</v>
      </c>
      <c r="AM30" s="122">
        <f t="shared" si="53"/>
        <v>24</v>
      </c>
      <c r="AN30" s="119">
        <f t="shared" si="26"/>
        <v>5.5</v>
      </c>
      <c r="AO30" s="122">
        <v>31</v>
      </c>
      <c r="AP30" s="48">
        <f t="shared" si="6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64">Y13</f>
        <v>23</v>
      </c>
      <c r="F31" s="17">
        <f t="shared" ca="1" si="64"/>
        <v>31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2">
        <f t="shared" si="36"/>
        <v>0</v>
      </c>
      <c r="P31" s="122">
        <f t="shared" si="37"/>
        <v>44</v>
      </c>
      <c r="Q31" s="122">
        <f t="shared" si="38"/>
        <v>10.5</v>
      </c>
      <c r="R31" s="122">
        <f t="shared" si="39"/>
        <v>47.5</v>
      </c>
      <c r="S31" s="122">
        <f t="shared" si="40"/>
        <v>11</v>
      </c>
      <c r="T31" s="122">
        <f t="shared" si="41"/>
        <v>18</v>
      </c>
      <c r="U31" s="122">
        <f t="shared" si="42"/>
        <v>3</v>
      </c>
      <c r="V31" s="48">
        <f t="shared" si="58"/>
        <v>134</v>
      </c>
      <c r="X31" t="s">
        <v>35</v>
      </c>
      <c r="Y31" s="17">
        <f>E31+1</f>
        <v>24</v>
      </c>
      <c r="Z31" s="17">
        <f ca="1">F31+(($AR$25+$AR$26)*7)-112</f>
        <v>122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19">
        <f t="shared" si="44"/>
        <v>0</v>
      </c>
      <c r="AJ31" s="122">
        <f t="shared" si="45"/>
        <v>44</v>
      </c>
      <c r="AK31" s="119">
        <f t="shared" si="26"/>
        <v>10.5</v>
      </c>
      <c r="AL31" s="119">
        <f t="shared" si="26"/>
        <v>47.5</v>
      </c>
      <c r="AM31" s="122">
        <f t="shared" si="53"/>
        <v>25</v>
      </c>
      <c r="AN31" s="119">
        <f t="shared" si="26"/>
        <v>18</v>
      </c>
      <c r="AO31" s="122">
        <f t="shared" si="46"/>
        <v>18</v>
      </c>
      <c r="AP31" s="48">
        <f t="shared" si="61"/>
        <v>163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338</v>
      </c>
      <c r="E32" s="17">
        <f t="shared" si="64"/>
        <v>22</v>
      </c>
      <c r="F32" s="17">
        <f t="shared" ca="1" si="64"/>
        <v>118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2">
        <f t="shared" si="36"/>
        <v>0</v>
      </c>
      <c r="P32" s="122">
        <f t="shared" si="37"/>
        <v>59</v>
      </c>
      <c r="Q32" s="122">
        <f t="shared" si="38"/>
        <v>3</v>
      </c>
      <c r="R32" s="122">
        <f t="shared" si="39"/>
        <v>39.5</v>
      </c>
      <c r="S32" s="122">
        <f t="shared" si="40"/>
        <v>15</v>
      </c>
      <c r="T32" s="122">
        <f t="shared" si="41"/>
        <v>16</v>
      </c>
      <c r="U32" s="122">
        <f t="shared" si="42"/>
        <v>1</v>
      </c>
      <c r="V32" s="48">
        <f>SUM(O32:U32)</f>
        <v>133.5</v>
      </c>
      <c r="X32" t="s">
        <v>39</v>
      </c>
      <c r="Y32" s="17">
        <f t="shared" si="59"/>
        <v>24</v>
      </c>
      <c r="Z32" s="17">
        <f t="shared" ca="1" si="60"/>
        <v>97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19">
        <f t="shared" si="44"/>
        <v>0</v>
      </c>
      <c r="AJ32" s="122">
        <f t="shared" si="45"/>
        <v>59</v>
      </c>
      <c r="AK32" s="119">
        <f t="shared" si="26"/>
        <v>3</v>
      </c>
      <c r="AL32" s="119">
        <f t="shared" si="26"/>
        <v>39.5</v>
      </c>
      <c r="AM32" s="122">
        <f t="shared" si="53"/>
        <v>29</v>
      </c>
      <c r="AN32" s="119">
        <f t="shared" si="26"/>
        <v>16</v>
      </c>
      <c r="AO32" s="122">
        <f t="shared" si="46"/>
        <v>16</v>
      </c>
      <c r="AP32" s="48">
        <f>SUM(AI32:AO32)</f>
        <v>162.5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65">Y15</f>
        <v>23</v>
      </c>
      <c r="F33" s="17">
        <f t="shared" ca="1" si="65"/>
        <v>31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2">
        <f t="shared" si="36"/>
        <v>0</v>
      </c>
      <c r="P33" s="122">
        <f t="shared" si="37"/>
        <v>47</v>
      </c>
      <c r="Q33" s="122">
        <f t="shared" si="38"/>
        <v>9</v>
      </c>
      <c r="R33" s="122">
        <f t="shared" si="39"/>
        <v>39.880000000000003</v>
      </c>
      <c r="S33" s="122">
        <f t="shared" si="40"/>
        <v>8</v>
      </c>
      <c r="T33" s="122">
        <f t="shared" si="41"/>
        <v>19</v>
      </c>
      <c r="U33" s="122">
        <f t="shared" si="42"/>
        <v>1</v>
      </c>
      <c r="V33" s="48">
        <f>SUM(O33:U33)</f>
        <v>123.88</v>
      </c>
      <c r="X33" t="s">
        <v>33</v>
      </c>
      <c r="Y33" s="17">
        <f>E33+1</f>
        <v>24</v>
      </c>
      <c r="Z33" s="17">
        <f ca="1">F33+(($AR$25+$AR$26)*7)-112</f>
        <v>122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19">
        <f t="shared" si="44"/>
        <v>0</v>
      </c>
      <c r="AJ33" s="122">
        <f t="shared" si="45"/>
        <v>47</v>
      </c>
      <c r="AK33" s="119">
        <f t="shared" si="26"/>
        <v>9</v>
      </c>
      <c r="AL33" s="119">
        <f t="shared" si="26"/>
        <v>39.880000000000003</v>
      </c>
      <c r="AM33" s="122">
        <f t="shared" si="53"/>
        <v>22</v>
      </c>
      <c r="AN33" s="119">
        <f t="shared" si="26"/>
        <v>19</v>
      </c>
      <c r="AO33" s="122">
        <f t="shared" si="46"/>
        <v>16</v>
      </c>
      <c r="AP33" s="48">
        <f>SUM(AI33:AO33)</f>
        <v>152.88</v>
      </c>
    </row>
    <row r="34" spans="1:42" x14ac:dyDescent="0.25">
      <c r="A34" t="s">
        <v>41</v>
      </c>
      <c r="B34" s="15" t="s">
        <v>43</v>
      </c>
      <c r="C34" s="3" t="s">
        <v>340</v>
      </c>
      <c r="D34" s="3" t="s">
        <v>210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66">AI16</f>
        <v>0</v>
      </c>
      <c r="P34" s="119">
        <f t="shared" si="66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19">
        <f t="shared" si="44"/>
        <v>0</v>
      </c>
      <c r="AJ34" s="119">
        <f t="shared" si="44"/>
        <v>0</v>
      </c>
      <c r="AK34" s="119">
        <f t="shared" si="26"/>
        <v>16</v>
      </c>
      <c r="AL34" s="119">
        <f t="shared" si="26"/>
        <v>10.5</v>
      </c>
      <c r="AM34" s="122">
        <f t="shared" si="53"/>
        <v>43</v>
      </c>
      <c r="AN34" s="119">
        <f t="shared" si="26"/>
        <v>59</v>
      </c>
      <c r="AO34" s="122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340</v>
      </c>
      <c r="D35" s="3" t="s">
        <v>210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2">
        <f t="shared" ref="O35:O36" si="71">AI17</f>
        <v>0</v>
      </c>
      <c r="P35" s="122">
        <f t="shared" ref="P35:P36" si="72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19">
        <f t="shared" si="44"/>
        <v>0</v>
      </c>
      <c r="AJ35" s="119">
        <f t="shared" si="44"/>
        <v>0</v>
      </c>
      <c r="AK35" s="119">
        <f t="shared" si="26"/>
        <v>16</v>
      </c>
      <c r="AL35" s="119">
        <f t="shared" si="26"/>
        <v>10.5</v>
      </c>
      <c r="AM35" s="122">
        <f t="shared" si="53"/>
        <v>43</v>
      </c>
      <c r="AN35" s="119">
        <f t="shared" si="26"/>
        <v>59</v>
      </c>
      <c r="AO35" s="122">
        <f t="shared" si="4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340</v>
      </c>
      <c r="D36" s="3" t="s">
        <v>210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2">
        <f t="shared" si="71"/>
        <v>0</v>
      </c>
      <c r="P36" s="122">
        <f t="shared" si="72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19">
        <f t="shared" si="44"/>
        <v>0</v>
      </c>
      <c r="AJ36" s="119">
        <f t="shared" si="44"/>
        <v>0</v>
      </c>
      <c r="AK36" s="119">
        <f t="shared" si="26"/>
        <v>16</v>
      </c>
      <c r="AL36" s="119">
        <f t="shared" si="26"/>
        <v>10.5</v>
      </c>
      <c r="AM36" s="122">
        <f t="shared" si="53"/>
        <v>43</v>
      </c>
      <c r="AN36" s="119">
        <f t="shared" si="26"/>
        <v>59</v>
      </c>
      <c r="AO36" s="122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R4" activePane="bottomRight" state="frozen"/>
      <selection pane="topRight" activeCell="N1" sqref="N1"/>
      <selection pane="bottomLeft" activeCell="A4" sqref="A4"/>
      <selection pane="bottomRight" activeCell="B3" sqref="B3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59" t="s">
        <v>585</v>
      </c>
      <c r="E1" s="460"/>
      <c r="F1" s="460"/>
      <c r="G1" s="460"/>
      <c r="H1" s="460"/>
      <c r="I1" s="461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6">
        <f t="shared" si="0"/>
        <v>43700</v>
      </c>
      <c r="X1" s="307">
        <f t="shared" si="0"/>
        <v>43707</v>
      </c>
      <c r="Y1" s="307">
        <f t="shared" si="0"/>
        <v>43714</v>
      </c>
      <c r="Z1" s="307">
        <f t="shared" si="0"/>
        <v>43721</v>
      </c>
      <c r="AA1" s="307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62" t="s">
        <v>586</v>
      </c>
      <c r="E2" s="463"/>
      <c r="F2" s="464"/>
      <c r="G2" s="464"/>
      <c r="H2" s="464"/>
      <c r="I2" s="465"/>
      <c r="K2" s="309"/>
      <c r="L2" s="309"/>
      <c r="M2" s="309" t="s">
        <v>587</v>
      </c>
      <c r="N2" s="311" t="s">
        <v>588</v>
      </c>
      <c r="O2" s="311" t="s">
        <v>589</v>
      </c>
      <c r="P2" s="311" t="s">
        <v>590</v>
      </c>
      <c r="Q2" s="311" t="s">
        <v>591</v>
      </c>
      <c r="R2" s="311" t="s">
        <v>592</v>
      </c>
      <c r="S2" s="311" t="s">
        <v>593</v>
      </c>
      <c r="T2" s="311" t="s">
        <v>594</v>
      </c>
      <c r="U2" s="311" t="s">
        <v>595</v>
      </c>
      <c r="V2" s="311" t="s">
        <v>596</v>
      </c>
      <c r="W2" s="310" t="s">
        <v>597</v>
      </c>
      <c r="X2" s="311" t="s">
        <v>598</v>
      </c>
      <c r="Y2" s="311" t="s">
        <v>599</v>
      </c>
      <c r="Z2" s="311" t="s">
        <v>600</v>
      </c>
      <c r="AA2" s="311" t="s">
        <v>601</v>
      </c>
      <c r="AB2" s="311" t="s">
        <v>602</v>
      </c>
      <c r="AC2" s="311" t="s">
        <v>603</v>
      </c>
      <c r="AD2" s="311" t="s">
        <v>588</v>
      </c>
    </row>
    <row r="3" spans="1:38" ht="18.75" x14ac:dyDescent="0.3">
      <c r="A3" s="312"/>
      <c r="B3" s="312"/>
      <c r="C3" s="312"/>
      <c r="D3" s="466" t="s">
        <v>604</v>
      </c>
      <c r="E3" s="467"/>
      <c r="F3" s="313"/>
      <c r="G3" s="468" t="s">
        <v>605</v>
      </c>
      <c r="H3" s="469"/>
      <c r="I3" s="314"/>
      <c r="K3" s="315"/>
      <c r="L3" s="316"/>
      <c r="M3" s="316" t="s">
        <v>606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7">
        <f t="shared" si="1"/>
        <v>1847</v>
      </c>
      <c r="X3" s="318">
        <f t="shared" si="1"/>
        <v>1855</v>
      </c>
      <c r="Y3" s="318">
        <f t="shared" si="1"/>
        <v>1863</v>
      </c>
      <c r="Z3" s="318">
        <f t="shared" si="1"/>
        <v>1871</v>
      </c>
      <c r="AA3" s="318">
        <f t="shared" si="1"/>
        <v>1879</v>
      </c>
      <c r="AB3" s="318">
        <f t="shared" si="1"/>
        <v>1887</v>
      </c>
      <c r="AC3" s="318">
        <f t="shared" si="1"/>
        <v>1895</v>
      </c>
      <c r="AD3" s="318">
        <f t="shared" si="1"/>
        <v>1903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607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608</v>
      </c>
      <c r="E5" s="328">
        <f>SUM(E6:E8)</f>
        <v>5914370</v>
      </c>
      <c r="F5" s="329">
        <f>E5/E35</f>
        <v>8.2659889781036833E-2</v>
      </c>
      <c r="G5" s="319" t="s">
        <v>609</v>
      </c>
      <c r="H5" s="330">
        <f>H6+H7</f>
        <v>64054290</v>
      </c>
      <c r="I5" s="331">
        <f>H5/$H$35</f>
        <v>0.89522984720309517</v>
      </c>
      <c r="K5" s="332" t="s">
        <v>610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14136051</v>
      </c>
      <c r="Y5" s="334">
        <f t="shared" si="3"/>
        <v>14469921</v>
      </c>
      <c r="Z5" s="334">
        <f t="shared" si="3"/>
        <v>15103791</v>
      </c>
      <c r="AA5" s="334">
        <f t="shared" si="3"/>
        <v>15437661</v>
      </c>
      <c r="AB5" s="334">
        <f t="shared" si="3"/>
        <v>16071531</v>
      </c>
      <c r="AC5" s="334">
        <f t="shared" si="3"/>
        <v>16705401</v>
      </c>
      <c r="AD5" s="334">
        <f t="shared" si="3"/>
        <v>17039271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0.21251239234183567</v>
      </c>
      <c r="D6" s="337" t="s">
        <v>611</v>
      </c>
      <c r="E6" s="338">
        <v>2231620</v>
      </c>
      <c r="F6" s="339">
        <f>E6/E35</f>
        <v>3.1189368137799531E-2</v>
      </c>
      <c r="G6" s="340" t="s">
        <v>612</v>
      </c>
      <c r="H6" s="341">
        <v>300000</v>
      </c>
      <c r="I6" s="342">
        <f>H6/$H$35</f>
        <v>4.1928332069706576E-3</v>
      </c>
      <c r="K6" s="343" t="s">
        <v>613</v>
      </c>
      <c r="L6" s="343" t="s">
        <v>613</v>
      </c>
      <c r="M6" s="344">
        <f t="shared" ref="M6:M25" si="6">SUM(N6:AD6)</f>
        <v>3262109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0</v>
      </c>
      <c r="X6" s="345">
        <v>30000</v>
      </c>
      <c r="Y6" s="345">
        <v>330000</v>
      </c>
      <c r="Z6" s="345">
        <v>30000</v>
      </c>
      <c r="AA6" s="345">
        <v>330000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0.11398250942039474</v>
      </c>
      <c r="D7" s="337" t="s">
        <v>614</v>
      </c>
      <c r="E7" s="338">
        <f>102000+300+2105000+1475000+450</f>
        <v>3682750</v>
      </c>
      <c r="F7" s="339">
        <f>E7/E35</f>
        <v>5.1470521643237302E-2</v>
      </c>
      <c r="G7" s="340" t="s">
        <v>615</v>
      </c>
      <c r="H7" s="341">
        <f>63754290</f>
        <v>63754290</v>
      </c>
      <c r="I7" s="342">
        <f>H7/$H$35</f>
        <v>0.89103701399612445</v>
      </c>
      <c r="K7" s="343" t="s">
        <v>616</v>
      </c>
      <c r="L7" s="343" t="s">
        <v>616</v>
      </c>
      <c r="M7" s="344">
        <f t="shared" si="6"/>
        <v>1749655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:AD7" si="7">S7+1500</f>
        <v>102885</v>
      </c>
      <c r="U7" s="346">
        <v>103605</v>
      </c>
      <c r="V7" s="346">
        <v>104160</v>
      </c>
      <c r="W7" s="346">
        <v>104530</v>
      </c>
      <c r="X7" s="346">
        <f t="shared" si="7"/>
        <v>106030</v>
      </c>
      <c r="Y7" s="346">
        <f t="shared" si="7"/>
        <v>107530</v>
      </c>
      <c r="Z7" s="346">
        <f t="shared" si="7"/>
        <v>109030</v>
      </c>
      <c r="AA7" s="346">
        <f t="shared" si="7"/>
        <v>110530</v>
      </c>
      <c r="AB7" s="346">
        <f t="shared" si="7"/>
        <v>112030</v>
      </c>
      <c r="AC7" s="346">
        <f t="shared" si="7"/>
        <v>113530</v>
      </c>
      <c r="AD7" s="346">
        <f t="shared" si="7"/>
        <v>115030</v>
      </c>
    </row>
    <row r="8" spans="1:38" x14ac:dyDescent="0.25">
      <c r="A8" s="335" t="str">
        <f t="shared" si="4"/>
        <v>Ventas</v>
      </c>
      <c r="B8" s="336">
        <f t="shared" si="5"/>
        <v>7.0097430614286221E-2</v>
      </c>
      <c r="D8" s="347" t="s">
        <v>617</v>
      </c>
      <c r="E8" s="348">
        <v>0</v>
      </c>
      <c r="F8" s="339">
        <f>E8/E35</f>
        <v>0</v>
      </c>
      <c r="G8" s="349"/>
      <c r="H8" s="350"/>
      <c r="I8" s="331"/>
      <c r="K8" s="343" t="s">
        <v>618</v>
      </c>
      <c r="L8" s="343" t="s">
        <v>619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1.3244121935562299E-2</v>
      </c>
      <c r="D9" s="352"/>
      <c r="E9" s="320"/>
      <c r="F9" s="329"/>
      <c r="G9" s="349"/>
      <c r="H9" s="350"/>
      <c r="I9" s="331"/>
      <c r="K9" s="343"/>
      <c r="L9" s="343" t="s">
        <v>620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6.631832823611618E-3</v>
      </c>
      <c r="D10" s="319" t="s">
        <v>667</v>
      </c>
      <c r="E10" s="328">
        <f>E11+E12+E13</f>
        <v>11299694</v>
      </c>
      <c r="F10" s="329">
        <f>E10/E35</f>
        <v>0.15792577410602368</v>
      </c>
      <c r="G10" s="319" t="s">
        <v>621</v>
      </c>
      <c r="H10" s="330">
        <f>SUM(H11:H16)</f>
        <v>835850</v>
      </c>
      <c r="I10" s="331">
        <f t="shared" ref="I10:I16" si="8">H10/$H$35</f>
        <v>1.1681932120154748E-2</v>
      </c>
      <c r="K10" s="343" t="s">
        <v>622</v>
      </c>
      <c r="L10" s="343" t="s">
        <v>622</v>
      </c>
      <c r="M10" s="344">
        <f t="shared" si="6"/>
        <v>101800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f t="shared" ref="X10:AD11" si="9">W10</f>
        <v>0</v>
      </c>
      <c r="Y10" s="346">
        <f t="shared" si="9"/>
        <v>0</v>
      </c>
      <c r="Z10" s="346">
        <f t="shared" si="9"/>
        <v>0</v>
      </c>
      <c r="AA10" s="346">
        <f t="shared" si="9"/>
        <v>0</v>
      </c>
      <c r="AB10" s="346">
        <f t="shared" si="9"/>
        <v>0</v>
      </c>
      <c r="AC10" s="346">
        <f t="shared" si="9"/>
        <v>0</v>
      </c>
      <c r="AD10" s="346">
        <f t="shared" si="9"/>
        <v>0</v>
      </c>
    </row>
    <row r="11" spans="1:38" x14ac:dyDescent="0.25">
      <c r="A11" s="335" t="str">
        <f t="shared" si="4"/>
        <v>Nuevos Socios</v>
      </c>
      <c r="B11" s="336">
        <f t="shared" si="5"/>
        <v>3.7349335898163192E-3</v>
      </c>
      <c r="D11" s="353" t="s">
        <v>623</v>
      </c>
      <c r="E11" s="354">
        <f>N4</f>
        <v>19799694</v>
      </c>
      <c r="F11" s="339">
        <f>E11/E35</f>
        <v>0.2767227149701923</v>
      </c>
      <c r="G11" s="355" t="s">
        <v>624</v>
      </c>
      <c r="H11" s="356">
        <f>37680+114250</f>
        <v>151930</v>
      </c>
      <c r="I11" s="342">
        <f t="shared" si="8"/>
        <v>2.1233904971168401E-3</v>
      </c>
      <c r="K11" s="470" t="s">
        <v>625</v>
      </c>
      <c r="L11" s="343" t="s">
        <v>626</v>
      </c>
      <c r="M11" s="344">
        <f t="shared" si="6"/>
        <v>57332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9"/>
        <v>240</v>
      </c>
      <c r="Y11" s="346">
        <f t="shared" si="9"/>
        <v>240</v>
      </c>
      <c r="Z11" s="346">
        <f t="shared" si="9"/>
        <v>240</v>
      </c>
      <c r="AA11" s="346">
        <f t="shared" si="9"/>
        <v>240</v>
      </c>
      <c r="AB11" s="346">
        <f t="shared" si="9"/>
        <v>240</v>
      </c>
      <c r="AC11" s="346">
        <f t="shared" si="9"/>
        <v>240</v>
      </c>
      <c r="AD11" s="346">
        <f t="shared" si="9"/>
        <v>240</v>
      </c>
    </row>
    <row r="12" spans="1:38" x14ac:dyDescent="0.25">
      <c r="A12" s="335" t="str">
        <f t="shared" si="4"/>
        <v>Premios</v>
      </c>
      <c r="B12" s="336">
        <f t="shared" si="5"/>
        <v>2.605828221458396E-2</v>
      </c>
      <c r="D12" s="353" t="str">
        <f>L13</f>
        <v>Ing Reservas</v>
      </c>
      <c r="E12" s="443">
        <f>M13*-1</f>
        <v>-8500000</v>
      </c>
      <c r="F12" s="339">
        <f>E12/E35</f>
        <v>-0.11879694086416864</v>
      </c>
      <c r="G12" s="357" t="s">
        <v>627</v>
      </c>
      <c r="H12" s="358">
        <v>0</v>
      </c>
      <c r="I12" s="359">
        <f t="shared" si="8"/>
        <v>0</v>
      </c>
      <c r="K12" s="471"/>
      <c r="L12" s="343" t="s">
        <v>628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0.55373849705990918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629</v>
      </c>
      <c r="H13" s="356">
        <f>133000+44650+25650</f>
        <v>203300</v>
      </c>
      <c r="I13" s="342">
        <f t="shared" si="8"/>
        <v>2.8413433032571157E-3</v>
      </c>
      <c r="J13" s="361"/>
      <c r="K13" s="472"/>
      <c r="L13" s="343" t="s">
        <v>630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0">O13</f>
        <v>500000</v>
      </c>
      <c r="Q13" s="346">
        <f t="shared" si="10"/>
        <v>500000</v>
      </c>
      <c r="R13" s="346">
        <f t="shared" si="10"/>
        <v>500000</v>
      </c>
      <c r="S13" s="346">
        <f t="shared" si="10"/>
        <v>500000</v>
      </c>
      <c r="T13" s="346">
        <f t="shared" si="10"/>
        <v>500000</v>
      </c>
      <c r="U13" s="346">
        <f t="shared" si="10"/>
        <v>500000</v>
      </c>
      <c r="V13" s="346">
        <f t="shared" si="10"/>
        <v>500000</v>
      </c>
      <c r="W13" s="346">
        <f t="shared" si="10"/>
        <v>500000</v>
      </c>
      <c r="X13" s="346">
        <f t="shared" si="10"/>
        <v>500000</v>
      </c>
      <c r="Y13" s="346">
        <f t="shared" si="10"/>
        <v>500000</v>
      </c>
      <c r="Z13" s="346">
        <f t="shared" si="10"/>
        <v>500000</v>
      </c>
      <c r="AA13" s="346">
        <f t="shared" si="10"/>
        <v>500000</v>
      </c>
      <c r="AB13" s="346">
        <f t="shared" si="10"/>
        <v>500000</v>
      </c>
      <c r="AC13" s="346">
        <f t="shared" si="10"/>
        <v>500000</v>
      </c>
      <c r="AD13" s="346">
        <f t="shared" si="10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631</v>
      </c>
      <c r="H14" s="356">
        <v>0</v>
      </c>
      <c r="I14" s="342">
        <f t="shared" si="8"/>
        <v>0</v>
      </c>
      <c r="K14" s="364" t="s">
        <v>632</v>
      </c>
      <c r="L14" s="365"/>
      <c r="M14" s="366">
        <f t="shared" si="6"/>
        <v>15350206</v>
      </c>
      <c r="N14" s="367">
        <f>SUM(N6:N13)</f>
        <v>1235160</v>
      </c>
      <c r="O14" s="367">
        <f t="shared" ref="O14:AD14" si="11">SUM(O6:O13)</f>
        <v>651521</v>
      </c>
      <c r="P14" s="367">
        <f t="shared" si="11"/>
        <v>662423</v>
      </c>
      <c r="Q14" s="367">
        <f t="shared" si="11"/>
        <v>1143436</v>
      </c>
      <c r="R14" s="367">
        <f t="shared" si="11"/>
        <v>866803</v>
      </c>
      <c r="S14" s="367">
        <f t="shared" si="11"/>
        <v>967612</v>
      </c>
      <c r="T14" s="367">
        <f t="shared" si="11"/>
        <v>2088622</v>
      </c>
      <c r="U14" s="367">
        <f t="shared" si="11"/>
        <v>641149</v>
      </c>
      <c r="V14" s="367">
        <f t="shared" si="11"/>
        <v>1077670</v>
      </c>
      <c r="W14" s="367">
        <f t="shared" si="11"/>
        <v>630420</v>
      </c>
      <c r="X14" s="367">
        <f t="shared" si="11"/>
        <v>636270</v>
      </c>
      <c r="Y14" s="367">
        <f t="shared" si="11"/>
        <v>937770</v>
      </c>
      <c r="Z14" s="367">
        <f t="shared" si="11"/>
        <v>639270</v>
      </c>
      <c r="AA14" s="367">
        <f t="shared" si="11"/>
        <v>940770</v>
      </c>
      <c r="AB14" s="367">
        <f t="shared" si="11"/>
        <v>942270</v>
      </c>
      <c r="AC14" s="367">
        <f t="shared" si="11"/>
        <v>643770</v>
      </c>
      <c r="AD14" s="367">
        <f t="shared" si="11"/>
        <v>645270</v>
      </c>
    </row>
    <row r="15" spans="1:38" ht="18.75" x14ac:dyDescent="0.3">
      <c r="A15" s="456">
        <f>M14</f>
        <v>15350206</v>
      </c>
      <c r="B15" s="456"/>
      <c r="D15" s="319" t="s">
        <v>633</v>
      </c>
      <c r="E15" s="328">
        <f>SUM(E16:E19)</f>
        <v>30302935</v>
      </c>
      <c r="F15" s="329">
        <f>E15/E35</f>
        <v>0.42351717378891129</v>
      </c>
      <c r="G15" s="355" t="s">
        <v>634</v>
      </c>
      <c r="H15" s="356">
        <v>0</v>
      </c>
      <c r="I15" s="342">
        <f t="shared" si="8"/>
        <v>0</v>
      </c>
      <c r="K15" s="368" t="s">
        <v>635</v>
      </c>
      <c r="L15" s="369" t="str">
        <f>K15</f>
        <v>Sueldos</v>
      </c>
      <c r="M15" s="370">
        <f t="shared" si="6"/>
        <v>2996968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2">S15+1500</f>
        <v>170196</v>
      </c>
      <c r="U15" s="371">
        <v>165150</v>
      </c>
      <c r="V15" s="371">
        <v>176218</v>
      </c>
      <c r="W15" s="371">
        <v>176528</v>
      </c>
      <c r="X15" s="371">
        <v>185000</v>
      </c>
      <c r="Y15" s="371">
        <f t="shared" si="12"/>
        <v>186500</v>
      </c>
      <c r="Z15" s="371">
        <f t="shared" si="12"/>
        <v>188000</v>
      </c>
      <c r="AA15" s="371">
        <f t="shared" si="12"/>
        <v>189500</v>
      </c>
      <c r="AB15" s="371">
        <f t="shared" si="12"/>
        <v>191000</v>
      </c>
      <c r="AC15" s="371">
        <f t="shared" si="12"/>
        <v>192500</v>
      </c>
      <c r="AD15" s="371">
        <f t="shared" si="12"/>
        <v>194000</v>
      </c>
    </row>
    <row r="16" spans="1:38" x14ac:dyDescent="0.25">
      <c r="D16" s="353" t="s">
        <v>636</v>
      </c>
      <c r="E16" s="354">
        <v>0</v>
      </c>
      <c r="F16" s="339">
        <f>E16/E35</f>
        <v>0</v>
      </c>
      <c r="G16" s="372" t="s">
        <v>637</v>
      </c>
      <c r="H16" s="373">
        <f>E29-H26</f>
        <v>480620</v>
      </c>
      <c r="I16" s="342">
        <f t="shared" si="8"/>
        <v>6.7171983197807919E-3</v>
      </c>
      <c r="K16" s="368" t="s">
        <v>638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3">O16</f>
        <v>29120</v>
      </c>
      <c r="Q16" s="371">
        <f t="shared" si="13"/>
        <v>29120</v>
      </c>
      <c r="R16" s="371">
        <f t="shared" si="13"/>
        <v>29120</v>
      </c>
      <c r="S16" s="371">
        <f t="shared" si="13"/>
        <v>29120</v>
      </c>
      <c r="T16" s="371">
        <f t="shared" si="13"/>
        <v>29120</v>
      </c>
      <c r="U16" s="371">
        <f t="shared" si="13"/>
        <v>29120</v>
      </c>
      <c r="V16" s="371">
        <f t="shared" si="13"/>
        <v>29120</v>
      </c>
      <c r="W16" s="371">
        <f t="shared" si="13"/>
        <v>29120</v>
      </c>
      <c r="X16" s="371">
        <f t="shared" si="13"/>
        <v>29120</v>
      </c>
      <c r="Y16" s="371">
        <f t="shared" si="13"/>
        <v>29120</v>
      </c>
      <c r="Z16" s="371">
        <f t="shared" si="13"/>
        <v>29120</v>
      </c>
      <c r="AA16" s="371">
        <f t="shared" si="13"/>
        <v>29120</v>
      </c>
      <c r="AB16" s="371">
        <f t="shared" si="13"/>
        <v>29120</v>
      </c>
      <c r="AC16" s="371">
        <f t="shared" si="13"/>
        <v>29120</v>
      </c>
      <c r="AD16" s="371">
        <f t="shared" si="13"/>
        <v>29120</v>
      </c>
    </row>
    <row r="17" spans="1:30" ht="20.25" customHeight="1" x14ac:dyDescent="0.25">
      <c r="D17" s="374" t="s">
        <v>633</v>
      </c>
      <c r="E17" s="375">
        <f>14003+1100+450+378420+6200+2100000+19100+99021+350+895000+8000+1838000+8434+5000+1570248</f>
        <v>6943326</v>
      </c>
      <c r="F17" s="376">
        <f>E17/E35</f>
        <v>9.7040692732075828E-2</v>
      </c>
      <c r="G17" s="352"/>
      <c r="H17" s="350"/>
      <c r="I17" s="377"/>
      <c r="K17" s="368" t="s">
        <v>639</v>
      </c>
      <c r="L17" s="369" t="s">
        <v>611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640</v>
      </c>
      <c r="E18" s="354">
        <f>7000000+19000+600000+4000+496109+4000+1530000+5500+3450000+10000+2500000+5000+3600000+15000+3869000+5000+245000+2000</f>
        <v>23359609</v>
      </c>
      <c r="F18" s="339">
        <f>E18/E35</f>
        <v>0.32647648105683547</v>
      </c>
      <c r="G18" s="319" t="s">
        <v>641</v>
      </c>
      <c r="H18" s="378">
        <f>H19</f>
        <v>1570248</v>
      </c>
      <c r="I18" s="331">
        <f>H18/$H$35</f>
        <v>2.1945959858597538E-2</v>
      </c>
      <c r="K18" s="368" t="s">
        <v>642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4">O18</f>
        <v>65280</v>
      </c>
      <c r="Q18" s="371">
        <f t="shared" si="14"/>
        <v>65280</v>
      </c>
      <c r="R18" s="371">
        <f t="shared" si="14"/>
        <v>65280</v>
      </c>
      <c r="S18" s="371">
        <f t="shared" si="14"/>
        <v>65280</v>
      </c>
      <c r="T18" s="371">
        <f t="shared" si="14"/>
        <v>65280</v>
      </c>
      <c r="U18" s="371">
        <f t="shared" si="14"/>
        <v>65280</v>
      </c>
      <c r="V18" s="371">
        <f t="shared" si="14"/>
        <v>65280</v>
      </c>
      <c r="W18" s="371">
        <f t="shared" si="14"/>
        <v>65280</v>
      </c>
      <c r="X18" s="371">
        <f t="shared" si="14"/>
        <v>65280</v>
      </c>
      <c r="Y18" s="371">
        <f t="shared" si="14"/>
        <v>65280</v>
      </c>
      <c r="Z18" s="371">
        <f t="shared" si="14"/>
        <v>65280</v>
      </c>
      <c r="AA18" s="371">
        <f t="shared" si="14"/>
        <v>65280</v>
      </c>
      <c r="AB18" s="371">
        <f t="shared" si="14"/>
        <v>65280</v>
      </c>
      <c r="AC18" s="371">
        <f t="shared" si="14"/>
        <v>65280</v>
      </c>
      <c r="AD18" s="371">
        <f t="shared" si="14"/>
        <v>65280</v>
      </c>
    </row>
    <row r="19" spans="1:30" x14ac:dyDescent="0.25">
      <c r="D19" s="353" t="s">
        <v>643</v>
      </c>
      <c r="E19" s="354">
        <v>0</v>
      </c>
      <c r="F19" s="339">
        <f>E19/E35</f>
        <v>0</v>
      </c>
      <c r="G19" s="379" t="s">
        <v>644</v>
      </c>
      <c r="H19" s="380">
        <f>M20</f>
        <v>1570248</v>
      </c>
      <c r="I19" s="342">
        <f>H19/$H$35</f>
        <v>2.1945959858597538E-2</v>
      </c>
      <c r="K19" s="368" t="s">
        <v>645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4"/>
        <v>20000</v>
      </c>
      <c r="Q19" s="371">
        <f t="shared" si="14"/>
        <v>20000</v>
      </c>
      <c r="R19" s="371">
        <f t="shared" si="14"/>
        <v>20000</v>
      </c>
      <c r="S19" s="371">
        <f t="shared" si="14"/>
        <v>20000</v>
      </c>
      <c r="T19" s="371">
        <f t="shared" si="14"/>
        <v>20000</v>
      </c>
      <c r="U19" s="371">
        <f t="shared" si="14"/>
        <v>20000</v>
      </c>
      <c r="V19" s="371">
        <f t="shared" si="14"/>
        <v>20000</v>
      </c>
      <c r="W19" s="371">
        <f t="shared" si="14"/>
        <v>20000</v>
      </c>
      <c r="X19" s="371">
        <f t="shared" si="14"/>
        <v>20000</v>
      </c>
      <c r="Y19" s="371">
        <f t="shared" si="14"/>
        <v>20000</v>
      </c>
      <c r="Z19" s="371">
        <f t="shared" si="14"/>
        <v>20000</v>
      </c>
      <c r="AA19" s="371">
        <f t="shared" si="14"/>
        <v>20000</v>
      </c>
      <c r="AB19" s="371">
        <f t="shared" si="14"/>
        <v>20000</v>
      </c>
      <c r="AC19" s="371">
        <f t="shared" si="14"/>
        <v>20000</v>
      </c>
      <c r="AD19" s="371">
        <f t="shared" si="14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646</v>
      </c>
      <c r="L20" s="369" t="s">
        <v>644</v>
      </c>
      <c r="M20" s="370">
        <f t="shared" si="6"/>
        <v>1570248</v>
      </c>
      <c r="N20" s="371">
        <v>0</v>
      </c>
      <c r="O20" s="371">
        <v>0</v>
      </c>
      <c r="P20" s="371">
        <f t="shared" si="14"/>
        <v>0</v>
      </c>
      <c r="Q20" s="371">
        <f t="shared" si="14"/>
        <v>0</v>
      </c>
      <c r="R20" s="371">
        <f t="shared" si="14"/>
        <v>0</v>
      </c>
      <c r="S20" s="371">
        <f t="shared" si="14"/>
        <v>0</v>
      </c>
      <c r="T20" s="371">
        <f t="shared" si="14"/>
        <v>0</v>
      </c>
      <c r="U20" s="371">
        <v>1570248</v>
      </c>
      <c r="V20" s="371">
        <v>0</v>
      </c>
      <c r="W20" s="371">
        <f t="shared" si="14"/>
        <v>0</v>
      </c>
      <c r="X20" s="371">
        <f t="shared" si="14"/>
        <v>0</v>
      </c>
      <c r="Y20" s="371">
        <f t="shared" si="14"/>
        <v>0</v>
      </c>
      <c r="Z20" s="371">
        <f t="shared" si="14"/>
        <v>0</v>
      </c>
      <c r="AA20" s="371">
        <f t="shared" si="14"/>
        <v>0</v>
      </c>
      <c r="AB20" s="371">
        <f t="shared" si="14"/>
        <v>0</v>
      </c>
      <c r="AC20" s="371">
        <f t="shared" si="14"/>
        <v>0</v>
      </c>
      <c r="AD20" s="371">
        <f t="shared" si="14"/>
        <v>0</v>
      </c>
    </row>
    <row r="21" spans="1:30" x14ac:dyDescent="0.25">
      <c r="D21" s="319" t="s">
        <v>619</v>
      </c>
      <c r="E21" s="385">
        <f>E22</f>
        <v>1279310</v>
      </c>
      <c r="F21" s="329">
        <f>E21/E35</f>
        <v>1.7879778166698775E-2</v>
      </c>
      <c r="G21" s="382"/>
      <c r="H21" s="383"/>
      <c r="I21" s="384"/>
      <c r="K21" s="452" t="s">
        <v>625</v>
      </c>
      <c r="L21" s="369" t="s">
        <v>614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4"/>
        <v>0</v>
      </c>
      <c r="Q21" s="371">
        <f t="shared" si="14"/>
        <v>0</v>
      </c>
      <c r="R21" s="371">
        <f t="shared" si="14"/>
        <v>0</v>
      </c>
      <c r="S21" s="371">
        <f t="shared" si="14"/>
        <v>0</v>
      </c>
      <c r="T21" s="371">
        <f t="shared" si="14"/>
        <v>0</v>
      </c>
      <c r="U21" s="371">
        <f t="shared" si="14"/>
        <v>0</v>
      </c>
      <c r="V21" s="371">
        <f t="shared" si="14"/>
        <v>0</v>
      </c>
      <c r="W21" s="371">
        <f t="shared" si="14"/>
        <v>0</v>
      </c>
      <c r="X21" s="371">
        <f t="shared" si="14"/>
        <v>0</v>
      </c>
      <c r="Y21" s="371">
        <f t="shared" si="14"/>
        <v>0</v>
      </c>
      <c r="Z21" s="371">
        <f t="shared" si="14"/>
        <v>0</v>
      </c>
      <c r="AA21" s="371">
        <f t="shared" si="14"/>
        <v>0</v>
      </c>
      <c r="AB21" s="371">
        <f t="shared" si="14"/>
        <v>0</v>
      </c>
      <c r="AC21" s="371">
        <f t="shared" si="14"/>
        <v>0</v>
      </c>
      <c r="AD21" s="371">
        <f t="shared" si="14"/>
        <v>0</v>
      </c>
    </row>
    <row r="22" spans="1:30" x14ac:dyDescent="0.25">
      <c r="D22" s="353" t="s">
        <v>619</v>
      </c>
      <c r="E22" s="354">
        <f>M8+M9</f>
        <v>1279310</v>
      </c>
      <c r="F22" s="339">
        <f>E22/E35</f>
        <v>1.7879778166698775E-2</v>
      </c>
      <c r="G22" s="319" t="s">
        <v>647</v>
      </c>
      <c r="H22" s="330">
        <f>SUM(H23:H24)</f>
        <v>0</v>
      </c>
      <c r="I22" s="331">
        <f>H22/$H$35</f>
        <v>0</v>
      </c>
      <c r="K22" s="453"/>
      <c r="L22" s="369" t="s">
        <v>648</v>
      </c>
      <c r="M22" s="370">
        <f t="shared" si="6"/>
        <v>148508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3000</v>
      </c>
      <c r="X22" s="371">
        <f t="shared" si="14"/>
        <v>3000</v>
      </c>
      <c r="Y22" s="371">
        <f t="shared" si="14"/>
        <v>3000</v>
      </c>
      <c r="Z22" s="371">
        <f t="shared" si="14"/>
        <v>3000</v>
      </c>
      <c r="AA22" s="371">
        <f t="shared" si="14"/>
        <v>3000</v>
      </c>
      <c r="AB22" s="371">
        <f t="shared" si="14"/>
        <v>3000</v>
      </c>
      <c r="AC22" s="371">
        <f t="shared" si="14"/>
        <v>3000</v>
      </c>
      <c r="AD22" s="371">
        <f t="shared" si="14"/>
        <v>3000</v>
      </c>
    </row>
    <row r="23" spans="1:30" ht="18.75" x14ac:dyDescent="0.3">
      <c r="C23" s="386"/>
      <c r="D23" s="352"/>
      <c r="E23" s="363"/>
      <c r="F23" s="381"/>
      <c r="G23" s="379" t="s">
        <v>611</v>
      </c>
      <c r="H23" s="387">
        <f>M17</f>
        <v>0</v>
      </c>
      <c r="I23" s="342">
        <f>H23/$H$35</f>
        <v>0</v>
      </c>
      <c r="K23" s="454"/>
      <c r="L23" s="369" t="s">
        <v>649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4"/>
        <v>0</v>
      </c>
      <c r="Q23" s="371">
        <f t="shared" si="14"/>
        <v>0</v>
      </c>
      <c r="R23" s="371">
        <f t="shared" si="14"/>
        <v>0</v>
      </c>
      <c r="S23" s="371">
        <f t="shared" si="14"/>
        <v>0</v>
      </c>
      <c r="T23" s="371">
        <f t="shared" si="14"/>
        <v>0</v>
      </c>
      <c r="U23" s="371">
        <f t="shared" si="14"/>
        <v>0</v>
      </c>
      <c r="V23" s="371">
        <f t="shared" si="14"/>
        <v>0</v>
      </c>
      <c r="W23" s="371">
        <f t="shared" si="14"/>
        <v>0</v>
      </c>
      <c r="X23" s="371">
        <f t="shared" si="14"/>
        <v>0</v>
      </c>
      <c r="Y23" s="371">
        <f t="shared" si="14"/>
        <v>0</v>
      </c>
      <c r="Z23" s="371">
        <f t="shared" si="14"/>
        <v>0</v>
      </c>
      <c r="AA23" s="371">
        <f t="shared" si="14"/>
        <v>0</v>
      </c>
      <c r="AB23" s="371">
        <f t="shared" si="14"/>
        <v>0</v>
      </c>
      <c r="AC23" s="371">
        <f t="shared" si="14"/>
        <v>0</v>
      </c>
      <c r="AD23" s="371">
        <f t="shared" si="14"/>
        <v>0</v>
      </c>
    </row>
    <row r="24" spans="1:30" ht="18.75" x14ac:dyDescent="0.3">
      <c r="A24" s="388" t="str">
        <f t="shared" ref="A24:A31" si="15">L15</f>
        <v>Sueldos</v>
      </c>
      <c r="B24" s="389">
        <f t="shared" ref="B24:B31" si="16">M15/$M$25</f>
        <v>0.44995979295322708</v>
      </c>
      <c r="C24" s="327"/>
      <c r="D24" s="319" t="s">
        <v>666</v>
      </c>
      <c r="E24" s="328">
        <f>E25+E26-E27</f>
        <v>17183459</v>
      </c>
      <c r="F24" s="329">
        <f>E24/E35</f>
        <v>0.24015792501939603</v>
      </c>
      <c r="G24" s="379" t="s">
        <v>614</v>
      </c>
      <c r="H24" s="387">
        <f>M21</f>
        <v>0</v>
      </c>
      <c r="I24" s="342">
        <f>H24/$H$35</f>
        <v>0</v>
      </c>
      <c r="K24" s="368" t="s">
        <v>650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7">N24</f>
        <v>0</v>
      </c>
      <c r="P24" s="371">
        <f t="shared" si="14"/>
        <v>0</v>
      </c>
      <c r="Q24" s="371">
        <f t="shared" si="14"/>
        <v>0</v>
      </c>
      <c r="R24" s="371">
        <f t="shared" si="14"/>
        <v>0</v>
      </c>
      <c r="S24" s="371">
        <f t="shared" si="14"/>
        <v>0</v>
      </c>
      <c r="T24" s="371">
        <f t="shared" si="14"/>
        <v>0</v>
      </c>
      <c r="U24" s="371">
        <f t="shared" si="14"/>
        <v>0</v>
      </c>
      <c r="V24" s="371">
        <f t="shared" si="14"/>
        <v>0</v>
      </c>
      <c r="W24" s="371">
        <f t="shared" si="14"/>
        <v>0</v>
      </c>
      <c r="X24" s="371">
        <f t="shared" si="14"/>
        <v>0</v>
      </c>
      <c r="Y24" s="371">
        <f t="shared" si="14"/>
        <v>0</v>
      </c>
      <c r="Z24" s="371">
        <f t="shared" si="14"/>
        <v>0</v>
      </c>
      <c r="AA24" s="371">
        <f t="shared" si="14"/>
        <v>0</v>
      </c>
      <c r="AB24" s="371">
        <f t="shared" si="14"/>
        <v>0</v>
      </c>
      <c r="AC24" s="371">
        <f t="shared" si="14"/>
        <v>0</v>
      </c>
      <c r="AD24" s="371">
        <f t="shared" si="14"/>
        <v>0</v>
      </c>
    </row>
    <row r="25" spans="1:30" ht="18.75" x14ac:dyDescent="0.3">
      <c r="A25" s="388" t="str">
        <f t="shared" si="15"/>
        <v xml:space="preserve">Mantenimiento </v>
      </c>
      <c r="B25" s="389">
        <f t="shared" si="16"/>
        <v>7.43244825782476E-2</v>
      </c>
      <c r="C25" s="304"/>
      <c r="D25" s="355" t="s">
        <v>651</v>
      </c>
      <c r="E25" s="390">
        <f>N5</f>
        <v>8683459</v>
      </c>
      <c r="F25" s="339">
        <f>E25/E35</f>
        <v>0.12136098415522741</v>
      </c>
      <c r="G25" s="391"/>
      <c r="H25" s="392"/>
      <c r="I25" s="393"/>
      <c r="K25" s="394" t="s">
        <v>652</v>
      </c>
      <c r="L25" s="395"/>
      <c r="M25" s="396">
        <f t="shared" si="6"/>
        <v>6660524</v>
      </c>
      <c r="N25" s="397">
        <f>SUM(N15:N24)</f>
        <v>295136</v>
      </c>
      <c r="O25" s="397">
        <f t="shared" ref="O25:AD25" si="18">SUM(O15:O24)</f>
        <v>280136</v>
      </c>
      <c r="P25" s="397">
        <f t="shared" si="18"/>
        <v>280136</v>
      </c>
      <c r="Q25" s="397">
        <f t="shared" si="18"/>
        <v>280136</v>
      </c>
      <c r="R25" s="397">
        <f t="shared" si="18"/>
        <v>280136</v>
      </c>
      <c r="S25" s="397">
        <f t="shared" si="18"/>
        <v>287096</v>
      </c>
      <c r="T25" s="397">
        <f t="shared" si="18"/>
        <v>287596</v>
      </c>
      <c r="U25" s="397">
        <f t="shared" si="18"/>
        <v>1934306</v>
      </c>
      <c r="V25" s="397">
        <f t="shared" si="18"/>
        <v>293618</v>
      </c>
      <c r="W25" s="397">
        <f t="shared" si="18"/>
        <v>293928</v>
      </c>
      <c r="X25" s="397">
        <f t="shared" si="18"/>
        <v>302400</v>
      </c>
      <c r="Y25" s="397">
        <f t="shared" si="18"/>
        <v>303900</v>
      </c>
      <c r="Z25" s="397">
        <f t="shared" si="18"/>
        <v>305400</v>
      </c>
      <c r="AA25" s="397">
        <f t="shared" si="18"/>
        <v>306900</v>
      </c>
      <c r="AB25" s="397">
        <f t="shared" si="18"/>
        <v>308400</v>
      </c>
      <c r="AC25" s="397">
        <f t="shared" si="18"/>
        <v>309900</v>
      </c>
      <c r="AD25" s="397">
        <f t="shared" si="18"/>
        <v>311400</v>
      </c>
    </row>
    <row r="26" spans="1:30" ht="18.75" x14ac:dyDescent="0.3">
      <c r="A26" s="388" t="str">
        <f t="shared" si="15"/>
        <v>Estadio</v>
      </c>
      <c r="B26" s="389">
        <f t="shared" si="16"/>
        <v>0</v>
      </c>
      <c r="C26" s="312"/>
      <c r="D26" s="355" t="str">
        <f>D12</f>
        <v>Ing Reservas</v>
      </c>
      <c r="E26" s="476">
        <f>M13</f>
        <v>8500000</v>
      </c>
      <c r="F26" s="339">
        <f>E26/E35</f>
        <v>0.11879694086416864</v>
      </c>
      <c r="G26" s="319" t="s">
        <v>653</v>
      </c>
      <c r="H26" s="330">
        <f>SUM(H27:H32)</f>
        <v>5090276</v>
      </c>
      <c r="I26" s="331">
        <f t="shared" ref="I26:I32" si="19">H26/$H$35</f>
        <v>7.1142260818152572E-2</v>
      </c>
      <c r="K26" s="398" t="s">
        <v>654</v>
      </c>
      <c r="L26" s="398"/>
      <c r="M26" s="334">
        <f t="shared" ref="M26:AD26" si="20">M5+M14-M25</f>
        <v>17373141</v>
      </c>
      <c r="N26" s="334">
        <f t="shared" si="20"/>
        <v>9623483</v>
      </c>
      <c r="O26" s="334">
        <f t="shared" si="20"/>
        <v>9994868</v>
      </c>
      <c r="P26" s="334">
        <f t="shared" si="20"/>
        <v>10377155</v>
      </c>
      <c r="Q26" s="334">
        <f t="shared" si="20"/>
        <v>11240455</v>
      </c>
      <c r="R26" s="334">
        <f t="shared" si="20"/>
        <v>11827122</v>
      </c>
      <c r="S26" s="334">
        <f t="shared" si="20"/>
        <v>12507638</v>
      </c>
      <c r="T26" s="334">
        <f t="shared" si="20"/>
        <v>14308664</v>
      </c>
      <c r="U26" s="334">
        <f t="shared" si="20"/>
        <v>13015507</v>
      </c>
      <c r="V26" s="334">
        <f t="shared" si="20"/>
        <v>13799559</v>
      </c>
      <c r="W26" s="334">
        <f t="shared" si="20"/>
        <v>14136051</v>
      </c>
      <c r="X26" s="334">
        <f t="shared" si="20"/>
        <v>14469921</v>
      </c>
      <c r="Y26" s="334">
        <f t="shared" si="20"/>
        <v>15103791</v>
      </c>
      <c r="Z26" s="334">
        <f t="shared" si="20"/>
        <v>15437661</v>
      </c>
      <c r="AA26" s="334">
        <f t="shared" si="20"/>
        <v>16071531</v>
      </c>
      <c r="AB26" s="334">
        <f t="shared" si="20"/>
        <v>16705401</v>
      </c>
      <c r="AC26" s="334">
        <f t="shared" si="20"/>
        <v>17039271</v>
      </c>
      <c r="AD26" s="334">
        <f t="shared" si="20"/>
        <v>17373141</v>
      </c>
    </row>
    <row r="27" spans="1:30" x14ac:dyDescent="0.25">
      <c r="A27" s="388" t="str">
        <f t="shared" si="15"/>
        <v>Empleados</v>
      </c>
      <c r="B27" s="389">
        <f t="shared" si="16"/>
        <v>0.16661752138420341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655</v>
      </c>
      <c r="H27" s="387">
        <f>M15</f>
        <v>2996968</v>
      </c>
      <c r="I27" s="342">
        <f t="shared" si="19"/>
        <v>4.1885956502094798E-2</v>
      </c>
      <c r="K27" s="399"/>
      <c r="L27" s="399"/>
      <c r="M27" s="399"/>
      <c r="N27" s="400">
        <f>N1+7</f>
        <v>43644</v>
      </c>
      <c r="O27" s="400">
        <f t="shared" ref="O27:AD27" si="21">N27+7</f>
        <v>43651</v>
      </c>
      <c r="P27" s="400">
        <f t="shared" si="21"/>
        <v>43658</v>
      </c>
      <c r="Q27" s="400">
        <f t="shared" si="21"/>
        <v>43665</v>
      </c>
      <c r="R27" s="400">
        <f t="shared" si="21"/>
        <v>43672</v>
      </c>
      <c r="S27" s="400">
        <f t="shared" si="21"/>
        <v>43679</v>
      </c>
      <c r="T27" s="400">
        <f t="shared" si="21"/>
        <v>43686</v>
      </c>
      <c r="U27" s="400">
        <f t="shared" si="21"/>
        <v>43693</v>
      </c>
      <c r="V27" s="400">
        <f t="shared" si="21"/>
        <v>43700</v>
      </c>
      <c r="W27" s="400">
        <f t="shared" si="21"/>
        <v>43707</v>
      </c>
      <c r="X27" s="400">
        <f t="shared" si="21"/>
        <v>43714</v>
      </c>
      <c r="Y27" s="400">
        <f t="shared" si="21"/>
        <v>43721</v>
      </c>
      <c r="Z27" s="400">
        <f t="shared" si="21"/>
        <v>43728</v>
      </c>
      <c r="AA27" s="400">
        <f t="shared" si="21"/>
        <v>43735</v>
      </c>
      <c r="AB27" s="400">
        <f t="shared" si="21"/>
        <v>43742</v>
      </c>
      <c r="AC27" s="400">
        <f t="shared" si="21"/>
        <v>43749</v>
      </c>
      <c r="AD27" s="400">
        <f t="shared" si="21"/>
        <v>43756</v>
      </c>
    </row>
    <row r="28" spans="1:30" x14ac:dyDescent="0.25">
      <c r="A28" s="388" t="str">
        <f t="shared" si="15"/>
        <v>Juveniles</v>
      </c>
      <c r="B28" s="389">
        <f t="shared" si="16"/>
        <v>5.1047034737807417E-2</v>
      </c>
      <c r="C28" s="312"/>
      <c r="D28" s="382"/>
      <c r="E28" s="401"/>
      <c r="F28" s="339"/>
      <c r="G28" s="379" t="s">
        <v>638</v>
      </c>
      <c r="H28" s="387">
        <f>M16</f>
        <v>495040</v>
      </c>
      <c r="I28" s="342">
        <f t="shared" si="19"/>
        <v>6.9187338359291816E-3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5"/>
        <v>Compra</v>
      </c>
      <c r="B29" s="389">
        <f t="shared" si="16"/>
        <v>0.23575442412639006</v>
      </c>
      <c r="D29" s="319" t="s">
        <v>656</v>
      </c>
      <c r="E29" s="328">
        <f>SUM(E30:E34)</f>
        <v>5570896</v>
      </c>
      <c r="F29" s="329">
        <f>E29/E35</f>
        <v>7.7859459137933365E-2</v>
      </c>
      <c r="G29" s="379" t="s">
        <v>642</v>
      </c>
      <c r="H29" s="387">
        <f>M18</f>
        <v>1109760</v>
      </c>
      <c r="I29" s="342">
        <f t="shared" si="19"/>
        <v>1.5510128599225858E-2</v>
      </c>
      <c r="K29" s="403"/>
      <c r="L29" s="403"/>
      <c r="M29" s="404" t="s">
        <v>633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/>
      <c r="Y29" s="405"/>
      <c r="Z29" s="405"/>
      <c r="AA29" s="405"/>
      <c r="AB29" s="405"/>
      <c r="AC29" s="405"/>
      <c r="AD29" s="405"/>
    </row>
    <row r="30" spans="1:30" x14ac:dyDescent="0.25">
      <c r="A30" s="388" t="str">
        <f t="shared" si="15"/>
        <v>Entrenador</v>
      </c>
      <c r="B30" s="389">
        <f t="shared" si="16"/>
        <v>0</v>
      </c>
      <c r="D30" s="355" t="s">
        <v>606</v>
      </c>
      <c r="E30" s="390">
        <f>M11</f>
        <v>57332</v>
      </c>
      <c r="F30" s="339">
        <f>E30/E35</f>
        <v>8.0127837807347248E-4</v>
      </c>
      <c r="G30" s="379" t="s">
        <v>645</v>
      </c>
      <c r="H30" s="387">
        <f>M19</f>
        <v>340000</v>
      </c>
      <c r="I30" s="342">
        <f t="shared" si="19"/>
        <v>4.7518776345667453E-3</v>
      </c>
      <c r="K30" s="315"/>
      <c r="L30" s="455" t="s">
        <v>657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/>
      <c r="Y30" s="405"/>
      <c r="Z30" s="405"/>
      <c r="AA30" s="405"/>
      <c r="AB30" s="405"/>
      <c r="AC30" s="405"/>
      <c r="AD30" s="405"/>
    </row>
    <row r="31" spans="1:30" x14ac:dyDescent="0.25">
      <c r="A31" s="388" t="str">
        <f t="shared" si="15"/>
        <v>Viajes+Venta</v>
      </c>
      <c r="B31" s="389">
        <f t="shared" si="16"/>
        <v>2.2296744220124422E-2</v>
      </c>
      <c r="D31" s="355" t="s">
        <v>628</v>
      </c>
      <c r="E31" s="390">
        <f>M12</f>
        <v>400000</v>
      </c>
      <c r="F31" s="339">
        <f>E31/E35</f>
        <v>5.5904442759608774E-3</v>
      </c>
      <c r="G31" s="379" t="s">
        <v>648</v>
      </c>
      <c r="H31" s="387">
        <f>M22</f>
        <v>148508</v>
      </c>
      <c r="I31" s="342">
        <f t="shared" si="19"/>
        <v>2.0755642463359948E-3</v>
      </c>
      <c r="K31" s="315"/>
      <c r="L31" s="455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/>
      <c r="Y31" s="405"/>
      <c r="Z31" s="405"/>
      <c r="AA31" s="405"/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613</v>
      </c>
      <c r="E32" s="390">
        <f>M6</f>
        <v>3262109</v>
      </c>
      <c r="F32" s="339">
        <f>E32/E35</f>
        <v>4.5591596466526156E-2</v>
      </c>
      <c r="G32" s="379" t="s">
        <v>650</v>
      </c>
      <c r="H32" s="387">
        <f>M24</f>
        <v>0</v>
      </c>
      <c r="I32" s="342">
        <f t="shared" si="19"/>
        <v>0</v>
      </c>
      <c r="K32" s="315"/>
      <c r="L32" s="455"/>
      <c r="M32" s="406" t="s">
        <v>658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/>
      <c r="Y32" s="405"/>
      <c r="Z32" s="405"/>
      <c r="AA32" s="405"/>
      <c r="AB32" s="405"/>
      <c r="AC32" s="405"/>
      <c r="AD32" s="405"/>
    </row>
    <row r="33" spans="1:30" ht="18.75" x14ac:dyDescent="0.3">
      <c r="A33" s="312"/>
      <c r="B33" s="407">
        <f>SUM(B24:B32)</f>
        <v>0.99999999999999989</v>
      </c>
      <c r="D33" s="355" t="s">
        <v>616</v>
      </c>
      <c r="E33" s="390">
        <f>M7</f>
        <v>1749655</v>
      </c>
      <c r="F33" s="339">
        <f>E33/E35</f>
        <v>2.4453371949140823E-2</v>
      </c>
      <c r="G33" s="382"/>
      <c r="H33" s="383"/>
      <c r="I33" s="384"/>
      <c r="K33" s="315"/>
      <c r="L33" s="455"/>
      <c r="M33" s="406" t="s">
        <v>659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/>
      <c r="Y33" s="405"/>
      <c r="Z33" s="405"/>
      <c r="AA33" s="405"/>
      <c r="AB33" s="405"/>
      <c r="AC33" s="405"/>
      <c r="AD33" s="405"/>
    </row>
    <row r="34" spans="1:30" ht="18.75" x14ac:dyDescent="0.3">
      <c r="A34" s="308"/>
      <c r="B34" s="408"/>
      <c r="D34" s="409" t="s">
        <v>622</v>
      </c>
      <c r="E34" s="410">
        <f>M10</f>
        <v>101800</v>
      </c>
      <c r="F34" s="339">
        <f>E34/E35</f>
        <v>1.4227680682320433E-3</v>
      </c>
      <c r="G34" s="411"/>
      <c r="H34" s="412"/>
      <c r="I34" s="413"/>
      <c r="K34" s="315"/>
      <c r="L34" s="455"/>
      <c r="M34" s="406" t="s">
        <v>660</v>
      </c>
      <c r="N34" s="414" t="s">
        <v>665</v>
      </c>
      <c r="O34" s="414" t="s">
        <v>670</v>
      </c>
      <c r="P34" s="414" t="s">
        <v>671</v>
      </c>
      <c r="Q34" s="414" t="s">
        <v>684</v>
      </c>
      <c r="R34" s="414" t="s">
        <v>685</v>
      </c>
      <c r="S34" s="414" t="s">
        <v>688</v>
      </c>
      <c r="T34" s="414"/>
      <c r="U34" s="414"/>
      <c r="V34" s="414" t="s">
        <v>718</v>
      </c>
      <c r="W34" s="414" t="s">
        <v>729</v>
      </c>
      <c r="X34" s="414"/>
      <c r="Y34" s="414"/>
      <c r="Z34" s="414"/>
      <c r="AA34" s="414"/>
      <c r="AB34" s="414"/>
      <c r="AC34" s="414"/>
      <c r="AD34" s="414"/>
    </row>
    <row r="35" spans="1:30" ht="18.75" x14ac:dyDescent="0.3">
      <c r="A35" s="457">
        <f>M25</f>
        <v>6660524</v>
      </c>
      <c r="B35" s="457"/>
      <c r="D35" s="415" t="s">
        <v>85</v>
      </c>
      <c r="E35" s="416">
        <f>E29+E21+E15+E5+E10+E24</f>
        <v>71550664</v>
      </c>
      <c r="F35" s="417">
        <f>F29+F21+F15+F5+F10+F24</f>
        <v>1</v>
      </c>
      <c r="G35" s="415" t="s">
        <v>85</v>
      </c>
      <c r="H35" s="416">
        <f>H26+H18+H10+H5+H22</f>
        <v>71550664</v>
      </c>
      <c r="I35" s="418">
        <f>H35/$H$35</f>
        <v>1</v>
      </c>
      <c r="K35" s="315"/>
      <c r="L35" s="455"/>
      <c r="M35" s="406" t="s">
        <v>661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/>
      <c r="Y35" s="419"/>
      <c r="Z35" s="419"/>
      <c r="AA35" s="419"/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55"/>
      <c r="M36" s="406" t="s">
        <v>662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/>
      <c r="Y36" s="419"/>
      <c r="Z36" s="419"/>
      <c r="AA36" s="419"/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55"/>
      <c r="M37" s="406" t="s">
        <v>663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/>
      <c r="Y37" s="419"/>
      <c r="Z37" s="419"/>
      <c r="AA37" s="419"/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664</v>
      </c>
      <c r="N38" s="426">
        <f t="shared" ref="N38:AD38" si="22">N30/N31</f>
        <v>5.8505503706075004</v>
      </c>
      <c r="O38" s="426">
        <f t="shared" si="22"/>
        <v>5.847841611465439</v>
      </c>
      <c r="P38" s="426">
        <f t="shared" si="22"/>
        <v>6.2026274963677999</v>
      </c>
      <c r="Q38" s="426">
        <f t="shared" si="22"/>
        <v>6.5611687064443842</v>
      </c>
      <c r="R38" s="426">
        <f t="shared" si="22"/>
        <v>6.5613533945677069</v>
      </c>
      <c r="S38" s="426">
        <f t="shared" si="22"/>
        <v>6.489762227131286</v>
      </c>
      <c r="T38" s="426"/>
      <c r="U38" s="426"/>
      <c r="V38" s="426">
        <f t="shared" si="22"/>
        <v>6.5626030309576056</v>
      </c>
      <c r="W38" s="426">
        <f t="shared" si="22"/>
        <v>6.2350840425986913</v>
      </c>
      <c r="X38" s="426" t="e">
        <f t="shared" si="22"/>
        <v>#DIV/0!</v>
      </c>
      <c r="Y38" s="426" t="e">
        <f t="shared" si="22"/>
        <v>#DIV/0!</v>
      </c>
      <c r="Z38" s="426" t="e">
        <f t="shared" si="22"/>
        <v>#DIV/0!</v>
      </c>
      <c r="AA38" s="426" t="e">
        <f t="shared" si="22"/>
        <v>#DIV/0!</v>
      </c>
      <c r="AB38" s="426" t="e">
        <f t="shared" si="22"/>
        <v>#DIV/0!</v>
      </c>
      <c r="AC38" s="426" t="e">
        <f t="shared" si="22"/>
        <v>#DIV/0!</v>
      </c>
      <c r="AD38" s="426" t="e">
        <f t="shared" si="22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58"/>
      <c r="Q39" s="458"/>
      <c r="R39" s="458"/>
      <c r="S39" s="458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51"/>
      <c r="Q42" s="451"/>
      <c r="R42" s="451"/>
      <c r="S42" s="451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51"/>
      <c r="Q44" s="451"/>
      <c r="R44" s="451"/>
      <c r="S44" s="451"/>
      <c r="Y44" s="429"/>
    </row>
    <row r="45" spans="1:30" x14ac:dyDescent="0.25">
      <c r="K45" s="312"/>
      <c r="L45" s="312"/>
      <c r="M45" s="312"/>
      <c r="O45" s="427"/>
      <c r="P45" s="451"/>
      <c r="Q45" s="451"/>
      <c r="R45" s="451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17" sqref="L17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211</v>
      </c>
      <c r="F1" s="91" t="s">
        <v>212</v>
      </c>
      <c r="G1" s="92"/>
      <c r="H1" s="92"/>
      <c r="I1" s="93" t="s">
        <v>211</v>
      </c>
      <c r="J1" s="94" t="s">
        <v>212</v>
      </c>
      <c r="K1" s="52"/>
      <c r="P1" s="90" t="s">
        <v>211</v>
      </c>
      <c r="Q1" s="91" t="s">
        <v>212</v>
      </c>
      <c r="R1" s="90"/>
      <c r="S1" s="91"/>
    </row>
    <row r="2" spans="1:19" x14ac:dyDescent="0.25">
      <c r="A2" s="95" t="s">
        <v>3</v>
      </c>
      <c r="B2" s="95" t="s">
        <v>213</v>
      </c>
      <c r="C2" s="95" t="s">
        <v>214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215</v>
      </c>
      <c r="J2" s="94" t="s">
        <v>215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</v>
      </c>
      <c r="E3" s="99">
        <f>D3</f>
        <v>5</v>
      </c>
      <c r="F3" s="99">
        <f>E3+0.1</f>
        <v>5.0999999999999996</v>
      </c>
      <c r="G3" s="99">
        <f>C3</f>
        <v>4</v>
      </c>
      <c r="H3" s="99">
        <f>G3+0.99</f>
        <v>4.99</v>
      </c>
      <c r="I3" s="100">
        <f>G3*G3*E3</f>
        <v>80</v>
      </c>
      <c r="J3" s="100">
        <f>H3*H3*F3</f>
        <v>126.99051</v>
      </c>
      <c r="K3" s="101"/>
      <c r="N3" s="46" t="s">
        <v>215</v>
      </c>
      <c r="O3" t="str">
        <f>A12</f>
        <v>Valeri Gomis</v>
      </c>
      <c r="P3" s="102">
        <f>E12</f>
        <v>4.4000000000000004</v>
      </c>
      <c r="Q3" s="102">
        <f t="shared" ref="Q3:S3" si="0">F12</f>
        <v>4.5</v>
      </c>
      <c r="R3" s="102">
        <f t="shared" si="0"/>
        <v>6</v>
      </c>
      <c r="S3" s="102">
        <f t="shared" si="0"/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20" si="1">D4</f>
        <v>1.4</v>
      </c>
      <c r="F4" s="99">
        <f t="shared" ref="F4:F20" si="2">E4+0.1</f>
        <v>1.5</v>
      </c>
      <c r="G4" s="99">
        <f t="shared" ref="G4:G20" si="3">C4</f>
        <v>5</v>
      </c>
      <c r="H4" s="99">
        <f t="shared" ref="H4:H20" si="4">G4+0.99</f>
        <v>5.99</v>
      </c>
      <c r="I4" s="100">
        <f t="shared" ref="I4:I20" si="5">G4*G4*E4</f>
        <v>35</v>
      </c>
      <c r="J4" s="100">
        <f t="shared" ref="J4:J20" si="6">H4*H4*F4</f>
        <v>53.820150000000012</v>
      </c>
      <c r="K4" s="101"/>
      <c r="O4" t="str">
        <f>A5</f>
        <v>Miguel Fernández</v>
      </c>
      <c r="P4" s="102">
        <f>E5</f>
        <v>2.8</v>
      </c>
      <c r="Q4" s="102">
        <f t="shared" ref="Q4:S4" si="7">F5</f>
        <v>2.9</v>
      </c>
      <c r="R4" s="102">
        <f t="shared" si="7"/>
        <v>5</v>
      </c>
      <c r="S4" s="102">
        <f t="shared" si="7"/>
        <v>5.99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2.8</v>
      </c>
      <c r="E5" s="99">
        <f t="shared" si="1"/>
        <v>2.8</v>
      </c>
      <c r="F5" s="99">
        <f t="shared" si="2"/>
        <v>2.9</v>
      </c>
      <c r="G5" s="99">
        <f t="shared" si="3"/>
        <v>5</v>
      </c>
      <c r="H5" s="99">
        <f t="shared" si="4"/>
        <v>5.99</v>
      </c>
      <c r="I5" s="100">
        <f t="shared" si="5"/>
        <v>70</v>
      </c>
      <c r="J5" s="100">
        <f t="shared" si="6"/>
        <v>104.05229000000001</v>
      </c>
      <c r="K5" s="101"/>
      <c r="L5" s="80"/>
      <c r="O5" t="str">
        <f>A3</f>
        <v>Cosme Fonteboa</v>
      </c>
      <c r="P5" s="102">
        <f>E3</f>
        <v>5</v>
      </c>
      <c r="Q5" s="102">
        <f t="shared" ref="Q5:S5" si="8">F3</f>
        <v>5.0999999999999996</v>
      </c>
      <c r="R5" s="102">
        <f t="shared" si="8"/>
        <v>4</v>
      </c>
      <c r="S5" s="102">
        <f t="shared" si="8"/>
        <v>4.99</v>
      </c>
    </row>
    <row r="6" spans="1:19" x14ac:dyDescent="0.25">
      <c r="A6" s="96" t="str">
        <f>Plantilla!D7</f>
        <v>Iván Real Figueroa</v>
      </c>
      <c r="B6" s="97">
        <f>Plantilla!E7</f>
        <v>22</v>
      </c>
      <c r="C6" s="97">
        <f>Plantilla!H7</f>
        <v>4</v>
      </c>
      <c r="D6" s="98">
        <f>Plantilla!I7</f>
        <v>3.8</v>
      </c>
      <c r="E6" s="99">
        <f t="shared" si="1"/>
        <v>3.8</v>
      </c>
      <c r="F6" s="99">
        <f t="shared" si="2"/>
        <v>3.9</v>
      </c>
      <c r="G6" s="99">
        <f t="shared" si="3"/>
        <v>4</v>
      </c>
      <c r="H6" s="99">
        <f t="shared" si="4"/>
        <v>4.99</v>
      </c>
      <c r="I6" s="100">
        <f t="shared" si="5"/>
        <v>60.8</v>
      </c>
      <c r="J6" s="100">
        <f t="shared" si="6"/>
        <v>97.11039000000001</v>
      </c>
      <c r="K6" s="101"/>
      <c r="O6" t="str">
        <f>A7</f>
        <v>Berto Abandero</v>
      </c>
      <c r="P6" s="102">
        <f>E7</f>
        <v>4</v>
      </c>
      <c r="Q6" s="102">
        <f t="shared" ref="Q6:S6" si="9">F7</f>
        <v>4.0999999999999996</v>
      </c>
      <c r="R6" s="102">
        <f t="shared" si="9"/>
        <v>1</v>
      </c>
      <c r="S6" s="102">
        <f t="shared" si="9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</v>
      </c>
      <c r="E7" s="99">
        <f t="shared" si="1"/>
        <v>4</v>
      </c>
      <c r="F7" s="99">
        <f t="shared" si="2"/>
        <v>4.0999999999999996</v>
      </c>
      <c r="G7" s="99">
        <f t="shared" si="3"/>
        <v>1</v>
      </c>
      <c r="H7" s="99">
        <f t="shared" si="4"/>
        <v>1.99</v>
      </c>
      <c r="I7" s="100">
        <f t="shared" si="5"/>
        <v>4</v>
      </c>
      <c r="J7" s="100">
        <f t="shared" si="6"/>
        <v>16.236409999999999</v>
      </c>
      <c r="K7" s="101"/>
      <c r="O7" t="str">
        <f>A6</f>
        <v>Iván Real Figueroa</v>
      </c>
      <c r="P7" s="102">
        <f>E6</f>
        <v>3.8</v>
      </c>
      <c r="Q7" s="102">
        <f t="shared" ref="Q7:S7" si="10">F6</f>
        <v>3.9</v>
      </c>
      <c r="R7" s="102">
        <f t="shared" si="10"/>
        <v>4</v>
      </c>
      <c r="S7" s="102">
        <f t="shared" si="10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4.7</v>
      </c>
      <c r="E8" s="99">
        <f t="shared" si="1"/>
        <v>4.7</v>
      </c>
      <c r="F8" s="99">
        <f t="shared" si="2"/>
        <v>4.8</v>
      </c>
      <c r="G8" s="99">
        <f t="shared" si="3"/>
        <v>4</v>
      </c>
      <c r="H8" s="99">
        <f t="shared" si="4"/>
        <v>4.99</v>
      </c>
      <c r="I8" s="100">
        <f t="shared" si="5"/>
        <v>75.2</v>
      </c>
      <c r="J8" s="100">
        <f t="shared" si="6"/>
        <v>119.52048000000001</v>
      </c>
      <c r="K8" s="101"/>
      <c r="O8" t="str">
        <f>A10</f>
        <v>Francesc Añigas</v>
      </c>
      <c r="P8" s="102">
        <f>E10</f>
        <v>4.4000000000000004</v>
      </c>
      <c r="Q8" s="102">
        <f t="shared" ref="Q8:S8" si="11">F10</f>
        <v>4.5</v>
      </c>
      <c r="R8" s="102">
        <f t="shared" si="11"/>
        <v>5</v>
      </c>
      <c r="S8" s="102">
        <f t="shared" si="11"/>
        <v>5.99</v>
      </c>
    </row>
    <row r="9" spans="1:19" x14ac:dyDescent="0.25">
      <c r="A9" s="96">
        <f>Plantilla!D10</f>
        <v>0</v>
      </c>
      <c r="B9" s="97">
        <f>Plantilla!E10</f>
        <v>22</v>
      </c>
      <c r="C9" s="97">
        <f>Plantilla!H10</f>
        <v>0</v>
      </c>
      <c r="D9" s="98">
        <f>Plantilla!I10</f>
        <v>4</v>
      </c>
      <c r="E9" s="99">
        <f t="shared" si="1"/>
        <v>4</v>
      </c>
      <c r="F9" s="99">
        <f t="shared" si="2"/>
        <v>4.0999999999999996</v>
      </c>
      <c r="G9" s="99">
        <f t="shared" si="3"/>
        <v>0</v>
      </c>
      <c r="H9" s="99">
        <f t="shared" si="4"/>
        <v>0.99</v>
      </c>
      <c r="I9" s="100">
        <f t="shared" si="5"/>
        <v>0</v>
      </c>
      <c r="J9" s="100">
        <f t="shared" si="6"/>
        <v>4.0184099999999994</v>
      </c>
      <c r="K9" s="101"/>
      <c r="O9" t="str">
        <f>A15</f>
        <v>David Garcia-Spiess</v>
      </c>
      <c r="P9" s="102">
        <f>E15</f>
        <v>7.3</v>
      </c>
      <c r="Q9" s="102">
        <f t="shared" ref="Q9:S9" si="12">F15</f>
        <v>7.3999999999999995</v>
      </c>
      <c r="R9" s="102">
        <f t="shared" si="12"/>
        <v>1</v>
      </c>
      <c r="S9" s="102">
        <f t="shared" si="12"/>
        <v>1.99</v>
      </c>
    </row>
    <row r="10" spans="1:19" x14ac:dyDescent="0.25">
      <c r="A10" s="96" t="str">
        <f>Plantilla!D11</f>
        <v>Francesc Añigas</v>
      </c>
      <c r="B10" s="97">
        <f>Plantilla!E11</f>
        <v>22</v>
      </c>
      <c r="C10" s="97">
        <f>Plantilla!H11</f>
        <v>5</v>
      </c>
      <c r="D10" s="98">
        <f>Plantilla!I11</f>
        <v>4.4000000000000004</v>
      </c>
      <c r="E10" s="99">
        <f t="shared" si="1"/>
        <v>4.4000000000000004</v>
      </c>
      <c r="F10" s="99">
        <f t="shared" si="2"/>
        <v>4.5</v>
      </c>
      <c r="G10" s="99">
        <f t="shared" si="3"/>
        <v>5</v>
      </c>
      <c r="H10" s="99">
        <f t="shared" si="4"/>
        <v>5.99</v>
      </c>
      <c r="I10" s="100">
        <f t="shared" si="5"/>
        <v>110.00000000000001</v>
      </c>
      <c r="J10" s="100">
        <f t="shared" si="6"/>
        <v>161.46045000000004</v>
      </c>
      <c r="K10" s="101"/>
      <c r="O10" t="str">
        <f>A14</f>
        <v>J. G. Peñuela</v>
      </c>
      <c r="P10" s="102">
        <f>E14</f>
        <v>4.3</v>
      </c>
      <c r="Q10" s="102">
        <f t="shared" ref="Q10:S10" si="13">F14</f>
        <v>4.3999999999999995</v>
      </c>
      <c r="R10" s="102">
        <f t="shared" si="13"/>
        <v>6</v>
      </c>
      <c r="S10" s="102">
        <f t="shared" si="13"/>
        <v>6.99</v>
      </c>
    </row>
    <row r="11" spans="1:19" x14ac:dyDescent="0.25">
      <c r="A11" s="96" t="str">
        <f>Plantilla!D12</f>
        <v>Will Duffill</v>
      </c>
      <c r="B11" s="97">
        <f>Plantilla!E12</f>
        <v>22</v>
      </c>
      <c r="C11" s="97">
        <f>Plantilla!H12</f>
        <v>3</v>
      </c>
      <c r="D11" s="98">
        <f>Plantilla!I12</f>
        <v>4.5</v>
      </c>
      <c r="E11" s="99">
        <f t="shared" si="1"/>
        <v>4.5</v>
      </c>
      <c r="F11" s="99">
        <f t="shared" si="2"/>
        <v>4.5999999999999996</v>
      </c>
      <c r="G11" s="99">
        <f t="shared" si="3"/>
        <v>3</v>
      </c>
      <c r="H11" s="99">
        <f t="shared" si="4"/>
        <v>3.99</v>
      </c>
      <c r="I11" s="100">
        <f t="shared" si="5"/>
        <v>40.5</v>
      </c>
      <c r="J11" s="100">
        <f t="shared" si="6"/>
        <v>73.232460000000003</v>
      </c>
      <c r="K11" s="101"/>
      <c r="O11" t="str">
        <f>A13</f>
        <v>Enrique Cubas</v>
      </c>
      <c r="P11" s="102">
        <f>E13</f>
        <v>5</v>
      </c>
      <c r="Q11" s="102">
        <f t="shared" ref="Q11:S11" si="14">F13</f>
        <v>5.0999999999999996</v>
      </c>
      <c r="R11" s="102">
        <f t="shared" si="14"/>
        <v>1</v>
      </c>
      <c r="S11" s="102">
        <f t="shared" si="14"/>
        <v>1.99</v>
      </c>
    </row>
    <row r="12" spans="1:19" x14ac:dyDescent="0.25">
      <c r="A12" s="96" t="str">
        <f>Plantilla!D13</f>
        <v>Valeri Gomis</v>
      </c>
      <c r="B12" s="97">
        <f>Plantilla!E13</f>
        <v>22</v>
      </c>
      <c r="C12" s="97">
        <f>Plantilla!H13</f>
        <v>6</v>
      </c>
      <c r="D12" s="98">
        <f>Plantilla!I13</f>
        <v>4.4000000000000004</v>
      </c>
      <c r="E12" s="99">
        <f t="shared" si="1"/>
        <v>4.4000000000000004</v>
      </c>
      <c r="F12" s="99">
        <f t="shared" si="2"/>
        <v>4.5</v>
      </c>
      <c r="G12" s="99">
        <f t="shared" si="3"/>
        <v>6</v>
      </c>
      <c r="H12" s="99">
        <f t="shared" si="4"/>
        <v>6.99</v>
      </c>
      <c r="I12" s="100">
        <f t="shared" si="5"/>
        <v>158.4</v>
      </c>
      <c r="J12" s="100">
        <f t="shared" si="6"/>
        <v>219.87045000000001</v>
      </c>
      <c r="K12" s="101"/>
      <c r="O12" t="str">
        <f>A20</f>
        <v>Leo Hilpinen</v>
      </c>
      <c r="P12" s="102">
        <f>E20</f>
        <v>6</v>
      </c>
      <c r="Q12" s="102">
        <f t="shared" ref="Q12:S12" si="15">F20</f>
        <v>6.1</v>
      </c>
      <c r="R12" s="102">
        <f t="shared" si="15"/>
        <v>3</v>
      </c>
      <c r="S12" s="102">
        <f t="shared" si="15"/>
        <v>3.99</v>
      </c>
    </row>
    <row r="13" spans="1:19" x14ac:dyDescent="0.25">
      <c r="A13" s="96" t="str">
        <f>Plantilla!D14</f>
        <v>Enrique Cubas</v>
      </c>
      <c r="B13" s="97">
        <f>Plantilla!E14</f>
        <v>22</v>
      </c>
      <c r="C13" s="97">
        <f>Plantilla!H14</f>
        <v>1</v>
      </c>
      <c r="D13" s="98">
        <f>Plantilla!I14</f>
        <v>5</v>
      </c>
      <c r="E13" s="99">
        <f t="shared" si="1"/>
        <v>5</v>
      </c>
      <c r="F13" s="99">
        <f t="shared" si="2"/>
        <v>5.0999999999999996</v>
      </c>
      <c r="G13" s="99">
        <f t="shared" si="3"/>
        <v>1</v>
      </c>
      <c r="H13" s="99">
        <f t="shared" si="4"/>
        <v>1.99</v>
      </c>
      <c r="I13" s="100">
        <f t="shared" si="5"/>
        <v>5</v>
      </c>
      <c r="J13" s="100">
        <f t="shared" si="6"/>
        <v>20.19651</v>
      </c>
      <c r="K13" s="101"/>
      <c r="O13" t="str">
        <f>A19</f>
        <v>Emilio Rojas</v>
      </c>
      <c r="P13" s="102">
        <f>E19</f>
        <v>6.4</v>
      </c>
      <c r="Q13" s="102">
        <f t="shared" ref="Q13:S13" si="16">F19</f>
        <v>6.5</v>
      </c>
      <c r="R13" s="102">
        <f t="shared" si="16"/>
        <v>4</v>
      </c>
      <c r="S13" s="102">
        <f t="shared" si="16"/>
        <v>4.99</v>
      </c>
    </row>
    <row r="14" spans="1:19" x14ac:dyDescent="0.25">
      <c r="A14" s="96" t="str">
        <f>Plantilla!D15</f>
        <v>J. G. Peñuela</v>
      </c>
      <c r="B14" s="97">
        <f>Plantilla!E15</f>
        <v>22</v>
      </c>
      <c r="C14" s="97">
        <f>Plantilla!H15</f>
        <v>6</v>
      </c>
      <c r="D14" s="98">
        <f>Plantilla!I15</f>
        <v>4.3</v>
      </c>
      <c r="E14" s="99">
        <f t="shared" si="1"/>
        <v>4.3</v>
      </c>
      <c r="F14" s="99">
        <f t="shared" si="2"/>
        <v>4.3999999999999995</v>
      </c>
      <c r="G14" s="99">
        <f t="shared" si="3"/>
        <v>6</v>
      </c>
      <c r="H14" s="99">
        <f t="shared" si="4"/>
        <v>6.99</v>
      </c>
      <c r="I14" s="100">
        <f t="shared" si="5"/>
        <v>154.79999999999998</v>
      </c>
      <c r="J14" s="100">
        <f t="shared" si="6"/>
        <v>214.98443999999998</v>
      </c>
      <c r="K14" s="101"/>
      <c r="P14" s="32">
        <f>SUM(P4:P13)/10</f>
        <v>4.9000000000000004</v>
      </c>
      <c r="Q14" s="32">
        <f>SUM(Q4:Q13)/10</f>
        <v>5</v>
      </c>
      <c r="R14" s="32"/>
      <c r="S14" s="32"/>
    </row>
    <row r="15" spans="1:19" x14ac:dyDescent="0.25">
      <c r="A15" s="96" t="str">
        <f>Plantilla!D16</f>
        <v>David Garcia-Spiess</v>
      </c>
      <c r="B15" s="97">
        <f>Plantilla!E16</f>
        <v>30</v>
      </c>
      <c r="C15" s="97">
        <f>Plantilla!H16</f>
        <v>1</v>
      </c>
      <c r="D15" s="98">
        <f>Plantilla!I16</f>
        <v>7.3</v>
      </c>
      <c r="E15" s="99">
        <f t="shared" si="1"/>
        <v>7.3</v>
      </c>
      <c r="F15" s="99">
        <f t="shared" si="2"/>
        <v>7.3999999999999995</v>
      </c>
      <c r="G15" s="99">
        <f t="shared" si="3"/>
        <v>1</v>
      </c>
      <c r="H15" s="99">
        <f t="shared" si="4"/>
        <v>1.99</v>
      </c>
      <c r="I15" s="100">
        <f t="shared" si="5"/>
        <v>7.3</v>
      </c>
      <c r="J15" s="100">
        <f t="shared" si="6"/>
        <v>29.304739999999999</v>
      </c>
      <c r="K15" s="101"/>
    </row>
    <row r="16" spans="1:19" x14ac:dyDescent="0.25">
      <c r="A16" s="96" t="str">
        <f>Plantilla!D17</f>
        <v>Fabien Fabre</v>
      </c>
      <c r="B16" s="97">
        <f>Plantilla!E17</f>
        <v>31</v>
      </c>
      <c r="C16" s="97">
        <f>Plantilla!H17</f>
        <v>5</v>
      </c>
      <c r="D16" s="98">
        <f>Plantilla!I17</f>
        <v>5</v>
      </c>
      <c r="E16" s="99">
        <f t="shared" si="1"/>
        <v>5</v>
      </c>
      <c r="F16" s="99">
        <f t="shared" si="2"/>
        <v>5.0999999999999996</v>
      </c>
      <c r="G16" s="99">
        <f t="shared" si="3"/>
        <v>5</v>
      </c>
      <c r="H16" s="99">
        <f t="shared" si="4"/>
        <v>5.99</v>
      </c>
      <c r="I16" s="100">
        <f t="shared" si="5"/>
        <v>125</v>
      </c>
      <c r="J16" s="100">
        <f t="shared" si="6"/>
        <v>182.98851000000002</v>
      </c>
      <c r="K16" s="101"/>
      <c r="L16" s="51" t="s">
        <v>216</v>
      </c>
      <c r="O16" t="s">
        <v>217</v>
      </c>
      <c r="P16" s="29">
        <f>SUM(P3:P13)</f>
        <v>53.4</v>
      </c>
      <c r="Q16" s="29">
        <f>SUM(Q3:Q13)</f>
        <v>54.5</v>
      </c>
      <c r="R16" s="29"/>
    </row>
    <row r="17" spans="1:18" x14ac:dyDescent="0.25">
      <c r="A17" s="96" t="str">
        <f>Plantilla!D18</f>
        <v>Fernando Gazón</v>
      </c>
      <c r="B17" s="97">
        <f>Plantilla!E18</f>
        <v>23</v>
      </c>
      <c r="C17" s="97">
        <f>Plantilla!H18</f>
        <v>3</v>
      </c>
      <c r="D17" s="98">
        <f>Plantilla!I18</f>
        <v>2.5</v>
      </c>
      <c r="E17" s="99">
        <f t="shared" si="1"/>
        <v>2.5</v>
      </c>
      <c r="F17" s="99">
        <f t="shared" si="2"/>
        <v>2.6</v>
      </c>
      <c r="G17" s="99">
        <f t="shared" si="3"/>
        <v>3</v>
      </c>
      <c r="H17" s="99">
        <f t="shared" si="4"/>
        <v>3.99</v>
      </c>
      <c r="I17" s="100">
        <f t="shared" si="5"/>
        <v>22.5</v>
      </c>
      <c r="J17" s="100">
        <f t="shared" si="6"/>
        <v>41.392260000000007</v>
      </c>
      <c r="K17" s="101"/>
      <c r="O17" t="s">
        <v>218</v>
      </c>
      <c r="P17" s="32">
        <f>P16/17</f>
        <v>3.1411764705882352</v>
      </c>
      <c r="Q17" s="32">
        <f>Q16/17</f>
        <v>3.2058823529411766</v>
      </c>
      <c r="R17" s="32"/>
    </row>
    <row r="18" spans="1:18" x14ac:dyDescent="0.25">
      <c r="A18" s="96" t="str">
        <f>Plantilla!D19</f>
        <v>Stanisław Zdankiewicz</v>
      </c>
      <c r="B18" s="97">
        <f>Plantilla!E19</f>
        <v>29</v>
      </c>
      <c r="C18" s="97">
        <f>Plantilla!H19</f>
        <v>2</v>
      </c>
      <c r="D18" s="98">
        <f>Plantilla!I19</f>
        <v>8.9</v>
      </c>
      <c r="E18" s="99">
        <f t="shared" si="1"/>
        <v>8.9</v>
      </c>
      <c r="F18" s="99">
        <f t="shared" si="2"/>
        <v>9</v>
      </c>
      <c r="G18" s="99">
        <f t="shared" si="3"/>
        <v>2</v>
      </c>
      <c r="H18" s="99">
        <f t="shared" si="4"/>
        <v>2.99</v>
      </c>
      <c r="I18" s="100">
        <f t="shared" si="5"/>
        <v>35.6</v>
      </c>
      <c r="J18" s="100">
        <f t="shared" si="6"/>
        <v>80.460900000000009</v>
      </c>
      <c r="K18" s="101"/>
      <c r="L18" s="51" t="s">
        <v>219</v>
      </c>
      <c r="O18" t="s">
        <v>220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Emilio Rojas</v>
      </c>
      <c r="B19" s="97">
        <f>Plantilla!E20</f>
        <v>31</v>
      </c>
      <c r="C19" s="97">
        <f>Plantilla!H20</f>
        <v>4</v>
      </c>
      <c r="D19" s="98">
        <f>Plantilla!I20</f>
        <v>6.4</v>
      </c>
      <c r="E19" s="99">
        <f t="shared" si="1"/>
        <v>6.4</v>
      </c>
      <c r="F19" s="99">
        <f t="shared" si="2"/>
        <v>6.5</v>
      </c>
      <c r="G19" s="99">
        <f t="shared" si="3"/>
        <v>4</v>
      </c>
      <c r="H19" s="99">
        <f t="shared" si="4"/>
        <v>4.99</v>
      </c>
      <c r="I19" s="100">
        <f t="shared" si="5"/>
        <v>102.4</v>
      </c>
      <c r="J19" s="100">
        <f t="shared" si="6"/>
        <v>161.85065</v>
      </c>
      <c r="K19" s="101"/>
      <c r="L19" s="51" t="s">
        <v>221</v>
      </c>
      <c r="O19" t="s">
        <v>222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6" t="str">
        <f>Plantilla!D21</f>
        <v>Leo Hilpinen</v>
      </c>
      <c r="B20" s="97">
        <f>Plantilla!E21</f>
        <v>30</v>
      </c>
      <c r="C20" s="97">
        <f>Plantilla!H21</f>
        <v>3</v>
      </c>
      <c r="D20" s="98">
        <f>Plantilla!I21</f>
        <v>6</v>
      </c>
      <c r="E20" s="99">
        <f t="shared" si="1"/>
        <v>6</v>
      </c>
      <c r="F20" s="99">
        <f t="shared" si="2"/>
        <v>6.1</v>
      </c>
      <c r="G20" s="99">
        <f t="shared" si="3"/>
        <v>3</v>
      </c>
      <c r="H20" s="99">
        <f t="shared" si="4"/>
        <v>3.99</v>
      </c>
      <c r="I20" s="100">
        <f t="shared" si="5"/>
        <v>54</v>
      </c>
      <c r="J20" s="100">
        <f t="shared" si="6"/>
        <v>97.112610000000004</v>
      </c>
      <c r="K20" s="101"/>
      <c r="L20" s="51" t="s">
        <v>223</v>
      </c>
      <c r="O20" t="s">
        <v>224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6"/>
      <c r="B21" s="97"/>
      <c r="C21" s="97"/>
      <c r="D21" s="98"/>
      <c r="E21" s="99"/>
      <c r="F21" s="99"/>
      <c r="G21" s="99"/>
      <c r="H21" s="99"/>
      <c r="I21" s="100"/>
      <c r="J21" s="100"/>
      <c r="K21" s="101"/>
      <c r="L21" s="51" t="s">
        <v>225</v>
      </c>
      <c r="O21" s="60" t="s">
        <v>95</v>
      </c>
      <c r="P21" s="81">
        <f>P17+P20</f>
        <v>4.1170245164469765</v>
      </c>
      <c r="Q21" s="81">
        <f>Q17+Q20</f>
        <v>4.420174879480367</v>
      </c>
    </row>
    <row r="22" spans="1:18" x14ac:dyDescent="0.25">
      <c r="A22" s="96"/>
      <c r="B22" s="97"/>
      <c r="C22" s="97"/>
      <c r="D22" s="98"/>
      <c r="E22" s="99"/>
      <c r="F22" s="99"/>
      <c r="G22" s="99"/>
      <c r="H22" s="99"/>
      <c r="I22" s="100"/>
      <c r="J22" s="100"/>
      <c r="K22" s="101"/>
      <c r="L22" t="s">
        <v>226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O26" sqref="O2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369</v>
      </c>
      <c r="E1" s="132" t="s">
        <v>211</v>
      </c>
      <c r="F1" s="132" t="s">
        <v>212</v>
      </c>
      <c r="H1" s="131" t="s">
        <v>370</v>
      </c>
      <c r="I1" s="131" t="s">
        <v>29</v>
      </c>
      <c r="J1" s="131" t="s">
        <v>69</v>
      </c>
      <c r="K1" s="131" t="str">
        <f>D1</f>
        <v>N_CA</v>
      </c>
      <c r="L1" s="132" t="s">
        <v>211</v>
      </c>
      <c r="M1" s="132" t="s">
        <v>212</v>
      </c>
      <c r="O1" s="131" t="s">
        <v>370</v>
      </c>
      <c r="P1" s="131" t="s">
        <v>29</v>
      </c>
      <c r="Q1" s="131" t="s">
        <v>69</v>
      </c>
      <c r="R1" s="131" t="str">
        <f>K1</f>
        <v>N_CA</v>
      </c>
      <c r="S1" s="132" t="s">
        <v>211</v>
      </c>
      <c r="T1" s="132" t="s">
        <v>212</v>
      </c>
    </row>
    <row r="2" spans="1:20" x14ac:dyDescent="0.25">
      <c r="A2" t="str">
        <f>Plantilla!D4</f>
        <v>Cosme Fonteboa</v>
      </c>
      <c r="B2" s="29">
        <f ca="1">Plantilla!Y4+Plantilla!N4+Plantilla!J4</f>
        <v>13.062248367676188</v>
      </c>
      <c r="C2" s="29">
        <f ca="1">Plantilla!AB4+Plantilla!N4+Plantilla!J4</f>
        <v>1.8400261454539688</v>
      </c>
      <c r="D2" s="81">
        <f ca="1">(C2*2+B2)/8</f>
        <v>2.092787582323016</v>
      </c>
      <c r="E2" s="29">
        <f ca="1">D2*Plantilla!R4</f>
        <v>1.9375448082690514</v>
      </c>
      <c r="F2" s="29">
        <f ca="1">D2*Plantilla!S4</f>
        <v>2.0912921997938652</v>
      </c>
      <c r="H2" s="32" t="str">
        <f>A6</f>
        <v>Berto Abandero</v>
      </c>
      <c r="I2" s="29">
        <f t="shared" ref="I2:M2" ca="1" si="0">B6</f>
        <v>14.940607528680571</v>
      </c>
      <c r="J2" s="29">
        <f t="shared" ca="1" si="0"/>
        <v>11.898940862013905</v>
      </c>
      <c r="K2" s="81">
        <f ca="1">(J2*2+I2)/8</f>
        <v>4.8423111565885479</v>
      </c>
      <c r="L2" s="32">
        <f t="shared" ca="1" si="0"/>
        <v>4.0924998767101757</v>
      </c>
      <c r="M2" s="32">
        <f t="shared" ca="1" si="0"/>
        <v>4.4793715160238285</v>
      </c>
      <c r="O2" t="str">
        <f>A2</f>
        <v>Cosme Fonteboa</v>
      </c>
      <c r="P2" s="29">
        <f ca="1">I2</f>
        <v>14.940607528680571</v>
      </c>
      <c r="Q2" s="29">
        <f ca="1">J2</f>
        <v>11.898940862013905</v>
      </c>
      <c r="R2" s="81">
        <f ca="1">(Q2*2+P2)/8</f>
        <v>4.8423111565885479</v>
      </c>
      <c r="S2" s="32">
        <f ca="1">E2</f>
        <v>1.9375448082690514</v>
      </c>
      <c r="T2" s="32">
        <f ca="1">F2</f>
        <v>2.0912921997938652</v>
      </c>
    </row>
    <row r="3" spans="1:20" x14ac:dyDescent="0.25">
      <c r="A3" t="str">
        <f>Plantilla!D5</f>
        <v>Nicolae Hornet</v>
      </c>
      <c r="B3" s="29">
        <f ca="1">Plantilla!Y5+Plantilla!N5+Plantilla!J5</f>
        <v>5.9448373809043176</v>
      </c>
      <c r="C3" s="29">
        <f ca="1">Plantilla!AB5+Plantilla!N5+Plantilla!J5</f>
        <v>1.1948373809043173</v>
      </c>
      <c r="D3" s="81">
        <f t="shared" ref="D3:D19" ca="1" si="1">(C3*2+B3)/8</f>
        <v>1.0418140178391191</v>
      </c>
      <c r="E3" s="29">
        <f ca="1">D3*Plantilla!R5</f>
        <v>0.96453235794025594</v>
      </c>
      <c r="F3" s="29">
        <f ca="1">D3*Plantilla!S5</f>
        <v>1.0410695990103473</v>
      </c>
      <c r="H3" s="32" t="str">
        <f>A7</f>
        <v>Guillermo Pedrajas</v>
      </c>
      <c r="I3" s="29">
        <f t="shared" ref="I3:M3" ca="1" si="2">B7</f>
        <v>13.018354903260525</v>
      </c>
      <c r="J3" s="29">
        <f t="shared" ca="1" si="2"/>
        <v>10.938989823895445</v>
      </c>
      <c r="K3" s="81">
        <f t="shared" ref="K3:K6" ca="1" si="3">(J3*2+I3)/8</f>
        <v>4.3620418188814272</v>
      </c>
      <c r="L3" s="32">
        <f t="shared" ca="1" si="2"/>
        <v>3.6865982025313553</v>
      </c>
      <c r="M3" s="32">
        <f t="shared" ca="1" si="2"/>
        <v>4.0350992002273118</v>
      </c>
      <c r="O3" t="str">
        <f>A7</f>
        <v>Guillermo Pedrajas</v>
      </c>
      <c r="P3" s="29">
        <f t="shared" ref="P3:P5" ca="1" si="4">I3</f>
        <v>13.018354903260525</v>
      </c>
      <c r="Q3" s="29">
        <f t="shared" ref="Q3:Q5" ca="1" si="5">J3</f>
        <v>10.938989823895445</v>
      </c>
      <c r="R3" s="81">
        <f t="shared" ref="R3:R5" ca="1" si="6">(Q3*2+P3)/8</f>
        <v>4.3620418188814272</v>
      </c>
      <c r="S3" s="32">
        <f ca="1">E7</f>
        <v>3.6865982025313553</v>
      </c>
      <c r="T3" s="32">
        <f ca="1">F7</f>
        <v>4.0350992002273118</v>
      </c>
    </row>
    <row r="4" spans="1:20" x14ac:dyDescent="0.25">
      <c r="A4" t="str">
        <f>Plantilla!D6</f>
        <v>Miguel Fernández</v>
      </c>
      <c r="B4" s="29">
        <f ca="1">Plantilla!Y6+Plantilla!N6+Plantilla!J6</f>
        <v>16.606509802631713</v>
      </c>
      <c r="C4" s="29">
        <f ca="1">Plantilla!AB6+Plantilla!N6+Plantilla!J6</f>
        <v>7.5440098026317122</v>
      </c>
      <c r="D4" s="81">
        <f t="shared" ca="1" si="1"/>
        <v>3.9618161759868924</v>
      </c>
      <c r="E4" s="29">
        <f ca="1">D4*Plantilla!R6</f>
        <v>2.994851526232635</v>
      </c>
      <c r="F4" s="29">
        <f ca="1">D4*Plantilla!S6</f>
        <v>3.3449957759408289</v>
      </c>
      <c r="H4" t="str">
        <f>A10</f>
        <v>Will Duffill</v>
      </c>
      <c r="I4" s="29">
        <f t="shared" ref="I4:M4" ca="1" si="7">B10</f>
        <v>13.537616685033791</v>
      </c>
      <c r="J4" s="29">
        <f t="shared" ca="1" si="7"/>
        <v>9.1209500183671253</v>
      </c>
      <c r="K4" s="81">
        <f t="shared" ca="1" si="3"/>
        <v>3.972439590221005</v>
      </c>
      <c r="L4" s="32">
        <f t="shared" ca="1" si="7"/>
        <v>3.3573242213272874</v>
      </c>
      <c r="M4" s="32">
        <f t="shared" ca="1" si="7"/>
        <v>3.6746983360105667</v>
      </c>
      <c r="O4" t="str">
        <f t="shared" ref="O4" si="8">A4</f>
        <v>Miguel Fernández</v>
      </c>
      <c r="P4" s="29">
        <f t="shared" ca="1" si="4"/>
        <v>13.537616685033791</v>
      </c>
      <c r="Q4" s="29">
        <f t="shared" ca="1" si="5"/>
        <v>9.1209500183671253</v>
      </c>
      <c r="R4" s="81">
        <f t="shared" ca="1" si="6"/>
        <v>3.972439590221005</v>
      </c>
      <c r="S4" s="32">
        <f ca="1">E4</f>
        <v>2.994851526232635</v>
      </c>
      <c r="T4" s="32">
        <f ca="1">F4</f>
        <v>3.3449957759408289</v>
      </c>
    </row>
    <row r="5" spans="1:20" x14ac:dyDescent="0.25">
      <c r="A5" t="str">
        <f>Plantilla!D7</f>
        <v>Iván Real Figueroa</v>
      </c>
      <c r="B5" s="29">
        <f ca="1">Plantilla!Y7+Plantilla!N7+Plantilla!J7</f>
        <v>16.691134577600454</v>
      </c>
      <c r="C5" s="29">
        <f ca="1">Plantilla!AB7+Plantilla!N7+Plantilla!J7</f>
        <v>6.9411345776004554</v>
      </c>
      <c r="D5" s="81">
        <f t="shared" ca="1" si="1"/>
        <v>3.8216754666001709</v>
      </c>
      <c r="E5" s="29">
        <f ca="1">D5*Plantilla!R7</f>
        <v>3.5381839617860824</v>
      </c>
      <c r="F5" s="29">
        <f ca="1">D5*Plantilla!S7</f>
        <v>3.8189447227955395</v>
      </c>
      <c r="H5" s="32" t="str">
        <f>A5</f>
        <v>Iván Real Figueroa</v>
      </c>
      <c r="I5" s="29">
        <f t="shared" ref="I5:M5" ca="1" si="9">B5</f>
        <v>16.691134577600454</v>
      </c>
      <c r="J5" s="29">
        <f t="shared" ca="1" si="9"/>
        <v>6.9411345776004554</v>
      </c>
      <c r="K5" s="81">
        <f t="shared" ca="1" si="3"/>
        <v>3.8216754666001709</v>
      </c>
      <c r="L5" s="32">
        <f t="shared" ca="1" si="9"/>
        <v>3.5381839617860824</v>
      </c>
      <c r="M5" s="32">
        <f t="shared" ca="1" si="9"/>
        <v>3.8189447227955395</v>
      </c>
      <c r="O5" s="32" t="str">
        <f>H5</f>
        <v>Iván Real Figueroa</v>
      </c>
      <c r="P5" s="29">
        <f t="shared" ca="1" si="4"/>
        <v>16.691134577600454</v>
      </c>
      <c r="Q5" s="29">
        <f t="shared" ca="1" si="5"/>
        <v>6.9411345776004554</v>
      </c>
      <c r="R5" s="81">
        <f t="shared" ca="1" si="6"/>
        <v>3.8216754666001709</v>
      </c>
      <c r="S5" s="32">
        <f ca="1">L5</f>
        <v>3.5381839617860824</v>
      </c>
      <c r="T5" s="32">
        <f ca="1">M5</f>
        <v>3.8189447227955395</v>
      </c>
    </row>
    <row r="6" spans="1:20" x14ac:dyDescent="0.25">
      <c r="A6" t="str">
        <f>Plantilla!D8</f>
        <v>Berto Abandero</v>
      </c>
      <c r="B6" s="29">
        <f ca="1">Plantilla!Y8+Plantilla!N8+Plantilla!J8</f>
        <v>14.940607528680571</v>
      </c>
      <c r="C6" s="29">
        <f ca="1">Plantilla!AB8+Plantilla!N8+Plantilla!J8</f>
        <v>11.898940862013905</v>
      </c>
      <c r="D6" s="81">
        <f t="shared" ca="1" si="1"/>
        <v>4.8423111565885479</v>
      </c>
      <c r="E6" s="29">
        <f ca="1">D6*Plantilla!R8</f>
        <v>4.0924998767101757</v>
      </c>
      <c r="F6" s="29">
        <f ca="1">D6*Plantilla!S8</f>
        <v>4.4793715160238285</v>
      </c>
      <c r="H6" t="str">
        <f>A4</f>
        <v>Miguel Fernández</v>
      </c>
      <c r="I6" s="29">
        <f t="shared" ref="I6:M6" ca="1" si="10">B4</f>
        <v>16.606509802631713</v>
      </c>
      <c r="J6" s="29">
        <f t="shared" ca="1" si="10"/>
        <v>7.5440098026317122</v>
      </c>
      <c r="K6" s="81">
        <f t="shared" ca="1" si="3"/>
        <v>3.9618161759868924</v>
      </c>
      <c r="L6" s="32">
        <f t="shared" ca="1" si="10"/>
        <v>2.994851526232635</v>
      </c>
      <c r="M6" s="32">
        <f t="shared" ca="1" si="10"/>
        <v>3.3449957759408289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13.018354903260525</v>
      </c>
      <c r="C7" s="29">
        <f ca="1">Plantilla!AB9+Plantilla!N9+Plantilla!J9</f>
        <v>10.938989823895445</v>
      </c>
      <c r="D7" s="81">
        <f t="shared" ca="1" si="1"/>
        <v>4.3620418188814272</v>
      </c>
      <c r="E7" s="29">
        <f ca="1">D7*Plantilla!R9</f>
        <v>3.6865982025313553</v>
      </c>
      <c r="F7" s="29">
        <f ca="1">D7*Plantilla!S9</f>
        <v>4.0350992002273118</v>
      </c>
      <c r="K7" s="133">
        <f ca="1">SUM(K2:K6)</f>
        <v>20.960284208278043</v>
      </c>
      <c r="L7" s="133">
        <f t="shared" ref="L7:M7" ca="1" si="11">SUM(L2:L6)</f>
        <v>17.669457788587536</v>
      </c>
      <c r="M7" s="133">
        <f t="shared" ca="1" si="11"/>
        <v>19.353109550998077</v>
      </c>
      <c r="N7" s="133"/>
      <c r="O7" s="133"/>
      <c r="P7" s="133"/>
      <c r="Q7" s="133"/>
      <c r="R7" s="133">
        <f ca="1">SUM(R2:R6)</f>
        <v>16.99846803229115</v>
      </c>
      <c r="S7" s="133">
        <f t="shared" ref="S7:T7" ca="1" si="12">SUM(S2:S6)</f>
        <v>12.157178498819125</v>
      </c>
      <c r="T7" s="133">
        <f t="shared" ca="1" si="12"/>
        <v>13.290331898757545</v>
      </c>
    </row>
    <row r="8" spans="1:20" x14ac:dyDescent="0.25">
      <c r="A8">
        <f>Plantilla!D10</f>
        <v>0</v>
      </c>
      <c r="B8" s="29">
        <f ca="1">Plantilla!Y10+Plantilla!N10+Plantilla!J10</f>
        <v>13.826909210486185</v>
      </c>
      <c r="C8" s="29">
        <f ca="1">Plantilla!AB10+Plantilla!N10+Plantilla!J10</f>
        <v>10.826909210486185</v>
      </c>
      <c r="D8" s="81">
        <f t="shared" ca="1" si="1"/>
        <v>4.4350909539323196</v>
      </c>
      <c r="E8" s="29">
        <f ca="1">D8*Plantilla!R10</f>
        <v>3.7483359898238553</v>
      </c>
      <c r="F8" s="29">
        <f ca="1">D8*Plantilla!S10</f>
        <v>4.1026731755948243</v>
      </c>
      <c r="L8" s="64">
        <f ca="1">(K7-L7)/K7</f>
        <v>0.15700294838515738</v>
      </c>
      <c r="M8" s="64">
        <f ca="1">(K7-M7)/K7</f>
        <v>7.6677140505815727E-2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14.357936901981583</v>
      </c>
      <c r="C9" s="29">
        <f ca="1">Plantilla!AB11+Plantilla!N11+Plantilla!J11</f>
        <v>6.3579369019815832</v>
      </c>
      <c r="D9" s="81">
        <f t="shared" ca="1" si="1"/>
        <v>3.3842263382430939</v>
      </c>
      <c r="E9" s="29">
        <f ca="1">D9*Plantilla!R11</f>
        <v>3.3842263382430939</v>
      </c>
      <c r="F9" s="29">
        <f ca="1">D9*Plantilla!S11</f>
        <v>3.3842263382430939</v>
      </c>
    </row>
    <row r="10" spans="1:20" x14ac:dyDescent="0.25">
      <c r="A10" t="str">
        <f>Plantilla!D12</f>
        <v>Will Duffill</v>
      </c>
      <c r="B10" s="29">
        <f ca="1">Plantilla!Y12+Plantilla!N12+Plantilla!J12</f>
        <v>13.537616685033791</v>
      </c>
      <c r="C10" s="29">
        <f ca="1">Plantilla!AB12+Plantilla!N12+Plantilla!J12</f>
        <v>9.1209500183671253</v>
      </c>
      <c r="D10" s="81">
        <f t="shared" ca="1" si="1"/>
        <v>3.972439590221005</v>
      </c>
      <c r="E10" s="29">
        <f ca="1">D10*Plantilla!R12</f>
        <v>3.3573242213272874</v>
      </c>
      <c r="F10" s="29">
        <f ca="1">D10*Plantilla!S12</f>
        <v>3.6746983360105667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13.191270235314917</v>
      </c>
      <c r="C11" s="29">
        <f ca="1">Plantilla!AB13+Plantilla!N13+Plantilla!J13</f>
        <v>8.0579369019815843</v>
      </c>
      <c r="D11" s="81">
        <f t="shared" ca="1" si="1"/>
        <v>3.6633930049097607</v>
      </c>
      <c r="E11" s="29">
        <f ca="1">D11*Plantilla!R13</f>
        <v>3.3916428773116216</v>
      </c>
      <c r="F11" s="29">
        <f ca="1">D11*Plantilla!S13</f>
        <v>3.6607753604133828</v>
      </c>
    </row>
    <row r="12" spans="1:20" x14ac:dyDescent="0.25">
      <c r="A12" t="str">
        <f>Plantilla!D14</f>
        <v>Enrique Cubas</v>
      </c>
      <c r="B12" s="29">
        <f>Plantilla!Y14+Plantilla!N14+Plantilla!J14</f>
        <v>12.431960005781358</v>
      </c>
      <c r="C12" s="29">
        <f>Plantilla!AB14+Plantilla!N14+Plantilla!J14</f>
        <v>8.6319600057813588</v>
      </c>
      <c r="D12" s="81">
        <f t="shared" si="1"/>
        <v>3.7119850021680092</v>
      </c>
      <c r="E12" s="29">
        <f>D12*Plantilla!R14</f>
        <v>3.1371999180707348</v>
      </c>
      <c r="F12" s="29">
        <f>D12*Plantilla!S14</f>
        <v>3.4337652721873324</v>
      </c>
      <c r="H12" s="134" t="s">
        <v>370</v>
      </c>
      <c r="I12" s="134" t="s">
        <v>29</v>
      </c>
      <c r="J12" s="134" t="s">
        <v>69</v>
      </c>
      <c r="K12" s="135" t="s">
        <v>369</v>
      </c>
      <c r="L12" s="135" t="s">
        <v>211</v>
      </c>
      <c r="M12" s="135" t="s">
        <v>212</v>
      </c>
      <c r="O12" s="134" t="s">
        <v>370</v>
      </c>
      <c r="P12" s="134" t="s">
        <v>29</v>
      </c>
      <c r="Q12" s="134" t="s">
        <v>69</v>
      </c>
      <c r="R12" s="134" t="str">
        <f>K12</f>
        <v>N_CA</v>
      </c>
      <c r="S12" s="135" t="s">
        <v>211</v>
      </c>
      <c r="T12" s="135" t="s">
        <v>212</v>
      </c>
    </row>
    <row r="13" spans="1:20" x14ac:dyDescent="0.25">
      <c r="A13" t="str">
        <f>Plantilla!D15</f>
        <v>J. G. Peñuela</v>
      </c>
      <c r="B13" s="29">
        <f ca="1">Plantilla!Y15+Plantilla!N15+Plantilla!J15</f>
        <v>12.219624607439449</v>
      </c>
      <c r="C13" s="29">
        <f ca="1">Plantilla!AB15+Plantilla!N15+Plantilla!J15</f>
        <v>7.0946246074394486</v>
      </c>
      <c r="D13" s="81">
        <f t="shared" ca="1" si="1"/>
        <v>3.3011092277897935</v>
      </c>
      <c r="E13" s="29">
        <f ca="1">D13*Plantilla!R15</f>
        <v>2.7899465091901119</v>
      </c>
      <c r="F13" s="29">
        <f ca="1">D13*Plantilla!S15</f>
        <v>3.0536853514928848</v>
      </c>
      <c r="H13" s="32" t="str">
        <f>H2</f>
        <v>Berto Abandero</v>
      </c>
      <c r="I13" s="29">
        <f ca="1">I2</f>
        <v>14.940607528680571</v>
      </c>
      <c r="J13" s="29">
        <f ca="1">J2</f>
        <v>11.898940862013905</v>
      </c>
      <c r="K13" s="81">
        <f ca="1">(J13*2+I13)/8</f>
        <v>4.8423111565885479</v>
      </c>
      <c r="L13" s="32">
        <f ca="1">K13*(1-$L$8)</f>
        <v>4.0820540280058042</v>
      </c>
      <c r="M13" s="32">
        <f ca="1">K13*(1-$M$8)</f>
        <v>4.4710165836619282</v>
      </c>
      <c r="O13" s="32" t="str">
        <f>H13</f>
        <v>Berto Abandero</v>
      </c>
      <c r="P13" s="32">
        <f t="shared" ref="P13:Q13" ca="1" si="13">I13</f>
        <v>14.940607528680571</v>
      </c>
      <c r="Q13" s="32">
        <f t="shared" ca="1" si="13"/>
        <v>11.898940862013905</v>
      </c>
      <c r="R13" s="81">
        <f ca="1">(Q13*2+P13)/8</f>
        <v>4.8423111565885479</v>
      </c>
      <c r="S13" s="32">
        <f ca="1">L13</f>
        <v>4.0820540280058042</v>
      </c>
      <c r="T13" s="32">
        <f ca="1">M13</f>
        <v>4.4710165836619282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10.795877412172965</v>
      </c>
      <c r="C14" s="29">
        <f ca="1">Plantilla!AB16+Plantilla!N16+Plantilla!J16</f>
        <v>8.7918209747831941</v>
      </c>
      <c r="D14" s="81">
        <f t="shared" ca="1" si="1"/>
        <v>3.5474399202174194</v>
      </c>
      <c r="E14" s="29">
        <f ca="1">D14*Plantilla!R16</f>
        <v>3.284291180872823</v>
      </c>
      <c r="F14" s="29">
        <f ca="1">D14*Plantilla!S16</f>
        <v>3.5449051289539808</v>
      </c>
      <c r="H14" s="32" t="str">
        <f t="shared" ref="H14:I17" si="14">H3</f>
        <v>Guillermo Pedrajas</v>
      </c>
      <c r="I14" s="29">
        <f t="shared" ca="1" si="14"/>
        <v>13.018354903260525</v>
      </c>
      <c r="J14" s="29">
        <f t="shared" ref="J14:J17" ca="1" si="15">J3</f>
        <v>10.938989823895445</v>
      </c>
      <c r="K14" s="81">
        <f t="shared" ref="K14:K17" ca="1" si="16">(J14*2+I14)/8</f>
        <v>4.3620418188814272</v>
      </c>
      <c r="L14" s="32">
        <f t="shared" ref="L14:L17" ca="1" si="17">K14*(1-$L$8)</f>
        <v>3.6771883923376882</v>
      </c>
      <c r="M14" s="32">
        <f t="shared" ref="M14:M17" ca="1" si="18">K14*(1-$M$8)</f>
        <v>4.0275729254428114</v>
      </c>
      <c r="O14" s="32" t="str">
        <f t="shared" ref="O14:O16" si="19">H14</f>
        <v>Guillermo Pedrajas</v>
      </c>
      <c r="P14" s="32">
        <f t="shared" ref="P14:P16" ca="1" si="20">I14</f>
        <v>13.018354903260525</v>
      </c>
      <c r="Q14" s="32">
        <f t="shared" ref="Q14:Q16" ca="1" si="21">J14</f>
        <v>10.938989823895445</v>
      </c>
      <c r="R14" s="81">
        <f t="shared" ref="R14:R16" ca="1" si="22">(Q14*2+P14)/8</f>
        <v>4.3620418188814272</v>
      </c>
      <c r="S14" s="32">
        <f t="shared" ref="S14:S16" ca="1" si="23">L14</f>
        <v>3.6771883923376882</v>
      </c>
      <c r="T14" s="32">
        <f t="shared" ref="T14:T16" ca="1" si="24">M14</f>
        <v>4.0275729254428114</v>
      </c>
    </row>
    <row r="15" spans="1:20" x14ac:dyDescent="0.25">
      <c r="A15" t="str">
        <f>Plantilla!D17</f>
        <v>Fabien Fabre</v>
      </c>
      <c r="B15" s="29">
        <f ca="1">Plantilla!Y17+Plantilla!N17+Plantilla!J17</f>
        <v>7.8400261454539688</v>
      </c>
      <c r="C15" s="29">
        <f ca="1">Plantilla!AB17+Plantilla!N17+Plantilla!J17</f>
        <v>5.8816928121206358</v>
      </c>
      <c r="D15" s="81">
        <f t="shared" ca="1" si="1"/>
        <v>2.4504264712119053</v>
      </c>
      <c r="E15" s="29">
        <f ca="1">D15*Plantilla!R17</f>
        <v>2.2686540800627073</v>
      </c>
      <c r="F15" s="29">
        <f ca="1">D15*Plantilla!S17</f>
        <v>2.4486755410339121</v>
      </c>
      <c r="H15" s="32" t="str">
        <f t="shared" si="14"/>
        <v>Will Duffill</v>
      </c>
      <c r="I15" s="29">
        <f t="shared" ca="1" si="14"/>
        <v>13.537616685033791</v>
      </c>
      <c r="J15" s="29">
        <f t="shared" ca="1" si="15"/>
        <v>9.1209500183671253</v>
      </c>
      <c r="K15" s="81">
        <f t="shared" ca="1" si="16"/>
        <v>3.972439590221005</v>
      </c>
      <c r="L15" s="32">
        <f t="shared" ca="1" si="17"/>
        <v>3.3487548622743808</v>
      </c>
      <c r="M15" s="32">
        <f t="shared" ca="1" si="18"/>
        <v>3.6678442816107637</v>
      </c>
      <c r="O15" s="32" t="str">
        <f t="shared" si="19"/>
        <v>Will Duffill</v>
      </c>
      <c r="P15" s="32">
        <f t="shared" ca="1" si="20"/>
        <v>13.537616685033791</v>
      </c>
      <c r="Q15" s="32">
        <f t="shared" ca="1" si="21"/>
        <v>9.1209500183671253</v>
      </c>
      <c r="R15" s="81">
        <f t="shared" ca="1" si="22"/>
        <v>3.972439590221005</v>
      </c>
      <c r="S15" s="32">
        <f t="shared" ca="1" si="23"/>
        <v>3.3487548622743808</v>
      </c>
      <c r="T15" s="32">
        <f t="shared" ca="1" si="24"/>
        <v>3.6678442816107637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1">
        <f t="shared" ca="1" si="1"/>
        <v>2.2145950043360187</v>
      </c>
      <c r="E16" s="29">
        <f ca="1">D16*Plantilla!R18</f>
        <v>1.4497927487201232</v>
      </c>
      <c r="F16" s="29">
        <f ca="1">D16*Plantilla!S18</f>
        <v>1.671982562391465</v>
      </c>
      <c r="H16" s="32" t="str">
        <f t="shared" si="14"/>
        <v>Iván Real Figueroa</v>
      </c>
      <c r="I16" s="29">
        <f t="shared" ca="1" si="14"/>
        <v>16.691134577600454</v>
      </c>
      <c r="J16" s="29">
        <f t="shared" ca="1" si="15"/>
        <v>6.9411345776004554</v>
      </c>
      <c r="K16" s="81">
        <f t="shared" ca="1" si="16"/>
        <v>3.8216754666001709</v>
      </c>
      <c r="L16" s="32">
        <f t="shared" ca="1" si="17"/>
        <v>3.221661150572722</v>
      </c>
      <c r="M16" s="32">
        <f t="shared" ca="1" si="18"/>
        <v>3.5286403198800405</v>
      </c>
      <c r="O16" s="32" t="str">
        <f t="shared" si="19"/>
        <v>Iván Real Figueroa</v>
      </c>
      <c r="P16" s="32">
        <f t="shared" ca="1" si="20"/>
        <v>16.691134577600454</v>
      </c>
      <c r="Q16" s="32">
        <f t="shared" ca="1" si="21"/>
        <v>6.9411345776004554</v>
      </c>
      <c r="R16" s="81">
        <f t="shared" ca="1" si="22"/>
        <v>3.8216754666001709</v>
      </c>
      <c r="S16" s="32">
        <f t="shared" ca="1" si="23"/>
        <v>3.221661150572722</v>
      </c>
      <c r="T16" s="32">
        <f t="shared" ca="1" si="24"/>
        <v>3.5286403198800405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2.4139789591221312</v>
      </c>
      <c r="C17" s="29">
        <f ca="1">Plantilla!AB19+Plantilla!N19+Plantilla!J19</f>
        <v>8.4139789591221312</v>
      </c>
      <c r="D17" s="81">
        <f t="shared" ca="1" si="1"/>
        <v>2.405242109670799</v>
      </c>
      <c r="E17" s="29">
        <f ca="1">D17*Plantilla!R19</f>
        <v>1.8181921328826507</v>
      </c>
      <c r="F17" s="29">
        <f ca="1">D17*Plantilla!S19</f>
        <v>2.0307667846198547</v>
      </c>
      <c r="H17" s="32" t="str">
        <f t="shared" si="14"/>
        <v>Miguel Fernández</v>
      </c>
      <c r="I17" s="29">
        <f t="shared" ca="1" si="14"/>
        <v>16.606509802631713</v>
      </c>
      <c r="J17" s="29">
        <f t="shared" ca="1" si="15"/>
        <v>7.5440098026317122</v>
      </c>
      <c r="K17" s="81">
        <f t="shared" ca="1" si="16"/>
        <v>3.9618161759868924</v>
      </c>
      <c r="L17" s="32">
        <f t="shared" ca="1" si="17"/>
        <v>3.3397993553969409</v>
      </c>
      <c r="M17" s="32">
        <f t="shared" ca="1" si="18"/>
        <v>3.6580354404025317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7.9789458612765731</v>
      </c>
      <c r="C18" s="29">
        <f ca="1">Plantilla!AB20+Plantilla!N20+Plantilla!J20</f>
        <v>11.090056972387684</v>
      </c>
      <c r="D18" s="81">
        <f t="shared" ca="1" si="1"/>
        <v>3.7698824757564928</v>
      </c>
      <c r="E18" s="29">
        <f ca="1">D18*Plantilla!R20</f>
        <v>3.4902329698356693</v>
      </c>
      <c r="F18" s="29">
        <f ca="1">D18*Plantilla!S20</f>
        <v>3.7671887401672648</v>
      </c>
      <c r="K18" s="133">
        <f ca="1">SUM(K13:K17)</f>
        <v>20.960284208278043</v>
      </c>
      <c r="L18" s="133">
        <f t="shared" ref="L18:M18" ca="1" si="25">SUM(L13:L17)</f>
        <v>17.669457788587536</v>
      </c>
      <c r="M18" s="133">
        <f t="shared" ca="1" si="25"/>
        <v>19.353109550998074</v>
      </c>
      <c r="N18" s="133"/>
      <c r="O18" s="133"/>
      <c r="P18" s="133"/>
      <c r="Q18" s="133"/>
      <c r="R18" s="133">
        <f ca="1">SUM(R13:R17)</f>
        <v>16.99846803229115</v>
      </c>
      <c r="S18" s="133">
        <f t="shared" ref="S18:T18" ca="1" si="26">SUM(S13:S17)</f>
        <v>14.329658433190595</v>
      </c>
      <c r="T18" s="133">
        <f t="shared" ca="1" si="26"/>
        <v>15.695074110595543</v>
      </c>
    </row>
    <row r="19" spans="1:20" x14ac:dyDescent="0.25">
      <c r="A19" t="str">
        <f>Plantilla!D21</f>
        <v>Leo Hilpinen</v>
      </c>
      <c r="B19" s="29">
        <f ca="1">Plantilla!Y21+Plantilla!N21+Plantilla!J21</f>
        <v>6.53821698777364</v>
      </c>
      <c r="C19" s="29">
        <f ca="1">Plantilla!AB21+Plantilla!N21+Plantilla!J21</f>
        <v>10.681074130630781</v>
      </c>
      <c r="D19" s="81">
        <f t="shared" ca="1" si="1"/>
        <v>3.4875456561294005</v>
      </c>
      <c r="E19" s="29">
        <f ca="1">D19*Plantilla!R21</f>
        <v>3.2288398673190497</v>
      </c>
      <c r="F19" s="29">
        <f ca="1">D19*Plantilla!S21</f>
        <v>3.4850536617732399</v>
      </c>
    </row>
    <row r="20" spans="1:20" x14ac:dyDescent="0.25">
      <c r="B20" s="29"/>
      <c r="C20" s="29"/>
      <c r="D20" s="81"/>
      <c r="E20" s="29"/>
      <c r="F20" s="29"/>
    </row>
    <row r="21" spans="1:20" x14ac:dyDescent="0.25">
      <c r="B21" s="29"/>
      <c r="C21" s="29"/>
      <c r="D21" s="81"/>
      <c r="E21" s="29"/>
      <c r="F21" s="29"/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53"/>
  <sheetViews>
    <sheetView zoomScale="90" zoomScaleNormal="90" workbookViewId="0">
      <selection activeCell="N11" sqref="N11"/>
    </sheetView>
  </sheetViews>
  <sheetFormatPr baseColWidth="10" defaultRowHeight="15" x14ac:dyDescent="0.25"/>
  <cols>
    <col min="1" max="1" width="12.5703125" style="130" customWidth="1"/>
    <col min="2" max="2" width="17.710937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378</v>
      </c>
      <c r="B1" s="48" t="s">
        <v>379</v>
      </c>
      <c r="C1" s="48" t="s">
        <v>380</v>
      </c>
      <c r="D1" s="48" t="s">
        <v>384</v>
      </c>
      <c r="E1" s="48" t="s">
        <v>385</v>
      </c>
      <c r="F1" s="48" t="s">
        <v>381</v>
      </c>
      <c r="G1" s="48" t="s">
        <v>382</v>
      </c>
      <c r="H1" s="48" t="s">
        <v>383</v>
      </c>
      <c r="J1" s="432" t="s">
        <v>675</v>
      </c>
      <c r="K1" t="s">
        <v>683</v>
      </c>
      <c r="L1" t="s">
        <v>677</v>
      </c>
      <c r="M1" t="s">
        <v>678</v>
      </c>
      <c r="N1" s="130" t="s">
        <v>89</v>
      </c>
    </row>
    <row r="2" spans="1:14" x14ac:dyDescent="0.25">
      <c r="A2" s="146">
        <v>43670</v>
      </c>
      <c r="B2" s="148" t="s">
        <v>386</v>
      </c>
      <c r="C2" s="130" t="s">
        <v>686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689</v>
      </c>
      <c r="C3" s="148" t="s">
        <v>386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>G3/F3</f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9" si="0">M3/L3</f>
        <v>0.33333333333333331</v>
      </c>
    </row>
    <row r="4" spans="1:14" x14ac:dyDescent="0.25">
      <c r="A4" s="146">
        <v>43684</v>
      </c>
      <c r="B4" s="130" t="s">
        <v>719</v>
      </c>
      <c r="C4" s="148" t="s">
        <v>386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>G4/F4</f>
        <v>0.44444444444444442</v>
      </c>
      <c r="J4" s="433">
        <v>16</v>
      </c>
      <c r="K4" s="434">
        <v>19</v>
      </c>
      <c r="L4" s="434">
        <v>119</v>
      </c>
      <c r="M4" s="434">
        <v>47</v>
      </c>
      <c r="N4" s="65">
        <f t="shared" si="0"/>
        <v>0.3949579831932773</v>
      </c>
    </row>
    <row r="5" spans="1:14" x14ac:dyDescent="0.25">
      <c r="A5" s="146">
        <v>43691</v>
      </c>
      <c r="B5" s="130" t="s">
        <v>721</v>
      </c>
      <c r="C5" s="148" t="s">
        <v>386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>G5/F5</f>
        <v>0.33333333333333331</v>
      </c>
      <c r="J5" s="433">
        <v>17</v>
      </c>
      <c r="K5" s="434">
        <v>13</v>
      </c>
      <c r="L5" s="434">
        <v>92</v>
      </c>
      <c r="M5" s="434">
        <v>35</v>
      </c>
      <c r="N5" s="65">
        <f t="shared" si="0"/>
        <v>0.38043478260869568</v>
      </c>
    </row>
    <row r="6" spans="1:14" x14ac:dyDescent="0.25">
      <c r="A6" s="448">
        <v>43680</v>
      </c>
      <c r="B6" s="148" t="s">
        <v>386</v>
      </c>
      <c r="C6" s="436" t="s">
        <v>694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>G6/F6</f>
        <v>0.25</v>
      </c>
      <c r="J6" s="433">
        <v>18</v>
      </c>
      <c r="K6" s="434">
        <v>10</v>
      </c>
      <c r="L6" s="434">
        <v>65</v>
      </c>
      <c r="M6" s="434">
        <v>20</v>
      </c>
      <c r="N6" s="65">
        <f t="shared" si="0"/>
        <v>0.30769230769230771</v>
      </c>
    </row>
    <row r="7" spans="1:14" x14ac:dyDescent="0.25">
      <c r="A7" s="146">
        <v>43677</v>
      </c>
      <c r="B7" s="148" t="s">
        <v>700</v>
      </c>
      <c r="C7" s="148" t="s">
        <v>386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>G7/F7</f>
        <v>0.42857142857142855</v>
      </c>
      <c r="J7" s="433">
        <v>19</v>
      </c>
      <c r="K7" s="434">
        <v>3</v>
      </c>
      <c r="L7" s="434">
        <v>26</v>
      </c>
      <c r="M7" s="434">
        <v>12</v>
      </c>
      <c r="N7" s="65">
        <f t="shared" si="0"/>
        <v>0.46153846153846156</v>
      </c>
    </row>
    <row r="8" spans="1:14" x14ac:dyDescent="0.25">
      <c r="A8" s="146">
        <v>43642</v>
      </c>
      <c r="B8" s="148" t="s">
        <v>386</v>
      </c>
      <c r="C8" s="130" t="s">
        <v>387</v>
      </c>
      <c r="D8" s="130">
        <v>16</v>
      </c>
      <c r="E8" s="34">
        <f>(15+10+14+14+11+10+13+14+13+10+10)/11</f>
        <v>12.181818181818182</v>
      </c>
      <c r="F8" s="130">
        <v>9</v>
      </c>
      <c r="G8" s="130">
        <v>3</v>
      </c>
      <c r="H8" s="147">
        <f>G8/F8</f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0"/>
        <v>0.5</v>
      </c>
    </row>
    <row r="9" spans="1:14" x14ac:dyDescent="0.25">
      <c r="A9" s="146">
        <v>43641</v>
      </c>
      <c r="B9" s="130" t="s">
        <v>390</v>
      </c>
      <c r="C9" s="148" t="s">
        <v>386</v>
      </c>
      <c r="D9" s="130">
        <v>16</v>
      </c>
      <c r="E9" s="34">
        <f>(15+10+14+14+11+10+13+14+13+10+10)/11</f>
        <v>12.181818181818182</v>
      </c>
      <c r="F9" s="130">
        <v>6</v>
      </c>
      <c r="G9" s="130">
        <v>2</v>
      </c>
      <c r="H9" s="147">
        <f>G9/F9</f>
        <v>0.33333333333333331</v>
      </c>
      <c r="J9" s="433" t="s">
        <v>676</v>
      </c>
      <c r="K9" s="434">
        <v>52</v>
      </c>
      <c r="L9" s="434">
        <v>351</v>
      </c>
      <c r="M9" s="434">
        <v>133</v>
      </c>
      <c r="N9" s="65"/>
    </row>
    <row r="10" spans="1:14" x14ac:dyDescent="0.25">
      <c r="A10" s="146">
        <v>43641</v>
      </c>
      <c r="B10" s="148" t="s">
        <v>386</v>
      </c>
      <c r="C10" s="130" t="s">
        <v>391</v>
      </c>
      <c r="D10" s="130">
        <v>16</v>
      </c>
      <c r="E10" s="34">
        <f>(15+10+14+14+11+10+13+14+13+10+10)/11</f>
        <v>12.181818181818182</v>
      </c>
      <c r="F10" s="130">
        <v>4</v>
      </c>
      <c r="G10" s="130">
        <v>2</v>
      </c>
      <c r="H10" s="147">
        <f>G10/F10</f>
        <v>0.5</v>
      </c>
    </row>
    <row r="11" spans="1:14" x14ac:dyDescent="0.25">
      <c r="A11" s="146">
        <v>43640</v>
      </c>
      <c r="B11" s="130" t="s">
        <v>392</v>
      </c>
      <c r="C11" s="148" t="s">
        <v>386</v>
      </c>
      <c r="D11" s="130">
        <v>16</v>
      </c>
      <c r="E11" s="34">
        <f>(15+10+14+14+11+10+13+14+13+10+10)/11</f>
        <v>12.181818181818182</v>
      </c>
      <c r="F11" s="130">
        <v>3</v>
      </c>
      <c r="G11" s="130">
        <v>2</v>
      </c>
      <c r="H11" s="147">
        <f>G11/F11</f>
        <v>0.66666666666666663</v>
      </c>
      <c r="I11" s="34"/>
    </row>
    <row r="12" spans="1:14" x14ac:dyDescent="0.25">
      <c r="A12" s="146">
        <v>43636</v>
      </c>
      <c r="B12" s="130" t="s">
        <v>394</v>
      </c>
      <c r="C12" s="148" t="s">
        <v>386</v>
      </c>
      <c r="D12" s="130">
        <v>16</v>
      </c>
      <c r="E12" s="34">
        <f>(15+10+14+14+11+10+13+14+13+10+10)/11</f>
        <v>12.181818181818182</v>
      </c>
      <c r="F12" s="130">
        <v>9</v>
      </c>
      <c r="G12" s="130">
        <v>2</v>
      </c>
      <c r="H12" s="147">
        <f>G12/F12</f>
        <v>0.22222222222222221</v>
      </c>
    </row>
    <row r="13" spans="1:14" x14ac:dyDescent="0.25">
      <c r="A13" s="146">
        <v>43635</v>
      </c>
      <c r="B13" s="148" t="s">
        <v>386</v>
      </c>
      <c r="C13" s="130" t="s">
        <v>395</v>
      </c>
      <c r="D13" s="130">
        <v>16</v>
      </c>
      <c r="E13" s="34">
        <f>(15+10+14+14+11+10+13+14+13+10+10)/11</f>
        <v>12.181818181818182</v>
      </c>
      <c r="F13" s="130">
        <v>7</v>
      </c>
      <c r="G13" s="130">
        <v>2</v>
      </c>
      <c r="H13" s="147">
        <f>G13/F13</f>
        <v>0.2857142857142857</v>
      </c>
    </row>
    <row r="14" spans="1:14" x14ac:dyDescent="0.25">
      <c r="A14" s="146">
        <v>43635</v>
      </c>
      <c r="B14" s="148" t="s">
        <v>386</v>
      </c>
      <c r="C14" s="130" t="s">
        <v>396</v>
      </c>
      <c r="D14" s="130">
        <v>16</v>
      </c>
      <c r="E14" s="34">
        <f>(15+10+14+14+11+10+13+14+13+10+10)/11</f>
        <v>12.181818181818182</v>
      </c>
      <c r="F14" s="130">
        <v>5</v>
      </c>
      <c r="G14" s="130">
        <v>2</v>
      </c>
      <c r="H14" s="147">
        <f>G14/F14</f>
        <v>0.4</v>
      </c>
    </row>
    <row r="15" spans="1:14" x14ac:dyDescent="0.25">
      <c r="A15" s="146">
        <v>43634</v>
      </c>
      <c r="B15" s="130" t="s">
        <v>397</v>
      </c>
      <c r="C15" s="148" t="s">
        <v>386</v>
      </c>
      <c r="D15" s="436">
        <v>16</v>
      </c>
      <c r="E15" s="34">
        <f>(15+10+14+14+11+10+13+14+13+10+10)/11</f>
        <v>12.181818181818182</v>
      </c>
      <c r="F15" s="436">
        <v>9</v>
      </c>
      <c r="G15" s="436">
        <v>3</v>
      </c>
      <c r="H15" s="438">
        <f>G15/F15</f>
        <v>0.33333333333333331</v>
      </c>
    </row>
    <row r="16" spans="1:14" x14ac:dyDescent="0.25">
      <c r="A16" s="146">
        <v>43634</v>
      </c>
      <c r="B16" s="130" t="s">
        <v>398</v>
      </c>
      <c r="C16" s="148" t="s">
        <v>386</v>
      </c>
      <c r="D16" s="130">
        <v>16</v>
      </c>
      <c r="E16" s="34">
        <f>(15+10+14+14+11+10+13+14+13+10+10)/11</f>
        <v>12.181818181818182</v>
      </c>
      <c r="F16" s="130">
        <v>6</v>
      </c>
      <c r="G16" s="130">
        <v>2</v>
      </c>
      <c r="H16" s="147">
        <f>G16/F16</f>
        <v>0.33333333333333331</v>
      </c>
    </row>
    <row r="17" spans="1:8" x14ac:dyDescent="0.25">
      <c r="A17" s="146">
        <v>43633</v>
      </c>
      <c r="B17" s="148" t="s">
        <v>386</v>
      </c>
      <c r="C17" s="130" t="s">
        <v>399</v>
      </c>
      <c r="D17" s="436">
        <v>16</v>
      </c>
      <c r="E17" s="34">
        <f>(15+10+14+14+11+10+13+14+13+10+10)/11</f>
        <v>12.181818181818182</v>
      </c>
      <c r="F17" s="436">
        <v>10</v>
      </c>
      <c r="G17" s="436">
        <v>3</v>
      </c>
      <c r="H17" s="438">
        <f>G17/F17</f>
        <v>0.3</v>
      </c>
    </row>
    <row r="18" spans="1:8" x14ac:dyDescent="0.25">
      <c r="A18" s="146">
        <v>43633</v>
      </c>
      <c r="B18" s="148" t="s">
        <v>386</v>
      </c>
      <c r="C18" s="130" t="s">
        <v>400</v>
      </c>
      <c r="D18" s="436">
        <v>16</v>
      </c>
      <c r="E18" s="34">
        <f>(15+10+14+14+11+10+13+14+13+10+10)/11</f>
        <v>12.181818181818182</v>
      </c>
      <c r="F18" s="436">
        <v>7</v>
      </c>
      <c r="G18" s="436">
        <v>3</v>
      </c>
      <c r="H18" s="438">
        <f>G18/F18</f>
        <v>0.42857142857142855</v>
      </c>
    </row>
    <row r="19" spans="1:8" x14ac:dyDescent="0.25">
      <c r="A19" s="146">
        <v>43624</v>
      </c>
      <c r="B19" s="148" t="s">
        <v>401</v>
      </c>
      <c r="C19" s="148" t="s">
        <v>386</v>
      </c>
      <c r="D19" s="436">
        <v>16</v>
      </c>
      <c r="E19" s="34">
        <f>(15+10+14+14+11+10+13+14+13+10+10)/11</f>
        <v>12.181818181818182</v>
      </c>
      <c r="F19" s="436">
        <v>4</v>
      </c>
      <c r="G19" s="436">
        <v>2</v>
      </c>
      <c r="H19" s="437">
        <f>G19/F19</f>
        <v>0.5</v>
      </c>
    </row>
    <row r="20" spans="1:8" x14ac:dyDescent="0.25">
      <c r="A20" s="146">
        <v>43617</v>
      </c>
      <c r="B20" s="130" t="s">
        <v>402</v>
      </c>
      <c r="C20" s="148" t="s">
        <v>386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>G20/F20</f>
        <v>0.6</v>
      </c>
    </row>
    <row r="21" spans="1:8" x14ac:dyDescent="0.25">
      <c r="A21" s="146">
        <v>43615</v>
      </c>
      <c r="B21" s="148" t="s">
        <v>386</v>
      </c>
      <c r="C21" s="148" t="s">
        <v>690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>G21/F21</f>
        <v>0.44444444444444442</v>
      </c>
    </row>
    <row r="22" spans="1:8" x14ac:dyDescent="0.25">
      <c r="A22" s="146">
        <v>43610</v>
      </c>
      <c r="B22" s="148" t="s">
        <v>386</v>
      </c>
      <c r="C22" s="148" t="s">
        <v>691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>G22/F22</f>
        <v>0.6</v>
      </c>
    </row>
    <row r="23" spans="1:8" x14ac:dyDescent="0.25">
      <c r="A23" s="146">
        <v>43602</v>
      </c>
      <c r="B23" s="436" t="s">
        <v>693</v>
      </c>
      <c r="C23" s="148" t="s">
        <v>386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>G23/F23</f>
        <v>0.5</v>
      </c>
    </row>
    <row r="24" spans="1:8" x14ac:dyDescent="0.25">
      <c r="A24" s="146">
        <v>43550</v>
      </c>
      <c r="B24" s="436" t="s">
        <v>696</v>
      </c>
      <c r="C24" s="148" t="s">
        <v>386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>G24/F24</f>
        <v>0.5</v>
      </c>
    </row>
    <row r="25" spans="1:8" x14ac:dyDescent="0.25">
      <c r="A25" s="146">
        <v>43644</v>
      </c>
      <c r="B25" s="148" t="s">
        <v>386</v>
      </c>
      <c r="C25" s="130" t="s">
        <v>669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>G25/F25</f>
        <v>0.4</v>
      </c>
    </row>
    <row r="26" spans="1:8" x14ac:dyDescent="0.25">
      <c r="A26" s="146">
        <v>43643</v>
      </c>
      <c r="B26" s="130" t="s">
        <v>403</v>
      </c>
      <c r="C26" s="148" t="s">
        <v>386</v>
      </c>
      <c r="D26" s="130">
        <v>17</v>
      </c>
      <c r="E26" s="34">
        <f>(15+10+14+14+11+10+13+14+13+10+10)/11</f>
        <v>12.181818181818182</v>
      </c>
      <c r="F26" s="130">
        <v>4</v>
      </c>
      <c r="G26" s="130">
        <v>2</v>
      </c>
      <c r="H26" s="43">
        <f>G26/F26</f>
        <v>0.5</v>
      </c>
    </row>
    <row r="27" spans="1:8" x14ac:dyDescent="0.25">
      <c r="A27" s="146">
        <v>43643</v>
      </c>
      <c r="B27" s="148" t="s">
        <v>386</v>
      </c>
      <c r="C27" s="130" t="s">
        <v>404</v>
      </c>
      <c r="D27" s="130">
        <v>17</v>
      </c>
      <c r="E27" s="34">
        <f>(15+10+14+14+11+10+13+14+13+10+10)/11</f>
        <v>12.181818181818182</v>
      </c>
      <c r="F27" s="130">
        <v>6</v>
      </c>
      <c r="G27" s="130">
        <v>1</v>
      </c>
      <c r="H27" s="43">
        <f>G27/F27</f>
        <v>0.16666666666666666</v>
      </c>
    </row>
    <row r="28" spans="1:8" x14ac:dyDescent="0.25">
      <c r="A28" s="146">
        <v>43643</v>
      </c>
      <c r="B28" s="130" t="s">
        <v>405</v>
      </c>
      <c r="C28" s="148" t="s">
        <v>386</v>
      </c>
      <c r="D28" s="130">
        <v>17</v>
      </c>
      <c r="E28" s="34">
        <f>(15+10+14+14+11+10+13+14+13+10+10)/11</f>
        <v>12.181818181818182</v>
      </c>
      <c r="F28" s="130">
        <v>7</v>
      </c>
      <c r="G28" s="130">
        <v>3</v>
      </c>
      <c r="H28" s="43">
        <f>G28/F28</f>
        <v>0.42857142857142855</v>
      </c>
    </row>
    <row r="29" spans="1:8" x14ac:dyDescent="0.25">
      <c r="A29" s="146">
        <v>43642</v>
      </c>
      <c r="B29" s="130" t="s">
        <v>388</v>
      </c>
      <c r="C29" s="148" t="s">
        <v>386</v>
      </c>
      <c r="D29" s="130">
        <v>17</v>
      </c>
      <c r="E29" s="34">
        <f>(15+10+14+14+11+10+13+14+13+10+10)/11</f>
        <v>12.181818181818182</v>
      </c>
      <c r="F29" s="130">
        <v>7</v>
      </c>
      <c r="G29" s="130">
        <v>1</v>
      </c>
      <c r="H29" s="147">
        <f>G29/F29</f>
        <v>0.14285714285714285</v>
      </c>
    </row>
    <row r="30" spans="1:8" x14ac:dyDescent="0.25">
      <c r="A30" s="146">
        <v>43641</v>
      </c>
      <c r="B30" s="148" t="s">
        <v>386</v>
      </c>
      <c r="C30" s="130" t="s">
        <v>389</v>
      </c>
      <c r="D30" s="130">
        <v>17</v>
      </c>
      <c r="E30" s="34">
        <f>(15+10+14+14+11+10+13+14+13+10+10)/11</f>
        <v>12.181818181818182</v>
      </c>
      <c r="F30" s="130">
        <v>8</v>
      </c>
      <c r="G30" s="130">
        <v>3</v>
      </c>
      <c r="H30" s="147">
        <f>G30/F30</f>
        <v>0.375</v>
      </c>
    </row>
    <row r="31" spans="1:8" x14ac:dyDescent="0.25">
      <c r="A31" s="146">
        <v>43636</v>
      </c>
      <c r="B31" s="130" t="s">
        <v>393</v>
      </c>
      <c r="C31" s="148" t="s">
        <v>386</v>
      </c>
      <c r="D31" s="130">
        <v>17</v>
      </c>
      <c r="E31" s="34">
        <f>(15+10+14+14+11+10+13+14+13+10+10)/11</f>
        <v>12.181818181818182</v>
      </c>
      <c r="F31" s="130">
        <v>8</v>
      </c>
      <c r="G31" s="130">
        <v>3</v>
      </c>
      <c r="H31" s="147">
        <f>G31/F31</f>
        <v>0.375</v>
      </c>
    </row>
    <row r="32" spans="1:8" x14ac:dyDescent="0.25">
      <c r="A32" s="146">
        <v>43603</v>
      </c>
      <c r="B32" s="436" t="s">
        <v>692</v>
      </c>
      <c r="C32" s="148" t="s">
        <v>386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>G32/F32</f>
        <v>0.55555555555555558</v>
      </c>
    </row>
    <row r="33" spans="1:8" x14ac:dyDescent="0.25">
      <c r="A33" s="146">
        <v>43596</v>
      </c>
      <c r="B33" s="148" t="s">
        <v>386</v>
      </c>
      <c r="C33" s="148" t="s">
        <v>694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>G33/F33</f>
        <v>0.16666666666666666</v>
      </c>
    </row>
    <row r="34" spans="1:8" x14ac:dyDescent="0.25">
      <c r="A34" s="146">
        <v>43589</v>
      </c>
      <c r="B34" s="436" t="s">
        <v>695</v>
      </c>
      <c r="C34" s="148" t="s">
        <v>386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>G34/F34</f>
        <v>0.5</v>
      </c>
    </row>
    <row r="35" spans="1:8" x14ac:dyDescent="0.25">
      <c r="A35" s="146">
        <v>43547</v>
      </c>
      <c r="B35" s="148" t="s">
        <v>386</v>
      </c>
      <c r="C35" s="148" t="s">
        <v>401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>G35/F35</f>
        <v>0.2</v>
      </c>
    </row>
    <row r="36" spans="1:8" x14ac:dyDescent="0.25">
      <c r="A36" s="146">
        <v>43540</v>
      </c>
      <c r="B36" s="436" t="s">
        <v>697</v>
      </c>
      <c r="C36" s="148" t="s">
        <v>386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>G36/F36</f>
        <v>0.42857142857142855</v>
      </c>
    </row>
    <row r="37" spans="1:8" x14ac:dyDescent="0.25">
      <c r="A37" s="146">
        <v>43537</v>
      </c>
      <c r="B37" s="436" t="s">
        <v>698</v>
      </c>
      <c r="C37" s="148" t="s">
        <v>386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>G37/F37</f>
        <v>0.5714285714285714</v>
      </c>
    </row>
    <row r="38" spans="1:8" x14ac:dyDescent="0.25">
      <c r="A38" s="146">
        <v>43656</v>
      </c>
      <c r="B38" s="130" t="s">
        <v>679</v>
      </c>
      <c r="C38" s="148" t="s">
        <v>386</v>
      </c>
      <c r="D38" s="130">
        <v>18</v>
      </c>
      <c r="E38" s="34">
        <f>(12+10+14+13+14+10+12+10+14+10+15)/11</f>
        <v>12.181818181818182</v>
      </c>
      <c r="F38" s="130">
        <v>6</v>
      </c>
      <c r="G38" s="130">
        <v>2</v>
      </c>
      <c r="H38" s="43">
        <f>G38/F38</f>
        <v>0.33333333333333331</v>
      </c>
    </row>
    <row r="39" spans="1:8" x14ac:dyDescent="0.25">
      <c r="A39" s="146">
        <v>43656</v>
      </c>
      <c r="B39" s="148" t="s">
        <v>386</v>
      </c>
      <c r="C39" s="130" t="s">
        <v>680</v>
      </c>
      <c r="D39" s="130">
        <v>18</v>
      </c>
      <c r="E39" s="34">
        <f>(15+10+14+10+12+10+14+13+12+10+12)/11</f>
        <v>12</v>
      </c>
      <c r="F39" s="130">
        <v>3</v>
      </c>
      <c r="G39" s="130">
        <v>1</v>
      </c>
      <c r="H39" s="43">
        <f>G39/F39</f>
        <v>0.33333333333333331</v>
      </c>
    </row>
    <row r="40" spans="1:8" x14ac:dyDescent="0.25">
      <c r="A40" s="146">
        <v>43655</v>
      </c>
      <c r="B40" s="148" t="s">
        <v>386</v>
      </c>
      <c r="C40" s="130" t="s">
        <v>674</v>
      </c>
      <c r="D40" s="130">
        <v>18</v>
      </c>
      <c r="E40" s="34">
        <f>(15+10+14+10+12+10+14+13+14+10+9)/11</f>
        <v>11.909090909090908</v>
      </c>
      <c r="F40" s="130">
        <v>5</v>
      </c>
      <c r="G40" s="130">
        <v>1</v>
      </c>
      <c r="H40" s="43">
        <f>G40/F40</f>
        <v>0.2</v>
      </c>
    </row>
    <row r="41" spans="1:8" x14ac:dyDescent="0.25">
      <c r="A41" s="146">
        <v>43582</v>
      </c>
      <c r="B41" s="148" t="s">
        <v>386</v>
      </c>
      <c r="C41" s="436" t="s">
        <v>695</v>
      </c>
      <c r="D41" s="436">
        <v>18</v>
      </c>
      <c r="E41" s="439">
        <f>(15+11+11+14+14+10+14+11+13+9+9)/11</f>
        <v>11.909090909090908</v>
      </c>
      <c r="F41" s="436">
        <v>7</v>
      </c>
      <c r="G41" s="436">
        <v>2</v>
      </c>
      <c r="H41" s="437">
        <f>G41/F41</f>
        <v>0.2857142857142857</v>
      </c>
    </row>
    <row r="42" spans="1:8" x14ac:dyDescent="0.25">
      <c r="A42" s="146">
        <v>43575</v>
      </c>
      <c r="B42" s="148" t="s">
        <v>694</v>
      </c>
      <c r="C42" s="148" t="s">
        <v>386</v>
      </c>
      <c r="D42" s="436">
        <v>18</v>
      </c>
      <c r="E42" s="439">
        <f>(15+11+11+14+14+10+14+11+13+9+9)/11</f>
        <v>11.909090909090908</v>
      </c>
      <c r="F42" s="436">
        <v>9</v>
      </c>
      <c r="G42" s="436">
        <v>3</v>
      </c>
      <c r="H42" s="437">
        <f>G42/F42</f>
        <v>0.33333333333333331</v>
      </c>
    </row>
    <row r="43" spans="1:8" x14ac:dyDescent="0.25">
      <c r="A43" s="146">
        <v>43568</v>
      </c>
      <c r="B43" s="148" t="s">
        <v>386</v>
      </c>
      <c r="C43" s="148" t="s">
        <v>692</v>
      </c>
      <c r="D43" s="436">
        <v>18</v>
      </c>
      <c r="E43" s="439">
        <f>(15+11+11+14+14+10+14+11+13+9+9)/11</f>
        <v>11.909090909090908</v>
      </c>
      <c r="F43" s="436">
        <v>8</v>
      </c>
      <c r="G43" s="436">
        <v>3</v>
      </c>
      <c r="H43" s="437">
        <f>G43/F43</f>
        <v>0.375</v>
      </c>
    </row>
    <row r="44" spans="1:8" x14ac:dyDescent="0.25">
      <c r="A44" s="146">
        <v>43561</v>
      </c>
      <c r="B44" s="148" t="s">
        <v>691</v>
      </c>
      <c r="C44" s="148" t="s">
        <v>386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>G44/F44</f>
        <v>0.375</v>
      </c>
    </row>
    <row r="45" spans="1:8" x14ac:dyDescent="0.25">
      <c r="A45" s="146">
        <v>43554</v>
      </c>
      <c r="B45" s="148" t="s">
        <v>386</v>
      </c>
      <c r="C45" s="130" t="s">
        <v>402</v>
      </c>
      <c r="D45" s="436">
        <v>18</v>
      </c>
      <c r="E45" s="439">
        <f>(15+11+14+11+14+10+13+11+14+9+9)/11</f>
        <v>11.909090909090908</v>
      </c>
      <c r="F45" s="436">
        <v>6</v>
      </c>
      <c r="G45" s="436">
        <v>1</v>
      </c>
      <c r="H45" s="437">
        <f>G45/F45</f>
        <v>0.16666666666666666</v>
      </c>
    </row>
    <row r="46" spans="1:8" x14ac:dyDescent="0.25">
      <c r="A46" s="146">
        <v>43687</v>
      </c>
      <c r="B46" s="130" t="s">
        <v>720</v>
      </c>
      <c r="C46" s="148" t="s">
        <v>386</v>
      </c>
      <c r="D46" s="130">
        <v>18</v>
      </c>
      <c r="E46" s="34">
        <f>(15+12+13+11+14+12+13+13+14+9+12)/11</f>
        <v>12.545454545454545</v>
      </c>
      <c r="F46" s="130">
        <v>5</v>
      </c>
      <c r="G46" s="130">
        <v>1</v>
      </c>
      <c r="H46" s="147">
        <f>G46/F46</f>
        <v>0.2</v>
      </c>
    </row>
    <row r="47" spans="1:8" x14ac:dyDescent="0.25">
      <c r="A47" s="146">
        <v>43701</v>
      </c>
      <c r="B47" s="148" t="s">
        <v>386</v>
      </c>
      <c r="C47" s="130" t="s">
        <v>722</v>
      </c>
      <c r="D47" s="130">
        <v>18</v>
      </c>
      <c r="E47" s="34">
        <f>(15+12+15+12+12+12+13+13+11+14+12)/11</f>
        <v>12.818181818181818</v>
      </c>
      <c r="F47" s="130">
        <v>8</v>
      </c>
      <c r="G47" s="130">
        <v>3</v>
      </c>
      <c r="H47" s="43">
        <f>G47/F47</f>
        <v>0.375</v>
      </c>
    </row>
    <row r="48" spans="1:8" x14ac:dyDescent="0.25">
      <c r="A48" s="146">
        <v>43666</v>
      </c>
      <c r="B48" s="130" t="s">
        <v>401</v>
      </c>
      <c r="C48" s="148" t="s">
        <v>386</v>
      </c>
      <c r="D48" s="130">
        <v>19</v>
      </c>
      <c r="E48" s="34">
        <f>(15+9+9+12+10+14+12+10+13+12+10)/11</f>
        <v>11.454545454545455</v>
      </c>
      <c r="F48" s="130">
        <v>5</v>
      </c>
      <c r="G48" s="130">
        <v>2</v>
      </c>
      <c r="H48" s="43">
        <f>G48/F48</f>
        <v>0.4</v>
      </c>
    </row>
    <row r="49" spans="1:8" x14ac:dyDescent="0.25">
      <c r="A49" s="146">
        <v>43657</v>
      </c>
      <c r="B49" s="148" t="s">
        <v>386</v>
      </c>
      <c r="C49" s="130" t="s">
        <v>681</v>
      </c>
      <c r="D49" s="130">
        <v>19</v>
      </c>
      <c r="E49" s="34">
        <f>(15+10+14+10+12+10+14+13+14+10+9)/11</f>
        <v>11.909090909090908</v>
      </c>
      <c r="F49" s="130">
        <v>12</v>
      </c>
      <c r="G49" s="130">
        <v>5</v>
      </c>
      <c r="H49" s="147">
        <f>G49/F49</f>
        <v>0.41666666666666669</v>
      </c>
    </row>
    <row r="50" spans="1:8" x14ac:dyDescent="0.25">
      <c r="A50" s="146">
        <v>43652</v>
      </c>
      <c r="B50" s="148" t="s">
        <v>386</v>
      </c>
      <c r="C50" s="130" t="s">
        <v>673</v>
      </c>
      <c r="D50" s="130">
        <v>19</v>
      </c>
      <c r="E50" s="34">
        <f>(15+10+14+10+12+10+14+13+14+10+9)/11</f>
        <v>11.909090909090908</v>
      </c>
      <c r="F50" s="130">
        <v>9</v>
      </c>
      <c r="G50" s="130">
        <v>5</v>
      </c>
      <c r="H50" s="43">
        <f>G50/F50</f>
        <v>0.55555555555555558</v>
      </c>
    </row>
    <row r="51" spans="1:8" x14ac:dyDescent="0.25">
      <c r="A51" s="146">
        <v>43677</v>
      </c>
      <c r="B51" s="148" t="s">
        <v>386</v>
      </c>
      <c r="C51" s="130" t="s">
        <v>699</v>
      </c>
      <c r="D51" s="130">
        <v>20</v>
      </c>
      <c r="E51" s="34">
        <f>(15+11+14+10+12+12+13+13+14+12+9)/11</f>
        <v>12.272727272727273</v>
      </c>
      <c r="F51" s="130">
        <v>6</v>
      </c>
      <c r="G51" s="130">
        <v>2</v>
      </c>
      <c r="H51" s="43">
        <f>G51/F51</f>
        <v>0.33333333333333331</v>
      </c>
    </row>
    <row r="52" spans="1:8" x14ac:dyDescent="0.25">
      <c r="A52" s="146">
        <v>43672</v>
      </c>
      <c r="B52" s="130" t="s">
        <v>687</v>
      </c>
      <c r="C52" s="148" t="s">
        <v>386</v>
      </c>
      <c r="D52" s="130">
        <v>20</v>
      </c>
      <c r="E52" s="34">
        <f>(15+12+12+10+14+10+13+13+14+10+12)/11</f>
        <v>12.272727272727273</v>
      </c>
      <c r="F52" s="130">
        <v>5</v>
      </c>
      <c r="G52" s="130">
        <v>3</v>
      </c>
      <c r="H52" s="43">
        <f>G52/F52</f>
        <v>0.6</v>
      </c>
    </row>
    <row r="53" spans="1:8" x14ac:dyDescent="0.25">
      <c r="A53" s="146">
        <v>43663</v>
      </c>
      <c r="B53" s="148" t="s">
        <v>386</v>
      </c>
      <c r="C53" s="130" t="s">
        <v>682</v>
      </c>
      <c r="D53" s="130">
        <v>20</v>
      </c>
      <c r="E53" s="34">
        <f>(15+12+14.5+10+12+11+14+13+14+9+12)/11</f>
        <v>12.409090909090908</v>
      </c>
      <c r="F53" s="130">
        <v>7</v>
      </c>
      <c r="G53" s="130">
        <v>4</v>
      </c>
      <c r="H53" s="43">
        <f>G53/F53</f>
        <v>0.5714285714285714</v>
      </c>
    </row>
  </sheetData>
  <sortState ref="A2:H53">
    <sortCondition ref="D2:D53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3" t="s">
        <v>120</v>
      </c>
      <c r="B1" s="473"/>
      <c r="C1" s="473"/>
      <c r="D1" s="473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74" t="s">
        <v>121</v>
      </c>
      <c r="B2" s="475" t="s">
        <v>122</v>
      </c>
      <c r="C2" s="475" t="s">
        <v>123</v>
      </c>
      <c r="D2" s="475" t="s">
        <v>124</v>
      </c>
      <c r="F2" s="103" t="s">
        <v>227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74"/>
      <c r="B3" s="475"/>
      <c r="C3" s="475"/>
      <c r="D3" s="475"/>
      <c r="F3" s="103" t="s">
        <v>228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229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230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232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231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233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234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235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236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239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341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342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2019-08-27T13:23:14Z</dcterms:modified>
</cp:coreProperties>
</file>