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CF6EC402-F4C9-4E4C-BFF8-8EE76A454DF2}" xr6:coauthVersionLast="33" xr6:coauthVersionMax="33" xr10:uidLastSave="{00000000-0000-0000-0000-000000000000}"/>
  <bookViews>
    <workbookView xWindow="240" yWindow="105" windowWidth="14805" windowHeight="7350" activeTab="1" xr2:uid="{00000000-000D-0000-FFFF-FFFF00000000}"/>
  </bookViews>
  <sheets>
    <sheet name="Xantia-OBIWAN (2)" sheetId="461" r:id="rId1"/>
    <sheet name="Xantia-OBIWAN" sheetId="460" r:id="rId2"/>
    <sheet name="SIMULADOR_v3" sheetId="446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79017"/>
  <fileRecoveryPr autoRecover="0"/>
</workbook>
</file>

<file path=xl/calcChain.xml><?xml version="1.0" encoding="utf-8"?>
<calcChain xmlns="http://schemas.openxmlformats.org/spreadsheetml/2006/main">
  <c r="BF48" i="461" l="1"/>
  <c r="BF47" i="461"/>
  <c r="BF45" i="461"/>
  <c r="BE45" i="461"/>
  <c r="BF46" i="461" s="1"/>
  <c r="BF44" i="461"/>
  <c r="BE44" i="461"/>
  <c r="BD44" i="461"/>
  <c r="BE43" i="461"/>
  <c r="BD43" i="461"/>
  <c r="BC43" i="461"/>
  <c r="BE42" i="461"/>
  <c r="BF43" i="461" s="1"/>
  <c r="BD42" i="461"/>
  <c r="BC42" i="461"/>
  <c r="BF41" i="461"/>
  <c r="BE41" i="461"/>
  <c r="BF42" i="461" s="1"/>
  <c r="BD41" i="461"/>
  <c r="BC41" i="461"/>
  <c r="BF40" i="461"/>
  <c r="BE40" i="461"/>
  <c r="BD40" i="461"/>
  <c r="BC40" i="461"/>
  <c r="BH39" i="461"/>
  <c r="BH44" i="461" s="1"/>
  <c r="BC39" i="461"/>
  <c r="AS38" i="461"/>
  <c r="AR38" i="461"/>
  <c r="AQ38" i="461"/>
  <c r="AP38" i="461"/>
  <c r="AO38" i="461"/>
  <c r="AN38" i="461"/>
  <c r="AM38" i="461"/>
  <c r="AL38" i="461"/>
  <c r="AK38" i="461"/>
  <c r="AJ38" i="461"/>
  <c r="AI38" i="461"/>
  <c r="AH38" i="461"/>
  <c r="AG38" i="461"/>
  <c r="AF38" i="461"/>
  <c r="AE38" i="461"/>
  <c r="AD38" i="461"/>
  <c r="AC38" i="461"/>
  <c r="AB38" i="461"/>
  <c r="AA38" i="461"/>
  <c r="Z38" i="461"/>
  <c r="Y38" i="461"/>
  <c r="X38" i="461"/>
  <c r="W38" i="461"/>
  <c r="V38" i="461"/>
  <c r="U38" i="461"/>
  <c r="T38" i="461"/>
  <c r="S38" i="461"/>
  <c r="R38" i="461"/>
  <c r="Q38" i="461"/>
  <c r="P38" i="461"/>
  <c r="O38" i="461"/>
  <c r="N38" i="461"/>
  <c r="M38" i="461"/>
  <c r="L38" i="461"/>
  <c r="K38" i="461"/>
  <c r="J38" i="461"/>
  <c r="I38" i="461"/>
  <c r="H38" i="461"/>
  <c r="G38" i="461"/>
  <c r="BF34" i="461"/>
  <c r="BH33" i="461"/>
  <c r="BF33" i="461"/>
  <c r="C33" i="461"/>
  <c r="B33" i="461"/>
  <c r="BH32" i="461"/>
  <c r="BH38" i="461" s="1"/>
  <c r="BF32" i="461"/>
  <c r="C32" i="461"/>
  <c r="B32" i="461"/>
  <c r="BE31" i="461"/>
  <c r="BH30" i="461"/>
  <c r="BH37" i="461" s="1"/>
  <c r="BH43" i="461" s="1"/>
  <c r="BH48" i="461" s="1"/>
  <c r="BH53" i="461" s="1"/>
  <c r="BH56" i="461" s="1"/>
  <c r="BH58" i="461" s="1"/>
  <c r="BH59" i="461" s="1"/>
  <c r="BF30" i="461"/>
  <c r="BE30" i="461"/>
  <c r="BF31" i="461" s="1"/>
  <c r="BD30" i="461"/>
  <c r="E30" i="461"/>
  <c r="D30" i="461"/>
  <c r="BH29" i="461"/>
  <c r="BH36" i="461" s="1"/>
  <c r="BH42" i="461" s="1"/>
  <c r="BH47" i="461" s="1"/>
  <c r="BH52" i="461" s="1"/>
  <c r="BH55" i="461" s="1"/>
  <c r="BH57" i="461" s="1"/>
  <c r="BL13" i="461" s="1"/>
  <c r="BF29" i="461"/>
  <c r="BE29" i="461"/>
  <c r="BD29" i="461"/>
  <c r="BC29" i="461"/>
  <c r="C29" i="461"/>
  <c r="B29" i="461"/>
  <c r="BH28" i="461"/>
  <c r="BH35" i="461" s="1"/>
  <c r="BH41" i="461" s="1"/>
  <c r="BH46" i="461" s="1"/>
  <c r="BH51" i="461" s="1"/>
  <c r="BH54" i="461" s="1"/>
  <c r="BF28" i="461"/>
  <c r="BE28" i="461"/>
  <c r="BD28" i="461"/>
  <c r="BC28" i="461"/>
  <c r="BH27" i="461"/>
  <c r="BH34" i="461" s="1"/>
  <c r="BH40" i="461" s="1"/>
  <c r="BH45" i="461" s="1"/>
  <c r="BH50" i="461" s="1"/>
  <c r="BF27" i="461"/>
  <c r="BE27" i="461"/>
  <c r="BD27" i="461"/>
  <c r="BC27" i="461"/>
  <c r="C27" i="461"/>
  <c r="B27" i="461"/>
  <c r="BH26" i="461"/>
  <c r="BF26" i="461"/>
  <c r="BE26" i="461"/>
  <c r="BD26" i="461"/>
  <c r="BC26" i="461"/>
  <c r="E26" i="461"/>
  <c r="E27" i="461" s="1"/>
  <c r="D26" i="461"/>
  <c r="D27" i="461" s="1"/>
  <c r="D23" i="461" s="1"/>
  <c r="C26" i="461"/>
  <c r="B26" i="461"/>
  <c r="BH25" i="461"/>
  <c r="BC25" i="461"/>
  <c r="E25" i="461"/>
  <c r="D25" i="461"/>
  <c r="C25" i="461"/>
  <c r="B25" i="461"/>
  <c r="BH24" i="461"/>
  <c r="BH31" i="461" s="1"/>
  <c r="BL8" i="461" s="1"/>
  <c r="BP18" i="461" s="1"/>
  <c r="BP22" i="461" s="1"/>
  <c r="BP28" i="461" s="1"/>
  <c r="BP35" i="461" s="1"/>
  <c r="BP43" i="461" s="1"/>
  <c r="BH23" i="461"/>
  <c r="B22" i="461"/>
  <c r="C22" i="461" s="1"/>
  <c r="AG16" i="461" s="1"/>
  <c r="AN16" i="461" s="1"/>
  <c r="B20" i="461"/>
  <c r="B21" i="461" s="1"/>
  <c r="AO19" i="461"/>
  <c r="AL19" i="461"/>
  <c r="AK19" i="461"/>
  <c r="AH19" i="461"/>
  <c r="AG19" i="461"/>
  <c r="Z19" i="461"/>
  <c r="P19" i="461"/>
  <c r="AO18" i="461"/>
  <c r="AL18" i="461"/>
  <c r="AK18" i="461"/>
  <c r="AH18" i="461"/>
  <c r="AG18" i="461"/>
  <c r="AN18" i="461" s="1"/>
  <c r="Z18" i="461"/>
  <c r="AO17" i="461"/>
  <c r="AL17" i="461"/>
  <c r="AK17" i="461"/>
  <c r="AH17" i="461"/>
  <c r="AG17" i="461"/>
  <c r="AN17" i="461" s="1"/>
  <c r="Z17" i="461"/>
  <c r="P17" i="461"/>
  <c r="C16" i="461"/>
  <c r="B16" i="461"/>
  <c r="AK15" i="461"/>
  <c r="Z15" i="461"/>
  <c r="P15" i="461"/>
  <c r="AL14" i="461"/>
  <c r="AG14" i="461" s="1"/>
  <c r="AN14" i="461" s="1"/>
  <c r="AH14" i="461"/>
  <c r="Z14" i="461"/>
  <c r="P14" i="461"/>
  <c r="Z13" i="461"/>
  <c r="P13" i="461"/>
  <c r="BL12" i="461"/>
  <c r="BP47" i="461" s="1"/>
  <c r="AO12" i="461"/>
  <c r="AL12" i="461"/>
  <c r="AK12" i="461"/>
  <c r="AH12" i="461"/>
  <c r="AG12" i="461"/>
  <c r="AN12" i="461" s="1"/>
  <c r="Z12" i="461"/>
  <c r="P12" i="461"/>
  <c r="BL11" i="461"/>
  <c r="BP38" i="461" s="1"/>
  <c r="BP46" i="461" s="1"/>
  <c r="AO11" i="461"/>
  <c r="AL11" i="461"/>
  <c r="AK11" i="461"/>
  <c r="AH11" i="461"/>
  <c r="AG11" i="461"/>
  <c r="Z11" i="461"/>
  <c r="P11" i="461"/>
  <c r="BL10" i="461"/>
  <c r="BP30" i="461" s="1"/>
  <c r="BP37" i="461" s="1"/>
  <c r="BP45" i="461" s="1"/>
  <c r="AO10" i="461"/>
  <c r="AL10" i="461"/>
  <c r="AK10" i="461"/>
  <c r="AH10" i="461"/>
  <c r="AG10" i="461"/>
  <c r="Z10" i="461"/>
  <c r="P10" i="461"/>
  <c r="BL9" i="461"/>
  <c r="BP23" i="461" s="1"/>
  <c r="BP29" i="461" s="1"/>
  <c r="BP36" i="461" s="1"/>
  <c r="BP44" i="461" s="1"/>
  <c r="AL9" i="461"/>
  <c r="AK9" i="461"/>
  <c r="AH9" i="461"/>
  <c r="AG9" i="461"/>
  <c r="Z9" i="461"/>
  <c r="P9" i="461"/>
  <c r="AO8" i="461"/>
  <c r="AL8" i="461"/>
  <c r="AK8" i="461"/>
  <c r="AH8" i="461"/>
  <c r="AG8" i="461"/>
  <c r="AN8" i="461" s="1"/>
  <c r="Z8" i="461"/>
  <c r="P8" i="461"/>
  <c r="BL7" i="461"/>
  <c r="BP13" i="461" s="1"/>
  <c r="BP17" i="461" s="1"/>
  <c r="BP21" i="461" s="1"/>
  <c r="BP27" i="461" s="1"/>
  <c r="BP34" i="461" s="1"/>
  <c r="BP42" i="461" s="1"/>
  <c r="AL7" i="461"/>
  <c r="AK7" i="461"/>
  <c r="AH7" i="461"/>
  <c r="AG7" i="461"/>
  <c r="AN7" i="461" s="1"/>
  <c r="Z7" i="461"/>
  <c r="P7" i="461"/>
  <c r="BP6" i="461"/>
  <c r="BP8" i="461" s="1"/>
  <c r="BP11" i="461" s="1"/>
  <c r="BP15" i="461" s="1"/>
  <c r="BP19" i="461" s="1"/>
  <c r="BP25" i="461" s="1"/>
  <c r="BP32" i="461" s="1"/>
  <c r="BP40" i="461" s="1"/>
  <c r="BL6" i="461"/>
  <c r="BP9" i="461" s="1"/>
  <c r="BP12" i="461" s="1"/>
  <c r="BP16" i="461" s="1"/>
  <c r="BP20" i="461" s="1"/>
  <c r="BP26" i="461" s="1"/>
  <c r="BP33" i="461" s="1"/>
  <c r="BP41" i="461" s="1"/>
  <c r="AO6" i="461"/>
  <c r="AL6" i="461"/>
  <c r="AK6" i="461"/>
  <c r="AH6" i="461"/>
  <c r="AG6" i="461"/>
  <c r="AN6" i="461" s="1"/>
  <c r="Z6" i="461"/>
  <c r="P6" i="461"/>
  <c r="BP5" i="461"/>
  <c r="BP7" i="461" s="1"/>
  <c r="BP10" i="461" s="1"/>
  <c r="BP14" i="461" s="1"/>
  <c r="BH49" i="461" s="1"/>
  <c r="BP24" i="461" s="1"/>
  <c r="BP31" i="461" s="1"/>
  <c r="BP39" i="461" s="1"/>
  <c r="BL14" i="461" s="1"/>
  <c r="AO5" i="461"/>
  <c r="AL5" i="461"/>
  <c r="AK5" i="461"/>
  <c r="AH5" i="461"/>
  <c r="AG5" i="461"/>
  <c r="Z5" i="461"/>
  <c r="P5" i="461"/>
  <c r="AM3" i="461"/>
  <c r="D3" i="461"/>
  <c r="K2" i="461" s="1"/>
  <c r="AK13" i="461" l="1"/>
  <c r="AN5" i="461"/>
  <c r="AK14" i="461"/>
  <c r="AK16" i="461"/>
  <c r="AG13" i="461"/>
  <c r="AN13" i="461" s="1"/>
  <c r="AG15" i="461"/>
  <c r="AN15" i="461" s="1"/>
  <c r="AN11" i="461"/>
  <c r="AN9" i="461"/>
  <c r="AN19" i="461"/>
  <c r="AN10" i="461"/>
  <c r="K3" i="461"/>
  <c r="P18" i="461"/>
  <c r="G3" i="461"/>
  <c r="G1" i="461"/>
  <c r="K1" i="461"/>
  <c r="B31" i="461"/>
  <c r="W25" i="461" s="1"/>
  <c r="C31" i="461"/>
  <c r="W39" i="461" s="1"/>
  <c r="G2" i="461"/>
  <c r="E23" i="461"/>
  <c r="B23" i="461"/>
  <c r="BH52" i="460"/>
  <c r="BH55" i="460" s="1"/>
  <c r="BH57" i="460" s="1"/>
  <c r="BF48" i="460"/>
  <c r="BF47" i="460"/>
  <c r="BF46" i="460"/>
  <c r="BE45" i="460"/>
  <c r="BE44" i="460"/>
  <c r="BF45" i="460" s="1"/>
  <c r="BD44" i="460"/>
  <c r="BE43" i="460"/>
  <c r="BD43" i="460"/>
  <c r="BC43" i="460"/>
  <c r="BF42" i="460"/>
  <c r="BE42" i="460"/>
  <c r="BF43" i="460" s="1"/>
  <c r="BD42" i="460"/>
  <c r="BC42" i="460"/>
  <c r="BF41" i="460"/>
  <c r="BE41" i="460"/>
  <c r="BD41" i="460"/>
  <c r="BC41" i="460"/>
  <c r="BF40" i="460"/>
  <c r="BE40" i="460"/>
  <c r="BD40" i="460"/>
  <c r="BC40" i="460"/>
  <c r="BC39" i="460"/>
  <c r="AS38" i="460"/>
  <c r="AR38" i="460"/>
  <c r="AQ38" i="460"/>
  <c r="AP38" i="460"/>
  <c r="AO38" i="460"/>
  <c r="AN38" i="460"/>
  <c r="AM38" i="460"/>
  <c r="AL38" i="460"/>
  <c r="AK38" i="460"/>
  <c r="AJ38" i="460"/>
  <c r="AI38" i="460"/>
  <c r="AH38" i="460"/>
  <c r="AG38" i="460"/>
  <c r="AF38" i="460"/>
  <c r="AE38" i="460"/>
  <c r="AD38" i="460"/>
  <c r="AC38" i="460"/>
  <c r="AB38" i="460"/>
  <c r="AA38" i="460"/>
  <c r="Z38" i="460"/>
  <c r="Y38" i="460"/>
  <c r="X38" i="460"/>
  <c r="W38" i="460"/>
  <c r="V38" i="460"/>
  <c r="U38" i="460"/>
  <c r="T38" i="460"/>
  <c r="S38" i="460"/>
  <c r="R38" i="460"/>
  <c r="Q38" i="460"/>
  <c r="P38" i="460"/>
  <c r="O38" i="460"/>
  <c r="N38" i="460"/>
  <c r="M38" i="460"/>
  <c r="L38" i="460"/>
  <c r="K38" i="460"/>
  <c r="J38" i="460"/>
  <c r="I38" i="460"/>
  <c r="H38" i="460"/>
  <c r="G38" i="460"/>
  <c r="BH37" i="460"/>
  <c r="BH43" i="460" s="1"/>
  <c r="BH48" i="460" s="1"/>
  <c r="BH53" i="460" s="1"/>
  <c r="BH56" i="460" s="1"/>
  <c r="BH58" i="460" s="1"/>
  <c r="BH59" i="460" s="1"/>
  <c r="BH36" i="460"/>
  <c r="BH42" i="460" s="1"/>
  <c r="BH47" i="460" s="1"/>
  <c r="BF34" i="460"/>
  <c r="BH33" i="460"/>
  <c r="BH39" i="460" s="1"/>
  <c r="BH44" i="460" s="1"/>
  <c r="BF33" i="460"/>
  <c r="C33" i="460"/>
  <c r="B33" i="460"/>
  <c r="C32" i="460"/>
  <c r="B32" i="460"/>
  <c r="BE31" i="460"/>
  <c r="BH30" i="460"/>
  <c r="BE30" i="460"/>
  <c r="BD30" i="460"/>
  <c r="E30" i="460"/>
  <c r="D30" i="460"/>
  <c r="BH29" i="460"/>
  <c r="BE29" i="460"/>
  <c r="BF30" i="460" s="1"/>
  <c r="BD29" i="460"/>
  <c r="BC29" i="460"/>
  <c r="C29" i="460"/>
  <c r="B29" i="460"/>
  <c r="BH28" i="460"/>
  <c r="BH35" i="460" s="1"/>
  <c r="BH41" i="460" s="1"/>
  <c r="BH46" i="460" s="1"/>
  <c r="BH51" i="460" s="1"/>
  <c r="BH54" i="460" s="1"/>
  <c r="BL12" i="460" s="1"/>
  <c r="BP47" i="460" s="1"/>
  <c r="BE28" i="460"/>
  <c r="BF29" i="460" s="1"/>
  <c r="BD28" i="460"/>
  <c r="BC28" i="460"/>
  <c r="BH27" i="460"/>
  <c r="BH34" i="460" s="1"/>
  <c r="BH40" i="460" s="1"/>
  <c r="BH45" i="460" s="1"/>
  <c r="BH50" i="460" s="1"/>
  <c r="BL11" i="460" s="1"/>
  <c r="BP38" i="460" s="1"/>
  <c r="BP46" i="460" s="1"/>
  <c r="BF27" i="460"/>
  <c r="BE27" i="460"/>
  <c r="BF28" i="460" s="1"/>
  <c r="BD27" i="460"/>
  <c r="BC27" i="460"/>
  <c r="D27" i="460"/>
  <c r="C27" i="460"/>
  <c r="B27" i="460"/>
  <c r="BH26" i="460"/>
  <c r="BF26" i="460"/>
  <c r="BE26" i="460"/>
  <c r="BD26" i="460"/>
  <c r="BC26" i="460"/>
  <c r="E26" i="460"/>
  <c r="E27" i="460" s="1"/>
  <c r="D26" i="460"/>
  <c r="C26" i="460"/>
  <c r="B26" i="460"/>
  <c r="BH25" i="460"/>
  <c r="BH32" i="460" s="1"/>
  <c r="BH38" i="460" s="1"/>
  <c r="BC25" i="460"/>
  <c r="E25" i="460"/>
  <c r="D25" i="460"/>
  <c r="C25" i="460"/>
  <c r="B25" i="460"/>
  <c r="BH24" i="460"/>
  <c r="BH31" i="460" s="1"/>
  <c r="BH23" i="460"/>
  <c r="D23" i="460"/>
  <c r="B22" i="460"/>
  <c r="C22" i="460" s="1"/>
  <c r="B20" i="460"/>
  <c r="B21" i="460" s="1"/>
  <c r="AO19" i="460"/>
  <c r="AL19" i="460"/>
  <c r="AK19" i="460"/>
  <c r="AH19" i="460"/>
  <c r="AG19" i="460"/>
  <c r="Z19" i="460"/>
  <c r="P19" i="460"/>
  <c r="AO18" i="460"/>
  <c r="AL18" i="460"/>
  <c r="AK18" i="460"/>
  <c r="AH18" i="460"/>
  <c r="AG18" i="460"/>
  <c r="AN18" i="460" s="1"/>
  <c r="AO17" i="460"/>
  <c r="AL17" i="460"/>
  <c r="AK17" i="460"/>
  <c r="AH17" i="460"/>
  <c r="AG17" i="460"/>
  <c r="AN17" i="460" s="1"/>
  <c r="Z17" i="460"/>
  <c r="P17" i="460"/>
  <c r="P18" i="460" s="1"/>
  <c r="C16" i="460"/>
  <c r="B16" i="460"/>
  <c r="Z15" i="460"/>
  <c r="P15" i="460"/>
  <c r="AL14" i="460"/>
  <c r="AH14" i="460"/>
  <c r="Z14" i="460"/>
  <c r="P14" i="460"/>
  <c r="BL13" i="460"/>
  <c r="Z13" i="460"/>
  <c r="P13" i="460"/>
  <c r="AO12" i="460"/>
  <c r="AL12" i="460"/>
  <c r="AK12" i="460"/>
  <c r="AH12" i="460"/>
  <c r="AG12" i="460"/>
  <c r="AN12" i="460" s="1"/>
  <c r="Z12" i="460"/>
  <c r="P12" i="460"/>
  <c r="AO11" i="460"/>
  <c r="AL11" i="460"/>
  <c r="AK11" i="460"/>
  <c r="AH11" i="460"/>
  <c r="AG11" i="460"/>
  <c r="Z11" i="460"/>
  <c r="P11" i="460"/>
  <c r="BL10" i="460"/>
  <c r="BP30" i="460" s="1"/>
  <c r="BP37" i="460" s="1"/>
  <c r="BP45" i="460" s="1"/>
  <c r="AO10" i="460"/>
  <c r="AL10" i="460"/>
  <c r="AK10" i="460"/>
  <c r="AH10" i="460"/>
  <c r="AG10" i="460"/>
  <c r="AN10" i="460" s="1"/>
  <c r="Z10" i="460"/>
  <c r="P10" i="460"/>
  <c r="BL9" i="460"/>
  <c r="BP23" i="460" s="1"/>
  <c r="BP29" i="460" s="1"/>
  <c r="BP36" i="460" s="1"/>
  <c r="BP44" i="460" s="1"/>
  <c r="AL9" i="460"/>
  <c r="AK9" i="460"/>
  <c r="AH9" i="460"/>
  <c r="AG9" i="460"/>
  <c r="Z9" i="460"/>
  <c r="P9" i="460"/>
  <c r="BP8" i="460"/>
  <c r="BP11" i="460" s="1"/>
  <c r="BP15" i="460" s="1"/>
  <c r="BP19" i="460" s="1"/>
  <c r="BP25" i="460" s="1"/>
  <c r="BP32" i="460" s="1"/>
  <c r="BP40" i="460" s="1"/>
  <c r="BL8" i="460"/>
  <c r="BP18" i="460" s="1"/>
  <c r="BP22" i="460" s="1"/>
  <c r="BP28" i="460" s="1"/>
  <c r="BP35" i="460" s="1"/>
  <c r="BP43" i="460" s="1"/>
  <c r="AO8" i="460"/>
  <c r="AL8" i="460"/>
  <c r="AK8" i="460"/>
  <c r="AH8" i="460"/>
  <c r="AG8" i="460"/>
  <c r="Z8" i="460"/>
  <c r="P8" i="460"/>
  <c r="BP7" i="460"/>
  <c r="BP10" i="460" s="1"/>
  <c r="BP14" i="460" s="1"/>
  <c r="BH49" i="460" s="1"/>
  <c r="BP24" i="460" s="1"/>
  <c r="BP31" i="460" s="1"/>
  <c r="BP39" i="460" s="1"/>
  <c r="BL14" i="460" s="1"/>
  <c r="BL7" i="460"/>
  <c r="BP13" i="460" s="1"/>
  <c r="BP17" i="460" s="1"/>
  <c r="BP21" i="460" s="1"/>
  <c r="BP27" i="460" s="1"/>
  <c r="BP34" i="460" s="1"/>
  <c r="BP42" i="460" s="1"/>
  <c r="AL7" i="460"/>
  <c r="AK7" i="460"/>
  <c r="AH7" i="460"/>
  <c r="AG7" i="460"/>
  <c r="AN7" i="460" s="1"/>
  <c r="Z7" i="460"/>
  <c r="P7" i="460"/>
  <c r="BP6" i="460"/>
  <c r="BL6" i="460"/>
  <c r="BP9" i="460" s="1"/>
  <c r="BP12" i="460" s="1"/>
  <c r="BP16" i="460" s="1"/>
  <c r="BP20" i="460" s="1"/>
  <c r="BP26" i="460" s="1"/>
  <c r="BP33" i="460" s="1"/>
  <c r="BP41" i="460" s="1"/>
  <c r="AO6" i="460"/>
  <c r="AL6" i="460"/>
  <c r="AK6" i="460"/>
  <c r="AH6" i="460"/>
  <c r="AG6" i="460"/>
  <c r="Z6" i="460"/>
  <c r="P6" i="460"/>
  <c r="BP5" i="460"/>
  <c r="AO5" i="460"/>
  <c r="AL5" i="460"/>
  <c r="AK5" i="460"/>
  <c r="AH5" i="460"/>
  <c r="AG5" i="460"/>
  <c r="Z5" i="460"/>
  <c r="P5" i="460"/>
  <c r="AM3" i="460"/>
  <c r="D3" i="460"/>
  <c r="K3" i="460" s="1"/>
  <c r="K1" i="460"/>
  <c r="G1" i="460"/>
  <c r="T39" i="461" l="1"/>
  <c r="T47" i="461"/>
  <c r="T48" i="461"/>
  <c r="AN3" i="461"/>
  <c r="AI15" i="461" s="1"/>
  <c r="B34" i="461"/>
  <c r="B24" i="461"/>
  <c r="T46" i="461"/>
  <c r="T41" i="461"/>
  <c r="T45" i="461"/>
  <c r="T43" i="461"/>
  <c r="T44" i="461"/>
  <c r="T49" i="461"/>
  <c r="T40" i="461"/>
  <c r="T42" i="461"/>
  <c r="C23" i="461"/>
  <c r="AG15" i="460"/>
  <c r="AN15" i="460" s="1"/>
  <c r="AK16" i="460"/>
  <c r="AG13" i="460"/>
  <c r="AN13" i="460" s="1"/>
  <c r="AG14" i="460"/>
  <c r="AN14" i="460" s="1"/>
  <c r="E23" i="460"/>
  <c r="AK13" i="460"/>
  <c r="AG16" i="460"/>
  <c r="AN16" i="460" s="1"/>
  <c r="AK15" i="460"/>
  <c r="AK14" i="460"/>
  <c r="AN11" i="460"/>
  <c r="AN5" i="460"/>
  <c r="AN8" i="460"/>
  <c r="AN9" i="460"/>
  <c r="C31" i="460"/>
  <c r="W39" i="460" s="1"/>
  <c r="B23" i="460"/>
  <c r="BF32" i="460"/>
  <c r="BF31" i="460"/>
  <c r="AN6" i="460"/>
  <c r="G2" i="460"/>
  <c r="K2" i="460"/>
  <c r="Z18" i="460"/>
  <c r="B31" i="460"/>
  <c r="W25" i="460" s="1"/>
  <c r="G3" i="460"/>
  <c r="AN19" i="460"/>
  <c r="BF44" i="460"/>
  <c r="AI13" i="461" l="1"/>
  <c r="O13" i="461" s="1"/>
  <c r="Q13" i="461" s="1"/>
  <c r="R13" i="461" s="1"/>
  <c r="T37" i="461"/>
  <c r="N25" i="461"/>
  <c r="N28" i="461"/>
  <c r="P28" i="461" s="1"/>
  <c r="N27" i="461"/>
  <c r="P27" i="461" s="1"/>
  <c r="N30" i="461"/>
  <c r="P30" i="461" s="1"/>
  <c r="R35" i="461" s="1"/>
  <c r="N29" i="461"/>
  <c r="P29" i="461" s="1"/>
  <c r="N26" i="461"/>
  <c r="Y13" i="461"/>
  <c r="AA13" i="461" s="1"/>
  <c r="AB13" i="461" s="1"/>
  <c r="AI7" i="461"/>
  <c r="AI18" i="461"/>
  <c r="AI6" i="461"/>
  <c r="AI12" i="461"/>
  <c r="AI17" i="461"/>
  <c r="AI14" i="461"/>
  <c r="AI8" i="461"/>
  <c r="AI19" i="461"/>
  <c r="AI16" i="461"/>
  <c r="AI9" i="461"/>
  <c r="AI5" i="461"/>
  <c r="AI10" i="461"/>
  <c r="AI11" i="461"/>
  <c r="Y15" i="461"/>
  <c r="AA15" i="461" s="1"/>
  <c r="AB15" i="461" s="1"/>
  <c r="O15" i="461"/>
  <c r="Q15" i="461" s="1"/>
  <c r="R15" i="461" s="1"/>
  <c r="C34" i="461"/>
  <c r="C24" i="461"/>
  <c r="T34" i="461"/>
  <c r="T25" i="461"/>
  <c r="T32" i="461"/>
  <c r="T28" i="461"/>
  <c r="T26" i="461"/>
  <c r="T35" i="461"/>
  <c r="T31" i="461"/>
  <c r="T29" i="461"/>
  <c r="T27" i="461"/>
  <c r="T30" i="461"/>
  <c r="T33" i="461"/>
  <c r="AN3" i="460"/>
  <c r="AI18" i="460" s="1"/>
  <c r="T41" i="460"/>
  <c r="T46" i="460"/>
  <c r="T39" i="460"/>
  <c r="T45" i="460"/>
  <c r="C23" i="460"/>
  <c r="T49" i="460"/>
  <c r="T48" i="460"/>
  <c r="T43" i="460"/>
  <c r="T42" i="460"/>
  <c r="B34" i="460"/>
  <c r="T40" i="460"/>
  <c r="T47" i="460"/>
  <c r="T44" i="460"/>
  <c r="B24" i="460"/>
  <c r="R34" i="461" l="1"/>
  <c r="O14" i="461"/>
  <c r="Q14" i="461" s="1"/>
  <c r="R14" i="461" s="1"/>
  <c r="Y14" i="461"/>
  <c r="AA14" i="461" s="1"/>
  <c r="AB14" i="461" s="1"/>
  <c r="AC13" i="461"/>
  <c r="T23" i="461"/>
  <c r="O10" i="461"/>
  <c r="Q10" i="461" s="1"/>
  <c r="R10" i="461" s="1"/>
  <c r="Y10" i="461"/>
  <c r="AA10" i="461" s="1"/>
  <c r="AB10" i="461" s="1"/>
  <c r="O12" i="461"/>
  <c r="Q12" i="461" s="1"/>
  <c r="R12" i="461" s="1"/>
  <c r="Y12" i="461"/>
  <c r="AA12" i="461" s="1"/>
  <c r="AB12" i="461" s="1"/>
  <c r="AI3" i="461"/>
  <c r="O5" i="461"/>
  <c r="Q5" i="461" s="1"/>
  <c r="R5" i="461" s="1"/>
  <c r="Y5" i="461"/>
  <c r="AA5" i="461" s="1"/>
  <c r="AB5" i="461" s="1"/>
  <c r="Y6" i="461"/>
  <c r="AA6" i="461" s="1"/>
  <c r="AB6" i="461" s="1"/>
  <c r="O6" i="461"/>
  <c r="Q6" i="461" s="1"/>
  <c r="R6" i="461" s="1"/>
  <c r="P26" i="461"/>
  <c r="R31" i="461" s="1"/>
  <c r="N43" i="461"/>
  <c r="P43" i="461" s="1"/>
  <c r="N41" i="461"/>
  <c r="P41" i="461" s="1"/>
  <c r="N44" i="461"/>
  <c r="P44" i="461" s="1"/>
  <c r="N40" i="461"/>
  <c r="P40" i="461" s="1"/>
  <c r="N39" i="461"/>
  <c r="N42" i="461"/>
  <c r="P42" i="461" s="1"/>
  <c r="Y16" i="461"/>
  <c r="AA16" i="461" s="1"/>
  <c r="AB16" i="461" s="1"/>
  <c r="O16" i="461"/>
  <c r="Q16" i="461" s="1"/>
  <c r="R16" i="461" s="1"/>
  <c r="Y7" i="461"/>
  <c r="AA7" i="461" s="1"/>
  <c r="AB7" i="461" s="1"/>
  <c r="O7" i="461"/>
  <c r="Q7" i="461" s="1"/>
  <c r="R7" i="461" s="1"/>
  <c r="S13" i="461"/>
  <c r="P25" i="461"/>
  <c r="N23" i="461"/>
  <c r="Y11" i="461"/>
  <c r="AA11" i="461" s="1"/>
  <c r="AB11" i="461" s="1"/>
  <c r="O11" i="461"/>
  <c r="Q11" i="461" s="1"/>
  <c r="R11" i="461" s="1"/>
  <c r="O17" i="461"/>
  <c r="Q17" i="461" s="1"/>
  <c r="R17" i="461" s="1"/>
  <c r="Y17" i="461"/>
  <c r="AA17" i="461" s="1"/>
  <c r="AB17" i="461" s="1"/>
  <c r="S15" i="461"/>
  <c r="O19" i="461"/>
  <c r="Q19" i="461" s="1"/>
  <c r="R19" i="461" s="1"/>
  <c r="Y19" i="461"/>
  <c r="AA19" i="461" s="1"/>
  <c r="AB19" i="461" s="1"/>
  <c r="R32" i="461"/>
  <c r="O9" i="461"/>
  <c r="Q9" i="461" s="1"/>
  <c r="R9" i="461" s="1"/>
  <c r="Y9" i="461"/>
  <c r="AA9" i="461" s="1"/>
  <c r="AB9" i="461" s="1"/>
  <c r="Y18" i="461"/>
  <c r="AA18" i="461" s="1"/>
  <c r="AB18" i="461" s="1"/>
  <c r="O18" i="461"/>
  <c r="Q18" i="461" s="1"/>
  <c r="R18" i="461" s="1"/>
  <c r="AC15" i="461"/>
  <c r="O8" i="461"/>
  <c r="Q8" i="461" s="1"/>
  <c r="R8" i="461" s="1"/>
  <c r="Y8" i="461"/>
  <c r="AA8" i="461" s="1"/>
  <c r="AB8" i="461" s="1"/>
  <c r="R33" i="461"/>
  <c r="AI7" i="460"/>
  <c r="O7" i="460" s="1"/>
  <c r="Q7" i="460" s="1"/>
  <c r="R7" i="460" s="1"/>
  <c r="AI6" i="460"/>
  <c r="Y6" i="460" s="1"/>
  <c r="AA6" i="460" s="1"/>
  <c r="AB6" i="460" s="1"/>
  <c r="AI12" i="460"/>
  <c r="Y12" i="460" s="1"/>
  <c r="AA12" i="460" s="1"/>
  <c r="AB12" i="460" s="1"/>
  <c r="AI11" i="460"/>
  <c r="Y11" i="460" s="1"/>
  <c r="AA11" i="460" s="1"/>
  <c r="AB11" i="460" s="1"/>
  <c r="AI14" i="460"/>
  <c r="O14" i="460" s="1"/>
  <c r="Q14" i="460" s="1"/>
  <c r="R14" i="460" s="1"/>
  <c r="AI13" i="460"/>
  <c r="Y13" i="460" s="1"/>
  <c r="AA13" i="460" s="1"/>
  <c r="AB13" i="460" s="1"/>
  <c r="AI17" i="460"/>
  <c r="O17" i="460" s="1"/>
  <c r="Q17" i="460" s="1"/>
  <c r="R17" i="460" s="1"/>
  <c r="AI19" i="460"/>
  <c r="O19" i="460" s="1"/>
  <c r="Q19" i="460" s="1"/>
  <c r="R19" i="460" s="1"/>
  <c r="AI9" i="460"/>
  <c r="O9" i="460" s="1"/>
  <c r="Q9" i="460" s="1"/>
  <c r="R9" i="460" s="1"/>
  <c r="AI10" i="460"/>
  <c r="Y10" i="460" s="1"/>
  <c r="AA10" i="460" s="1"/>
  <c r="AB10" i="460" s="1"/>
  <c r="AI8" i="460"/>
  <c r="Y8" i="460" s="1"/>
  <c r="AA8" i="460" s="1"/>
  <c r="AB8" i="460" s="1"/>
  <c r="AI16" i="460"/>
  <c r="Y16" i="460" s="1"/>
  <c r="AA16" i="460" s="1"/>
  <c r="AB16" i="460" s="1"/>
  <c r="AI15" i="460"/>
  <c r="O15" i="460" s="1"/>
  <c r="Q15" i="460" s="1"/>
  <c r="R15" i="460" s="1"/>
  <c r="AI5" i="460"/>
  <c r="Y5" i="460" s="1"/>
  <c r="AA5" i="460" s="1"/>
  <c r="AB5" i="460" s="1"/>
  <c r="T37" i="460"/>
  <c r="O18" i="460"/>
  <c r="Q18" i="460" s="1"/>
  <c r="R18" i="460" s="1"/>
  <c r="Y18" i="460"/>
  <c r="AA18" i="460" s="1"/>
  <c r="AB18" i="460" s="1"/>
  <c r="N25" i="460"/>
  <c r="N30" i="460"/>
  <c r="P30" i="460" s="1"/>
  <c r="R35" i="460" s="1"/>
  <c r="N29" i="460"/>
  <c r="P29" i="460" s="1"/>
  <c r="N26" i="460"/>
  <c r="N28" i="460"/>
  <c r="P28" i="460" s="1"/>
  <c r="N27" i="460"/>
  <c r="P27" i="460" s="1"/>
  <c r="C34" i="460"/>
  <c r="T33" i="460"/>
  <c r="T32" i="460"/>
  <c r="T27" i="460"/>
  <c r="T31" i="460"/>
  <c r="C24" i="460"/>
  <c r="T25" i="460"/>
  <c r="T34" i="460"/>
  <c r="T26" i="460"/>
  <c r="T29" i="460"/>
  <c r="T28" i="460"/>
  <c r="T30" i="460"/>
  <c r="T35" i="460"/>
  <c r="AL14" i="446"/>
  <c r="AH14" i="446"/>
  <c r="AK14" i="446" s="1"/>
  <c r="AC17" i="461" l="1"/>
  <c r="AC6" i="461"/>
  <c r="S10" i="461"/>
  <c r="S17" i="461"/>
  <c r="S7" i="461"/>
  <c r="R47" i="461"/>
  <c r="R49" i="461"/>
  <c r="R48" i="461"/>
  <c r="R46" i="461"/>
  <c r="R45" i="461"/>
  <c r="AC5" i="461"/>
  <c r="S11" i="461"/>
  <c r="S5" i="461"/>
  <c r="AC19" i="461"/>
  <c r="S19" i="461"/>
  <c r="AC11" i="461"/>
  <c r="S16" i="461"/>
  <c r="S18" i="461"/>
  <c r="AC18" i="461"/>
  <c r="AC16" i="461"/>
  <c r="AC7" i="461"/>
  <c r="AC9" i="461"/>
  <c r="R25" i="461"/>
  <c r="P23" i="461"/>
  <c r="R30" i="461"/>
  <c r="R29" i="461"/>
  <c r="R28" i="461"/>
  <c r="R27" i="461"/>
  <c r="AC12" i="461"/>
  <c r="AC8" i="461"/>
  <c r="S9" i="461"/>
  <c r="R26" i="461"/>
  <c r="V26" i="461" s="1"/>
  <c r="S12" i="461"/>
  <c r="AC14" i="461"/>
  <c r="S8" i="461"/>
  <c r="P39" i="461"/>
  <c r="R44" i="461" s="1"/>
  <c r="N37" i="461"/>
  <c r="S6" i="461"/>
  <c r="AC10" i="461"/>
  <c r="S14" i="461"/>
  <c r="O16" i="460"/>
  <c r="Q16" i="460" s="1"/>
  <c r="R16" i="460" s="1"/>
  <c r="S16" i="460" s="1"/>
  <c r="R32" i="460"/>
  <c r="O11" i="460"/>
  <c r="Q11" i="460" s="1"/>
  <c r="R11" i="460" s="1"/>
  <c r="S11" i="460" s="1"/>
  <c r="Y15" i="460"/>
  <c r="AA15" i="460" s="1"/>
  <c r="AB15" i="460" s="1"/>
  <c r="AC15" i="460" s="1"/>
  <c r="R34" i="460"/>
  <c r="Y19" i="460"/>
  <c r="AA19" i="460" s="1"/>
  <c r="AB19" i="460" s="1"/>
  <c r="AC19" i="460" s="1"/>
  <c r="O8" i="460"/>
  <c r="Q8" i="460" s="1"/>
  <c r="R8" i="460" s="1"/>
  <c r="S8" i="460" s="1"/>
  <c r="Y7" i="460"/>
  <c r="AA7" i="460" s="1"/>
  <c r="AB7" i="460" s="1"/>
  <c r="AC7" i="460" s="1"/>
  <c r="Y9" i="460"/>
  <c r="AA9" i="460" s="1"/>
  <c r="AB9" i="460" s="1"/>
  <c r="AC9" i="460" s="1"/>
  <c r="O10" i="460"/>
  <c r="Q10" i="460" s="1"/>
  <c r="R10" i="460" s="1"/>
  <c r="S10" i="460" s="1"/>
  <c r="Y14" i="460"/>
  <c r="AA14" i="460" s="1"/>
  <c r="AB14" i="460" s="1"/>
  <c r="AC14" i="460" s="1"/>
  <c r="O6" i="460"/>
  <c r="Q6" i="460" s="1"/>
  <c r="R6" i="460" s="1"/>
  <c r="S6" i="460" s="1"/>
  <c r="AI3" i="460"/>
  <c r="O12" i="460"/>
  <c r="Q12" i="460" s="1"/>
  <c r="R12" i="460" s="1"/>
  <c r="S12" i="460" s="1"/>
  <c r="Y17" i="460"/>
  <c r="AA17" i="460" s="1"/>
  <c r="AB17" i="460" s="1"/>
  <c r="AC17" i="460" s="1"/>
  <c r="O13" i="460"/>
  <c r="Q13" i="460" s="1"/>
  <c r="R13" i="460" s="1"/>
  <c r="S13" i="460" s="1"/>
  <c r="O5" i="460"/>
  <c r="Q5" i="460" s="1"/>
  <c r="R5" i="460" s="1"/>
  <c r="S5" i="460" s="1"/>
  <c r="AC11" i="460"/>
  <c r="N43" i="460"/>
  <c r="P43" i="460" s="1"/>
  <c r="N41" i="460"/>
  <c r="P41" i="460" s="1"/>
  <c r="N44" i="460"/>
  <c r="P44" i="460" s="1"/>
  <c r="N40" i="460"/>
  <c r="P40" i="460" s="1"/>
  <c r="N39" i="460"/>
  <c r="N42" i="460"/>
  <c r="P42" i="460" s="1"/>
  <c r="S15" i="460"/>
  <c r="R33" i="460"/>
  <c r="S7" i="460"/>
  <c r="AC16" i="460"/>
  <c r="P26" i="460"/>
  <c r="R31" i="460" s="1"/>
  <c r="AC13" i="460"/>
  <c r="AC10" i="460"/>
  <c r="AC18" i="460"/>
  <c r="T23" i="460"/>
  <c r="S18" i="460"/>
  <c r="AC6" i="460"/>
  <c r="AC12" i="460"/>
  <c r="P25" i="460"/>
  <c r="N23" i="460"/>
  <c r="AC5" i="460"/>
  <c r="AC8" i="460"/>
  <c r="S17" i="460"/>
  <c r="S9" i="460"/>
  <c r="S14" i="460"/>
  <c r="S19" i="460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T12" i="461" l="1"/>
  <c r="U14" i="461"/>
  <c r="U12" i="461"/>
  <c r="AE7" i="461"/>
  <c r="AE10" i="461"/>
  <c r="AE5" i="461"/>
  <c r="AE17" i="461"/>
  <c r="AE11" i="461"/>
  <c r="T6" i="461"/>
  <c r="AE15" i="461"/>
  <c r="U10" i="461"/>
  <c r="U16" i="461"/>
  <c r="T10" i="461"/>
  <c r="AE13" i="461"/>
  <c r="AD6" i="461"/>
  <c r="U7" i="461"/>
  <c r="U15" i="461"/>
  <c r="AD5" i="461"/>
  <c r="T18" i="461"/>
  <c r="AD11" i="461"/>
  <c r="U5" i="461"/>
  <c r="T7" i="461"/>
  <c r="U8" i="461"/>
  <c r="AA25" i="461"/>
  <c r="AA26" i="461"/>
  <c r="R23" i="461"/>
  <c r="V25" i="461"/>
  <c r="V29" i="461"/>
  <c r="V31" i="461"/>
  <c r="V34" i="461"/>
  <c r="V32" i="461"/>
  <c r="V30" i="461"/>
  <c r="V33" i="461"/>
  <c r="U18" i="461"/>
  <c r="R41" i="461"/>
  <c r="U17" i="461"/>
  <c r="AE6" i="461"/>
  <c r="T8" i="461"/>
  <c r="R42" i="461"/>
  <c r="AD12" i="461"/>
  <c r="AD16" i="461"/>
  <c r="T19" i="461"/>
  <c r="R40" i="461"/>
  <c r="AD7" i="461"/>
  <c r="T5" i="461"/>
  <c r="AD8" i="461"/>
  <c r="U6" i="461"/>
  <c r="AE12" i="461"/>
  <c r="AD9" i="461"/>
  <c r="AE16" i="461"/>
  <c r="R43" i="461"/>
  <c r="T11" i="461"/>
  <c r="T17" i="461"/>
  <c r="AD17" i="461"/>
  <c r="AD10" i="461"/>
  <c r="AD14" i="461"/>
  <c r="T9" i="461"/>
  <c r="V27" i="461"/>
  <c r="AE9" i="461"/>
  <c r="AD18" i="461"/>
  <c r="U11" i="461"/>
  <c r="R39" i="461"/>
  <c r="P37" i="461"/>
  <c r="U13" i="461"/>
  <c r="AE14" i="461"/>
  <c r="U9" i="461"/>
  <c r="V28" i="461"/>
  <c r="AE18" i="461"/>
  <c r="T16" i="461"/>
  <c r="AD19" i="461"/>
  <c r="AC20" i="461"/>
  <c r="AD13" i="461"/>
  <c r="AD15" i="461"/>
  <c r="T14" i="461"/>
  <c r="AE8" i="461"/>
  <c r="S20" i="461"/>
  <c r="T15" i="461"/>
  <c r="T13" i="461"/>
  <c r="AE14" i="460"/>
  <c r="AE7" i="460"/>
  <c r="S20" i="460"/>
  <c r="L25" i="460" s="1"/>
  <c r="AE6" i="460"/>
  <c r="T5" i="460"/>
  <c r="AD13" i="460"/>
  <c r="AE8" i="460"/>
  <c r="AE5" i="460"/>
  <c r="T14" i="460"/>
  <c r="AD7" i="460"/>
  <c r="U17" i="460"/>
  <c r="U7" i="460"/>
  <c r="AE17" i="460"/>
  <c r="U16" i="460"/>
  <c r="AE18" i="460"/>
  <c r="U15" i="460"/>
  <c r="AD11" i="460"/>
  <c r="AE11" i="460"/>
  <c r="U9" i="460"/>
  <c r="U5" i="460"/>
  <c r="AD5" i="460"/>
  <c r="R25" i="460"/>
  <c r="P23" i="460"/>
  <c r="R30" i="460"/>
  <c r="R29" i="460"/>
  <c r="R28" i="460"/>
  <c r="R27" i="460"/>
  <c r="T18" i="460"/>
  <c r="P39" i="460"/>
  <c r="R44" i="460" s="1"/>
  <c r="N37" i="460"/>
  <c r="U13" i="460"/>
  <c r="T10" i="460"/>
  <c r="AC20" i="460"/>
  <c r="U18" i="460"/>
  <c r="R26" i="460"/>
  <c r="T8" i="460"/>
  <c r="U14" i="460"/>
  <c r="T13" i="460"/>
  <c r="T9" i="460"/>
  <c r="U10" i="460"/>
  <c r="AD12" i="460"/>
  <c r="AE10" i="460"/>
  <c r="T16" i="460"/>
  <c r="R47" i="460"/>
  <c r="R49" i="460"/>
  <c r="R48" i="460"/>
  <c r="R46" i="460"/>
  <c r="R45" i="460"/>
  <c r="U8" i="460"/>
  <c r="T15" i="460"/>
  <c r="AE13" i="460"/>
  <c r="AD19" i="460"/>
  <c r="AE12" i="460"/>
  <c r="T11" i="460"/>
  <c r="AD16" i="460"/>
  <c r="T7" i="460"/>
  <c r="AD15" i="460"/>
  <c r="AE15" i="460"/>
  <c r="T19" i="460"/>
  <c r="T17" i="460"/>
  <c r="AD17" i="460"/>
  <c r="U11" i="460"/>
  <c r="T12" i="460"/>
  <c r="T6" i="460"/>
  <c r="AD10" i="460"/>
  <c r="AE16" i="460"/>
  <c r="AD9" i="460"/>
  <c r="AD18" i="460"/>
  <c r="AD8" i="460"/>
  <c r="AD14" i="460"/>
  <c r="AD6" i="460"/>
  <c r="U12" i="460"/>
  <c r="U6" i="460"/>
  <c r="AE9" i="460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AE20" i="461" l="1"/>
  <c r="L41" i="461" s="1"/>
  <c r="AA23" i="461"/>
  <c r="V42" i="461"/>
  <c r="AE42" i="461" s="1"/>
  <c r="AD20" i="461"/>
  <c r="L40" i="461" s="1"/>
  <c r="AM26" i="461"/>
  <c r="AM32" i="461"/>
  <c r="AM25" i="461"/>
  <c r="AM30" i="461"/>
  <c r="AM29" i="461"/>
  <c r="AM31" i="461"/>
  <c r="AM27" i="461"/>
  <c r="AM28" i="461"/>
  <c r="V39" i="461"/>
  <c r="R37" i="461"/>
  <c r="V47" i="461"/>
  <c r="V44" i="461"/>
  <c r="V48" i="461"/>
  <c r="V46" i="461"/>
  <c r="V43" i="461"/>
  <c r="V45" i="461"/>
  <c r="AQ32" i="461"/>
  <c r="AQ27" i="461"/>
  <c r="AQ33" i="461"/>
  <c r="AQ25" i="461"/>
  <c r="AQ31" i="461"/>
  <c r="AQ34" i="461"/>
  <c r="AQ26" i="461"/>
  <c r="AQ29" i="461"/>
  <c r="AQ30" i="461"/>
  <c r="AQ28" i="461"/>
  <c r="T20" i="461"/>
  <c r="L26" i="461" s="1"/>
  <c r="AK25" i="461"/>
  <c r="AK26" i="461"/>
  <c r="AK30" i="461"/>
  <c r="AK31" i="461"/>
  <c r="AK29" i="461"/>
  <c r="AK28" i="461"/>
  <c r="AK27" i="461"/>
  <c r="L25" i="461"/>
  <c r="AG25" i="461"/>
  <c r="AG29" i="461"/>
  <c r="AG28" i="461"/>
  <c r="AG27" i="461"/>
  <c r="AG26" i="461"/>
  <c r="U20" i="461"/>
  <c r="L27" i="461" s="1"/>
  <c r="AE25" i="461"/>
  <c r="AE28" i="461"/>
  <c r="AE27" i="461"/>
  <c r="AE26" i="461"/>
  <c r="V40" i="461"/>
  <c r="V41" i="461"/>
  <c r="AC26" i="461"/>
  <c r="AC25" i="461"/>
  <c r="AC27" i="461"/>
  <c r="Y25" i="461"/>
  <c r="V23" i="461"/>
  <c r="V35" i="461" s="1"/>
  <c r="V22" i="461" s="1"/>
  <c r="L39" i="461"/>
  <c r="AO27" i="461"/>
  <c r="AO33" i="461"/>
  <c r="AO32" i="461"/>
  <c r="AO25" i="461"/>
  <c r="AO30" i="461"/>
  <c r="AO28" i="461"/>
  <c r="AO31" i="461"/>
  <c r="AO26" i="461"/>
  <c r="AO29" i="461"/>
  <c r="AI26" i="461"/>
  <c r="AI25" i="461"/>
  <c r="AI30" i="461"/>
  <c r="AI27" i="461"/>
  <c r="AI29" i="461"/>
  <c r="AI28" i="461"/>
  <c r="R40" i="460"/>
  <c r="AE20" i="460"/>
  <c r="L41" i="460" s="1"/>
  <c r="T20" i="460"/>
  <c r="L26" i="460" s="1"/>
  <c r="R39" i="460"/>
  <c r="P37" i="460"/>
  <c r="AD20" i="460"/>
  <c r="L40" i="460" s="1"/>
  <c r="V26" i="460"/>
  <c r="U20" i="460"/>
  <c r="L27" i="460" s="1"/>
  <c r="R41" i="460"/>
  <c r="V27" i="460"/>
  <c r="R23" i="460"/>
  <c r="V25" i="460"/>
  <c r="V33" i="460"/>
  <c r="V32" i="460"/>
  <c r="V34" i="460"/>
  <c r="V30" i="460"/>
  <c r="V31" i="460"/>
  <c r="V29" i="460"/>
  <c r="R43" i="460"/>
  <c r="L39" i="460"/>
  <c r="V28" i="460"/>
  <c r="R42" i="460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V20" i="461" l="1"/>
  <c r="L28" i="461" s="1"/>
  <c r="L23" i="461" s="1"/>
  <c r="AE39" i="461"/>
  <c r="AE41" i="461"/>
  <c r="AE40" i="461"/>
  <c r="AI23" i="461"/>
  <c r="AF20" i="461"/>
  <c r="L42" i="461" s="1"/>
  <c r="L37" i="461" s="1"/>
  <c r="AK43" i="461"/>
  <c r="AK44" i="461"/>
  <c r="AK42" i="461"/>
  <c r="AK41" i="461"/>
  <c r="AK45" i="461"/>
  <c r="AK40" i="461"/>
  <c r="AK39" i="461"/>
  <c r="AC23" i="461"/>
  <c r="AG42" i="461"/>
  <c r="AG43" i="461"/>
  <c r="AG41" i="461"/>
  <c r="AG40" i="461"/>
  <c r="AG39" i="461"/>
  <c r="AG23" i="461"/>
  <c r="AM43" i="461"/>
  <c r="AM44" i="461"/>
  <c r="AM42" i="461"/>
  <c r="AM41" i="461"/>
  <c r="AM40" i="461"/>
  <c r="AM39" i="461"/>
  <c r="AM45" i="461"/>
  <c r="AM46" i="461"/>
  <c r="AA40" i="461"/>
  <c r="AA39" i="461"/>
  <c r="AK23" i="461"/>
  <c r="AQ23" i="461"/>
  <c r="AQ47" i="461"/>
  <c r="AQ43" i="461"/>
  <c r="AQ42" i="461"/>
  <c r="AQ41" i="461"/>
  <c r="AQ48" i="461"/>
  <c r="AQ46" i="461"/>
  <c r="AQ45" i="461"/>
  <c r="AQ39" i="461"/>
  <c r="AQ40" i="461"/>
  <c r="AQ44" i="461"/>
  <c r="AE23" i="461"/>
  <c r="AI43" i="461"/>
  <c r="AI42" i="461"/>
  <c r="AI41" i="461"/>
  <c r="AI40" i="461"/>
  <c r="AI39" i="461"/>
  <c r="AI44" i="461"/>
  <c r="AO43" i="461"/>
  <c r="AO42" i="461"/>
  <c r="AO41" i="461"/>
  <c r="AO39" i="461"/>
  <c r="AO45" i="461"/>
  <c r="AO40" i="461"/>
  <c r="AO47" i="461"/>
  <c r="AO46" i="461"/>
  <c r="AO44" i="461"/>
  <c r="AM23" i="461"/>
  <c r="AS34" i="461"/>
  <c r="J34" i="461" s="1"/>
  <c r="AS31" i="461"/>
  <c r="J31" i="461" s="1"/>
  <c r="AS25" i="461"/>
  <c r="AS35" i="461"/>
  <c r="J35" i="461" s="1"/>
  <c r="AS32" i="461"/>
  <c r="J32" i="461" s="1"/>
  <c r="AS33" i="461"/>
  <c r="J33" i="461" s="1"/>
  <c r="AS26" i="461"/>
  <c r="J26" i="461" s="1"/>
  <c r="AS29" i="461"/>
  <c r="J29" i="461" s="1"/>
  <c r="AS28" i="461"/>
  <c r="J28" i="461" s="1"/>
  <c r="AS30" i="461"/>
  <c r="J30" i="461" s="1"/>
  <c r="AS27" i="461"/>
  <c r="J27" i="461" s="1"/>
  <c r="AO23" i="461"/>
  <c r="Y23" i="461"/>
  <c r="AC41" i="461"/>
  <c r="AC40" i="461"/>
  <c r="AC39" i="461"/>
  <c r="V37" i="461"/>
  <c r="V49" i="461" s="1"/>
  <c r="Y39" i="461"/>
  <c r="V42" i="460"/>
  <c r="AE41" i="460" s="1"/>
  <c r="AF20" i="460"/>
  <c r="L42" i="460" s="1"/>
  <c r="L37" i="460" s="1"/>
  <c r="AA25" i="460"/>
  <c r="AA26" i="460"/>
  <c r="AM32" i="460"/>
  <c r="AM28" i="460"/>
  <c r="AM30" i="460"/>
  <c r="AM31" i="460"/>
  <c r="AM29" i="460"/>
  <c r="AM27" i="460"/>
  <c r="AM26" i="460"/>
  <c r="AM25" i="460"/>
  <c r="AE28" i="460"/>
  <c r="AE26" i="460"/>
  <c r="AE27" i="460"/>
  <c r="AE25" i="460"/>
  <c r="AO32" i="460"/>
  <c r="AO25" i="460"/>
  <c r="AO31" i="460"/>
  <c r="AO30" i="460"/>
  <c r="AO26" i="460"/>
  <c r="AO29" i="460"/>
  <c r="AO28" i="460"/>
  <c r="AO27" i="460"/>
  <c r="AO33" i="460"/>
  <c r="AI30" i="460"/>
  <c r="AI28" i="460"/>
  <c r="AI29" i="460"/>
  <c r="AI25" i="460"/>
  <c r="AI26" i="460"/>
  <c r="AI27" i="460"/>
  <c r="Y25" i="460"/>
  <c r="V23" i="460"/>
  <c r="V35" i="460" s="1"/>
  <c r="R37" i="460"/>
  <c r="V39" i="460"/>
  <c r="V46" i="460"/>
  <c r="V43" i="460"/>
  <c r="V47" i="460"/>
  <c r="V44" i="460"/>
  <c r="V48" i="460"/>
  <c r="V45" i="460"/>
  <c r="AQ25" i="460"/>
  <c r="AQ30" i="460"/>
  <c r="AQ31" i="460"/>
  <c r="AQ34" i="460"/>
  <c r="AQ26" i="460"/>
  <c r="AQ29" i="460"/>
  <c r="AQ33" i="460"/>
  <c r="AQ28" i="460"/>
  <c r="AQ32" i="460"/>
  <c r="AQ27" i="460"/>
  <c r="AG27" i="460"/>
  <c r="AG29" i="460"/>
  <c r="AG28" i="460"/>
  <c r="AG26" i="460"/>
  <c r="AG25" i="460"/>
  <c r="V40" i="460"/>
  <c r="AK29" i="460"/>
  <c r="AK30" i="460"/>
  <c r="AK28" i="460"/>
  <c r="AK26" i="460"/>
  <c r="AK31" i="460"/>
  <c r="AK27" i="460"/>
  <c r="AK25" i="460"/>
  <c r="AC25" i="460"/>
  <c r="AC26" i="460"/>
  <c r="AC27" i="460"/>
  <c r="V20" i="460"/>
  <c r="L28" i="460" s="1"/>
  <c r="L23" i="460" s="1"/>
  <c r="V41" i="460"/>
  <c r="B23" i="446"/>
  <c r="B34" i="446" s="1"/>
  <c r="AK13" i="446"/>
  <c r="AG16" i="446"/>
  <c r="AN16" i="446" s="1"/>
  <c r="AN3" i="446" s="1"/>
  <c r="W25" i="446"/>
  <c r="AA37" i="461" l="1"/>
  <c r="AE37" i="461"/>
  <c r="H29" i="461"/>
  <c r="H33" i="461"/>
  <c r="AK37" i="461"/>
  <c r="AQ37" i="461"/>
  <c r="H32" i="461"/>
  <c r="H30" i="461"/>
  <c r="H31" i="461"/>
  <c r="H34" i="461"/>
  <c r="AS23" i="461"/>
  <c r="AS22" i="461" s="1"/>
  <c r="AO37" i="461"/>
  <c r="J25" i="461"/>
  <c r="H28" i="461" s="1"/>
  <c r="Y37" i="461"/>
  <c r="AS49" i="461"/>
  <c r="J49" i="461" s="1"/>
  <c r="AS42" i="461"/>
  <c r="J42" i="461" s="1"/>
  <c r="AS43" i="461"/>
  <c r="J43" i="461" s="1"/>
  <c r="AS41" i="461"/>
  <c r="J41" i="461" s="1"/>
  <c r="AS44" i="461"/>
  <c r="J44" i="461" s="1"/>
  <c r="AS45" i="461"/>
  <c r="J45" i="461" s="1"/>
  <c r="AS40" i="461"/>
  <c r="J40" i="461" s="1"/>
  <c r="AS46" i="461"/>
  <c r="J46" i="461" s="1"/>
  <c r="AS47" i="461"/>
  <c r="J47" i="461" s="1"/>
  <c r="AS39" i="461"/>
  <c r="J39" i="461" s="1"/>
  <c r="AS48" i="461"/>
  <c r="J48" i="461" s="1"/>
  <c r="V36" i="461"/>
  <c r="AC37" i="461"/>
  <c r="H35" i="461"/>
  <c r="AI37" i="461"/>
  <c r="AM37" i="461"/>
  <c r="AG37" i="461"/>
  <c r="AE42" i="460"/>
  <c r="AE40" i="460"/>
  <c r="AE39" i="460"/>
  <c r="AI23" i="460"/>
  <c r="AI42" i="460"/>
  <c r="AI44" i="460"/>
  <c r="AI41" i="460"/>
  <c r="AI40" i="460"/>
  <c r="AI43" i="460"/>
  <c r="AI39" i="460"/>
  <c r="Y23" i="460"/>
  <c r="AE23" i="460"/>
  <c r="AS30" i="460"/>
  <c r="J30" i="460" s="1"/>
  <c r="AS29" i="460"/>
  <c r="J29" i="460" s="1"/>
  <c r="AS28" i="460"/>
  <c r="J28" i="460" s="1"/>
  <c r="AS27" i="460"/>
  <c r="J27" i="460" s="1"/>
  <c r="AS26" i="460"/>
  <c r="J26" i="460" s="1"/>
  <c r="AS33" i="460"/>
  <c r="J33" i="460" s="1"/>
  <c r="AS35" i="460"/>
  <c r="J35" i="460" s="1"/>
  <c r="AS31" i="460"/>
  <c r="J31" i="460" s="1"/>
  <c r="AS25" i="460"/>
  <c r="AS34" i="460"/>
  <c r="J34" i="460" s="1"/>
  <c r="AS32" i="460"/>
  <c r="J32" i="460" s="1"/>
  <c r="AC41" i="460"/>
  <c r="AC40" i="460"/>
  <c r="AC39" i="460"/>
  <c r="AO43" i="460"/>
  <c r="AO47" i="460"/>
  <c r="AO42" i="460"/>
  <c r="AO44" i="460"/>
  <c r="AO39" i="460"/>
  <c r="AO41" i="460"/>
  <c r="AO40" i="460"/>
  <c r="AO46" i="460"/>
  <c r="AO45" i="460"/>
  <c r="AG42" i="460"/>
  <c r="AG43" i="460"/>
  <c r="AG41" i="460"/>
  <c r="AG40" i="460"/>
  <c r="AG39" i="460"/>
  <c r="AM40" i="460"/>
  <c r="AM44" i="460"/>
  <c r="AM42" i="460"/>
  <c r="AM43" i="460"/>
  <c r="AM41" i="460"/>
  <c r="AM39" i="460"/>
  <c r="AM45" i="460"/>
  <c r="AM46" i="460"/>
  <c r="AQ23" i="460"/>
  <c r="V37" i="460"/>
  <c r="V49" i="460" s="1"/>
  <c r="Y39" i="460"/>
  <c r="AM23" i="460"/>
  <c r="AC23" i="460"/>
  <c r="AA39" i="460"/>
  <c r="AA40" i="460"/>
  <c r="AK44" i="460"/>
  <c r="AK41" i="460"/>
  <c r="AK45" i="460"/>
  <c r="AK40" i="460"/>
  <c r="AK42" i="460"/>
  <c r="AK39" i="460"/>
  <c r="AK43" i="460"/>
  <c r="AA23" i="460"/>
  <c r="AK23" i="460"/>
  <c r="AG23" i="460"/>
  <c r="AQ43" i="460"/>
  <c r="AQ42" i="460"/>
  <c r="AQ41" i="460"/>
  <c r="AQ48" i="460"/>
  <c r="AQ47" i="460"/>
  <c r="AQ46" i="460"/>
  <c r="AQ40" i="460"/>
  <c r="AQ45" i="460"/>
  <c r="AQ39" i="460"/>
  <c r="AQ44" i="460"/>
  <c r="V22" i="460"/>
  <c r="AO23" i="460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H27" i="461" l="1"/>
  <c r="H48" i="461"/>
  <c r="H43" i="461"/>
  <c r="BN8" i="461" s="1"/>
  <c r="H44" i="461"/>
  <c r="BJ38" i="461" s="1"/>
  <c r="J37" i="461"/>
  <c r="H39" i="461"/>
  <c r="BR24" i="461" s="1"/>
  <c r="H46" i="461"/>
  <c r="BJ45" i="461" s="1"/>
  <c r="H45" i="461"/>
  <c r="H41" i="461"/>
  <c r="BR26" i="461" s="1"/>
  <c r="H40" i="461"/>
  <c r="BR8" i="461" s="1"/>
  <c r="J23" i="461"/>
  <c r="H25" i="461"/>
  <c r="H42" i="461"/>
  <c r="AS37" i="461"/>
  <c r="AS36" i="461" s="1"/>
  <c r="H47" i="461"/>
  <c r="H49" i="461"/>
  <c r="BJ37" i="461" s="1"/>
  <c r="H26" i="461"/>
  <c r="AE37" i="460"/>
  <c r="AA37" i="460"/>
  <c r="H31" i="460"/>
  <c r="AI37" i="460"/>
  <c r="AM37" i="460"/>
  <c r="AO37" i="460"/>
  <c r="H29" i="460"/>
  <c r="H34" i="460"/>
  <c r="AS42" i="460"/>
  <c r="J42" i="460" s="1"/>
  <c r="AS43" i="460"/>
  <c r="J43" i="460" s="1"/>
  <c r="AS41" i="460"/>
  <c r="J41" i="460" s="1"/>
  <c r="AS44" i="460"/>
  <c r="J44" i="460" s="1"/>
  <c r="AS40" i="460"/>
  <c r="J40" i="460" s="1"/>
  <c r="AS48" i="460"/>
  <c r="J48" i="460" s="1"/>
  <c r="AS46" i="460"/>
  <c r="J46" i="460" s="1"/>
  <c r="AS47" i="460"/>
  <c r="J47" i="460" s="1"/>
  <c r="AS39" i="460"/>
  <c r="AS45" i="460"/>
  <c r="J45" i="460" s="1"/>
  <c r="AS49" i="460"/>
  <c r="J49" i="460" s="1"/>
  <c r="Y37" i="460"/>
  <c r="V36" i="460"/>
  <c r="H30" i="460"/>
  <c r="H33" i="460"/>
  <c r="H32" i="460"/>
  <c r="AS23" i="460"/>
  <c r="AS22" i="460" s="1"/>
  <c r="AK37" i="460"/>
  <c r="AG37" i="460"/>
  <c r="H35" i="460"/>
  <c r="AQ37" i="460"/>
  <c r="AC37" i="460"/>
  <c r="J25" i="460"/>
  <c r="H28" i="460" s="1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BR18" i="461" l="1"/>
  <c r="BR29" i="461"/>
  <c r="BJ31" i="461"/>
  <c r="BJ28" i="461"/>
  <c r="BJ29" i="461"/>
  <c r="BJ26" i="461"/>
  <c r="BR43" i="461"/>
  <c r="BR22" i="461"/>
  <c r="BR39" i="461"/>
  <c r="BR25" i="461"/>
  <c r="BN11" i="461"/>
  <c r="BR15" i="461"/>
  <c r="BJ42" i="461"/>
  <c r="BJ55" i="461"/>
  <c r="BN13" i="461"/>
  <c r="BJ54" i="461"/>
  <c r="BJ57" i="461"/>
  <c r="BR40" i="461"/>
  <c r="BJ52" i="461"/>
  <c r="BR5" i="461"/>
  <c r="BR7" i="461"/>
  <c r="BJ47" i="461"/>
  <c r="BR6" i="461"/>
  <c r="BJ36" i="461"/>
  <c r="BR19" i="461"/>
  <c r="BJ27" i="461"/>
  <c r="BR23" i="461"/>
  <c r="BN9" i="461"/>
  <c r="BJ34" i="461"/>
  <c r="BR44" i="461"/>
  <c r="BR14" i="461"/>
  <c r="BJ32" i="461"/>
  <c r="BJ49" i="461"/>
  <c r="BJ25" i="461"/>
  <c r="BR36" i="461"/>
  <c r="BR35" i="461"/>
  <c r="BJ53" i="461"/>
  <c r="BR28" i="461"/>
  <c r="BJ24" i="461"/>
  <c r="BR45" i="461"/>
  <c r="BR38" i="461"/>
  <c r="BJ40" i="461"/>
  <c r="BJ59" i="461"/>
  <c r="BR12" i="461"/>
  <c r="BR33" i="461"/>
  <c r="BR34" i="461"/>
  <c r="BR13" i="461"/>
  <c r="BJ33" i="461"/>
  <c r="BJ58" i="461"/>
  <c r="BJ43" i="461"/>
  <c r="BN12" i="461"/>
  <c r="BJ41" i="461"/>
  <c r="BN7" i="461"/>
  <c r="BR21" i="461"/>
  <c r="BR30" i="461"/>
  <c r="H23" i="461"/>
  <c r="BJ12" i="461"/>
  <c r="BJ11" i="461"/>
  <c r="BJ6" i="461"/>
  <c r="BN4" i="461"/>
  <c r="BJ5" i="461"/>
  <c r="BJ4" i="461"/>
  <c r="BJ10" i="461"/>
  <c r="BJ8" i="461"/>
  <c r="BJ13" i="461"/>
  <c r="BJ9" i="461"/>
  <c r="BJ7" i="461"/>
  <c r="BN6" i="461"/>
  <c r="BJ23" i="461"/>
  <c r="BR17" i="461"/>
  <c r="H37" i="461"/>
  <c r="BR10" i="461"/>
  <c r="BR31" i="461"/>
  <c r="BN10" i="461"/>
  <c r="BJ50" i="461"/>
  <c r="BR41" i="461"/>
  <c r="BJ46" i="461"/>
  <c r="BJ35" i="461"/>
  <c r="BJ39" i="461"/>
  <c r="BR37" i="461"/>
  <c r="BJ56" i="461"/>
  <c r="BN14" i="461"/>
  <c r="BR42" i="461"/>
  <c r="BJ48" i="461"/>
  <c r="BJ20" i="461"/>
  <c r="BJ21" i="461"/>
  <c r="BJ19" i="461"/>
  <c r="BJ22" i="461"/>
  <c r="BJ17" i="461"/>
  <c r="BN5" i="461"/>
  <c r="BJ15" i="461"/>
  <c r="BJ18" i="461"/>
  <c r="BJ16" i="461"/>
  <c r="BJ14" i="461"/>
  <c r="BR4" i="461"/>
  <c r="BR47" i="461"/>
  <c r="BR20" i="461"/>
  <c r="BR27" i="461"/>
  <c r="BJ51" i="461"/>
  <c r="BR11" i="461"/>
  <c r="BR32" i="461"/>
  <c r="BR46" i="461"/>
  <c r="BJ30" i="461"/>
  <c r="BR16" i="461"/>
  <c r="BJ44" i="461"/>
  <c r="BR9" i="461"/>
  <c r="H27" i="460"/>
  <c r="H47" i="460"/>
  <c r="BJ51" i="460" s="1"/>
  <c r="H48" i="460"/>
  <c r="BJ52" i="460" s="1"/>
  <c r="H44" i="460"/>
  <c r="BR23" i="460" s="1"/>
  <c r="AS37" i="460"/>
  <c r="AS36" i="460" s="1"/>
  <c r="J39" i="460"/>
  <c r="H41" i="460" s="1"/>
  <c r="H46" i="460"/>
  <c r="BJ50" i="460" s="1"/>
  <c r="H43" i="460"/>
  <c r="BR22" i="460" s="1"/>
  <c r="J23" i="460"/>
  <c r="H25" i="460"/>
  <c r="H49" i="460"/>
  <c r="BJ53" i="460" s="1"/>
  <c r="H45" i="460"/>
  <c r="BN10" i="460" s="1"/>
  <c r="H26" i="460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B39" i="461" l="1"/>
  <c r="B38" i="461"/>
  <c r="B37" i="461"/>
  <c r="BJ47" i="460"/>
  <c r="BJ27" i="460"/>
  <c r="BN13" i="460"/>
  <c r="BJ42" i="460"/>
  <c r="BJ55" i="460"/>
  <c r="BJ45" i="460"/>
  <c r="BJ57" i="460"/>
  <c r="BJ36" i="460"/>
  <c r="BJ40" i="460"/>
  <c r="BJ30" i="460"/>
  <c r="BR46" i="460"/>
  <c r="BJ25" i="460"/>
  <c r="BJ41" i="460"/>
  <c r="BJ54" i="460"/>
  <c r="BJ28" i="460"/>
  <c r="H42" i="460"/>
  <c r="BJ15" i="460" s="1"/>
  <c r="BJ29" i="460"/>
  <c r="BN12" i="460"/>
  <c r="BR47" i="460"/>
  <c r="BJ35" i="460"/>
  <c r="BJ46" i="460"/>
  <c r="BR44" i="460"/>
  <c r="BR20" i="460"/>
  <c r="BR16" i="460"/>
  <c r="BR12" i="460"/>
  <c r="BN14" i="460"/>
  <c r="BJ56" i="460"/>
  <c r="BJ39" i="460"/>
  <c r="BJ24" i="460"/>
  <c r="BJ43" i="460"/>
  <c r="BR30" i="460"/>
  <c r="BJ37" i="460"/>
  <c r="BR45" i="460"/>
  <c r="BJ33" i="460"/>
  <c r="BN8" i="460"/>
  <c r="BJ21" i="460"/>
  <c r="BJ19" i="460"/>
  <c r="BJ22" i="460"/>
  <c r="BJ20" i="460"/>
  <c r="BJ18" i="460"/>
  <c r="BJ16" i="460"/>
  <c r="BJ14" i="460"/>
  <c r="BJ17" i="460"/>
  <c r="BJ48" i="460"/>
  <c r="BR36" i="460"/>
  <c r="BR38" i="460"/>
  <c r="BJ59" i="460"/>
  <c r="BJ44" i="460"/>
  <c r="BR37" i="460"/>
  <c r="BR43" i="460"/>
  <c r="J37" i="460"/>
  <c r="H39" i="460"/>
  <c r="BN4" i="460" s="1"/>
  <c r="BR28" i="460"/>
  <c r="BR9" i="460"/>
  <c r="BJ31" i="460"/>
  <c r="H23" i="460"/>
  <c r="BJ13" i="460"/>
  <c r="BJ9" i="460"/>
  <c r="BJ8" i="460"/>
  <c r="BJ7" i="460"/>
  <c r="BJ12" i="460"/>
  <c r="BJ11" i="460"/>
  <c r="BJ5" i="460"/>
  <c r="BJ10" i="460"/>
  <c r="BR26" i="460"/>
  <c r="BR29" i="460"/>
  <c r="BJ32" i="460"/>
  <c r="BR35" i="460"/>
  <c r="BR18" i="460"/>
  <c r="BJ58" i="460"/>
  <c r="BN9" i="460"/>
  <c r="BN6" i="460"/>
  <c r="BJ26" i="460"/>
  <c r="BR33" i="460"/>
  <c r="BJ38" i="460"/>
  <c r="BR41" i="460"/>
  <c r="BN11" i="460"/>
  <c r="BJ34" i="460"/>
  <c r="H40" i="460"/>
  <c r="BN5" i="460" s="1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6" i="461" l="1"/>
  <c r="BJ23" i="460"/>
  <c r="BN7" i="460"/>
  <c r="B37" i="460" s="1"/>
  <c r="BJ6" i="460"/>
  <c r="BR34" i="460"/>
  <c r="BR27" i="460"/>
  <c r="BR21" i="460"/>
  <c r="BR42" i="460"/>
  <c r="BR13" i="460"/>
  <c r="BR17" i="460"/>
  <c r="BR4" i="460"/>
  <c r="BJ4" i="460"/>
  <c r="BR19" i="460"/>
  <c r="BR40" i="460"/>
  <c r="BR11" i="460"/>
  <c r="BR15" i="460"/>
  <c r="BR32" i="460"/>
  <c r="BR25" i="460"/>
  <c r="BR8" i="460"/>
  <c r="BR6" i="460"/>
  <c r="H37" i="460"/>
  <c r="BJ49" i="460"/>
  <c r="BR10" i="460"/>
  <c r="BR5" i="460"/>
  <c r="BR31" i="460"/>
  <c r="BR14" i="460"/>
  <c r="BR7" i="460"/>
  <c r="BR24" i="460"/>
  <c r="BR39" i="460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38" i="460" l="1"/>
  <c r="B39" i="460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36" i="460" l="1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AK37" i="446" l="1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H44" i="446" l="1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40F7E627-96B4-4AD1-87D7-2F0F403214BD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B8A03CC7-9B46-4446-A96B-4B8E3AF6E09F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3088CEFC-415F-4FB8-ACAD-B38BD035C818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893D1A20-A8D3-4E1C-AF25-0E951EBE271D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E6E516CD-10B7-4737-80B6-94BEFE760334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103D9352-7C3A-460A-93B3-84C49890C923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E9494072-1E06-4970-BBFE-4D9AD29C6E06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10D6C443-0757-4FF6-ACA4-C8D9B0DE7118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E56EB1A3-8015-4F50-94B4-0CA373564454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A9AD6485-7ECF-421D-A212-1CCC249FC1DA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A1DE84EE-963A-4F22-99D2-5F334697E03C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5CF79F52-40B0-4C01-A6BF-B2244337EA34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B524AE2A-EC2C-42AC-A79D-D69140B1B52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1F3769A8-894C-4F83-BA2C-3CDB8CC36A27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24E1D8B7-B2B0-438F-ACF3-EF70DEC606F9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39E1DE9E-DC1E-4CE3-BFCA-92DF0A546AFD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73637E44-B57C-4B1F-BAA3-EA856233DDE8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4595EA12-AA30-4A68-96C8-C6953A24ECF6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5C02FBF-38E7-4673-B28C-784FC4E0CF0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87731812-FDB3-4631-97FF-C87B780D4CAF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78BB9031-FB65-4D93-B277-7A2452448119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16818E44-374D-46F4-905E-2FDB31920C64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589411B1-6F3C-41D6-BE33-BDACE270A482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35CB8CFB-B94F-4CEA-A85D-E00CF08B3AB9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30B460C5-25BC-4BFE-919A-B0553B4942CD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44E5BCFD-F152-4A65-BD01-0675DD175B29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2B25AE1F-7AC3-4C05-8AC1-4D2FF64E232B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2C5DB259-DD58-433F-811F-85FA9BD1A886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5E994C73-87D6-4BB7-94B9-D56033C8F0E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A9E40DE7-EAE6-48BA-BC40-1CDDB0880FFD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32F5A709-59BF-4206-9065-BFA14A011214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25487315-42B8-4124-9684-F1413D468FBD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DC15298A-CCF6-42D5-AFFA-2DBE83406244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D7C076BC-212D-4F13-B491-F43B79AC3F97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3E9ABFB5-1B52-4DCE-84B7-E15E2C34BE54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6B864C5C-27E6-4BBE-977D-8B8F07E3313A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8D43D59C-61A0-484B-8C33-73776785540F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4B18DE8D-048F-47DD-962C-361BD1B6CF3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34842281-206A-47A1-9D39-E27291D635C3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45403FCD-1BBE-4F0D-A907-0A50092650E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<sst xmlns="http://schemas.openxmlformats.org/spreadsheetml/2006/main" count="1552" uniqueCount="163">
  <si>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</si>
  <si>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</si>
  <si>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</si>
  <si>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</si>
  <si>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</si>
  <si>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</si>
  <si>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</si>
  <si>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</si>
  <si>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</si>
  <si>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</si>
  <si>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</si>
  <si>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</si>
  <si>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</si>
  <si>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</si>
  <si>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</si>
  <si>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</si>
  <si>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</si>
  <si>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</si>
  <si>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</si>
  <si>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</si>
  <si>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</si>
  <si>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</si>
  <si>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</si>
  <si>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</si>
  <si>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</si>
  <si>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</si>
  <si>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</si>
  <si>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</si>
  <si>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</si>
  <si>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</si>
  <si>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</si>
  <si>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</si>
  <si>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</si>
  <si>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</si>
  <si>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</si>
  <si>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</si>
  <si>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</si>
  <si>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</si>
  <si>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</si>
  <si>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</si>
  <si>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</si>
  <si>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</si>
  <si>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</si>
  <si>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</si>
  <si>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</si>
  <si>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</si>
  <si>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</si>
  <si>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</si>
  <si>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</si>
  <si>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</si>
  <si>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</si>
  <si>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</si>
  <si>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</si>
  <si>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</si>
  <si>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</si>
  <si>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</si>
  <si>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</si>
  <si>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</si>
  <si>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</si>
  <si>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</si>
  <si>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</si>
  <si>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</si>
  <si>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</si>
  <si>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</si>
  <si>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</si>
  <si>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</si>
  <si>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</si>
  <si>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</si>
  <si>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</si>
  <si>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</si>
  <si>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</si>
  <si>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</si>
  <si>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</si>
  <si>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</si>
  <si>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</si>
  <si>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</si>
  <si>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</si>
  <si>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</si>
  <si>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</si>
  <si>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</si>
  <si>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</si>
  <si>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</si>
  <si>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</si>
  <si>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</si>
  <si>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</si>
  <si>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</si>
  <si>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</si>
  <si>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</si>
  <si>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</si>
  <si>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</si>
  <si>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</si>
  <si>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</si>
  <si>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</si>
  <si>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</si>
  <si>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</si>
  <si>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</si>
  <si>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</si>
  <si>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</si>
  <si>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</si>
  <si>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</si>
  <si>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</si>
  <si>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</si>
  <si>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</si>
  <si>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</si>
  <si>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</si>
  <si>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</si>
  <si>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</si>
  <si>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</si>
  <si>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</si>
  <si>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</si>
  <si>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</si>
  <si>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</si>
  <si>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</si>
  <si>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</si>
  <si>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</si>
  <si>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</si>
  <si>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</si>
  <si>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</si>
  <si>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</si>
  <si>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</si>
  <si>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</si>
  <si>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</si>
  <si>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</si>
  <si>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</si>
  <si>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</si>
  <si>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</si>
  <si>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</si>
  <si>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</si>
  <si>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</si>
  <si>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</si>
  <si>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</si>
  <si>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</si>
  <si>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</si>
  <si>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</si>
  <si>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</si>
  <si>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</si>
  <si>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</si>
  <si>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</si>
  <si>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</si>
  <si>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</si>
  <si>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</si>
  <si>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</si>
  <si>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</si>
  <si>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</si>
  <si>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</si>
  <si>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</si>
  <si>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</si>
  <si>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</si>
  <si>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</si>
  <si>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</si>
  <si>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</si>
  <si>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</si>
  <si>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</si>
  <si>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</si>
  <si>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</si>
  <si>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</si>
  <si>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</si>
  <si>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</si>
  <si>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</si>
  <si>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</si>
  <si>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</si>
  <si>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</si>
  <si>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Xantia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</si>
</sst>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'Xantia-OBIWAN (2)'!$G$25:$G$35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'Xantia-OBIWAN (2)'!$H$25:$H$35</c:f>
              <c:numCache>
                <c:formatCode>0.0%</c:formatCode>
                <c:ptCount val="11"/>
                <c:pt idx="0">
                  <c:v>8.5549009888968519E-2</c:v>
                </c:pt>
                <c:pt idx="1">
                  <c:v>0.23389503396306882</c:v>
                </c:pt>
                <c:pt idx="2">
                  <c:v>0.29237040619398302</c:v>
                </c:pt>
                <c:pt idx="3">
                  <c:v>0.22108437650473609</c:v>
                </c:pt>
                <c:pt idx="4">
                  <c:v>0.1127628404633868</c:v>
                </c:pt>
                <c:pt idx="5">
                  <c:v>4.0947064790549305E-2</c:v>
                </c:pt>
                <c:pt idx="6">
                  <c:v>1.0890017583475993E-2</c:v>
                </c:pt>
                <c:pt idx="7">
                  <c:v>2.1490762980393373E-3</c:v>
                </c:pt>
                <c:pt idx="8">
                  <c:v>3.1527862709842809E-4</c:v>
                </c:pt>
                <c:pt idx="9">
                  <c:v>3.4089097516306314E-5</c:v>
                </c:pt>
                <c:pt idx="10">
                  <c:v>2.6584558421164621E-6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4662-8FE6-60DD6CCFA096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'Xantia-OBIWAN (2)'!$H$39:$H$49</c:f>
              <c:numCache>
                <c:formatCode>0.0%</c:formatCode>
                <c:ptCount val="11"/>
                <c:pt idx="0">
                  <c:v>0.31198649649404281</c:v>
                </c:pt>
                <c:pt idx="1">
                  <c:v>0.37736888402038904</c:v>
                </c:pt>
                <c:pt idx="2">
                  <c:v>0.21338554030652168</c:v>
                </c:pt>
                <c:pt idx="3">
                  <c:v>7.5405565868824506E-2</c:v>
                </c:pt>
                <c:pt idx="4">
                  <c:v>1.8268193831791527E-2</c:v>
                </c:pt>
                <c:pt idx="5">
                  <c:v>3.1517519144404335E-3</c:v>
                </c:pt>
                <c:pt idx="6">
                  <c:v>3.9476965611799181E-4</c:v>
                </c:pt>
                <c:pt idx="7">
                  <c:v>3.6235819977339427E-5</c:v>
                </c:pt>
                <c:pt idx="8">
                  <c:v>2.438721066309627E-6</c:v>
                </c:pt>
                <c:pt idx="9">
                  <c:v>1.1914694868081018E-7</c:v>
                </c:pt>
                <c:pt idx="10">
                  <c:v>4.1223908076240353E-9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F-4662-8FE6-60DD6CCF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65C-4632-8011-1E9B7589EA8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65C-4632-8011-1E9B7589EA8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65C-4632-8011-1E9B7589EA89}"/>
              </c:ext>
            </c:extLst>
          </c:dPt>
          <c:val>
            <c:numRef>
              <c:f>'Xantia-OBIWAN (2)'!$B$37:$B$39</c:f>
              <c:numCache>
                <c:formatCode>0.0%</c:formatCode>
                <c:ptCount val="3"/>
                <c:pt idx="0">
                  <c:v>0.19620685954022446</c:v>
                </c:pt>
                <c:pt idx="1">
                  <c:v>0.16860426520814453</c:v>
                </c:pt>
                <c:pt idx="2">
                  <c:v>0.63518606856497595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C-4632-8011-1E9B7589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'Xantia-OBIWAN'!$G$25:$G$35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'Xantia-OBIWAN'!$H$25:$H$35</c:f>
              <c:numCache>
                <c:formatCode>0.0%</c:formatCode>
                <c:ptCount val="11"/>
                <c:pt idx="0">
                  <c:v>9.0643361338071091E-2</c:v>
                </c:pt>
                <c:pt idx="1">
                  <c:v>0.23809488105331308</c:v>
                </c:pt>
                <c:pt idx="2">
                  <c:v>0.28943987992638787</c:v>
                </c:pt>
                <c:pt idx="3">
                  <c:v>0.2159504181488334</c:v>
                </c:pt>
                <c:pt idx="4">
                  <c:v>0.11053054822100059</c:v>
                </c:pt>
                <c:pt idx="5">
                  <c:v>4.1067981243675819E-2</c:v>
                </c:pt>
                <c:pt idx="6">
                  <c:v>1.1421171393554154E-2</c:v>
                </c:pt>
                <c:pt idx="7">
                  <c:v>2.4124977854479883E-3</c:v>
                </c:pt>
                <c:pt idx="8">
                  <c:v>3.8786424251582884E-4</c:v>
                </c:pt>
                <c:pt idx="9">
                  <c:v>4.6961219545075282E-5</c:v>
                </c:pt>
                <c:pt idx="10">
                  <c:v>4.1682033746891205E-6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4A75-B5AB-DB7D288FA18A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'Xantia-OBIWAN'!$H$39:$H$49</c:f>
              <c:numCache>
                <c:formatCode>0.0%</c:formatCode>
                <c:ptCount val="11"/>
                <c:pt idx="0">
                  <c:v>0.21359242803566852</c:v>
                </c:pt>
                <c:pt idx="1">
                  <c:v>0.35351055142996873</c:v>
                </c:pt>
                <c:pt idx="2">
                  <c:v>0.26504666961075429</c:v>
                </c:pt>
                <c:pt idx="3">
                  <c:v>0.1259173957745113</c:v>
                </c:pt>
                <c:pt idx="4">
                  <c:v>3.5087454311701821E-2</c:v>
                </c:pt>
                <c:pt idx="5">
                  <c:v>6.0859609665092542E-3</c:v>
                </c:pt>
                <c:pt idx="6">
                  <c:v>7.0050932154271724E-4</c:v>
                </c:pt>
                <c:pt idx="7">
                  <c:v>5.5767468597433991E-5</c:v>
                </c:pt>
                <c:pt idx="8">
                  <c:v>3.1348097387035706E-6</c:v>
                </c:pt>
                <c:pt idx="9">
                  <c:v>1.2474979104537811E-7</c:v>
                </c:pt>
                <c:pt idx="10">
                  <c:v>3.456673720767537E-9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3-4A75-B5AB-DB7D288F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DBA-46E5-9794-0A3A97EB857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DBA-46E5-9794-0A3A97EB857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DBA-46E5-9794-0A3A97EB8578}"/>
              </c:ext>
            </c:extLst>
          </c:dPt>
          <c:val>
            <c:numRef>
              <c:f>'Xantia-OBIWAN'!$B$37:$B$39</c:f>
              <c:numCache>
                <c:formatCode>0.0%</c:formatCode>
                <c:ptCount val="3"/>
                <c:pt idx="0">
                  <c:v>0.21157308891331225</c:v>
                </c:pt>
                <c:pt idx="1">
                  <c:v>0.23521920244672417</c:v>
                </c:pt>
                <c:pt idx="2">
                  <c:v>0.55320327314778051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A-46E5-9794-0A3A97EB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E6544E-2968-499F-82ED-A11A61288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692E48D-A0E0-4879-AF2A-9CA58411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404F54-7EA8-48E6-935E-48138D75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1A2E5C-8256-4816-8F58-EC53C1AD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1911-6B49-4214-B9AE-917B7D5804C6}">
  <sheetPr>
    <tabColor rgb="FF00B0F0"/>
  </sheetPr>
  <dimension ref="A1:BR59"/>
  <sheetViews>
    <sheetView zoomScale="80" zoomScaleNormal="80" workbookViewId="0">
      <selection activeCell="C10" sqref="C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162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</v>
      </c>
      <c r="C3" s="218"/>
      <c r="D3" t="str">
        <f>IF(B3="Sol","SI",IF(B3="Lluvia","SI","NO"))</f>
        <v>NO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3.2106000000000003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3.2283534390849279E-2</v>
      </c>
      <c r="BL4">
        <v>0</v>
      </c>
      <c r="BM4">
        <v>0</v>
      </c>
      <c r="BN4" s="107">
        <f>H25*H39</f>
        <v>2.669013587379351E-2</v>
      </c>
      <c r="BP4">
        <v>1</v>
      </c>
      <c r="BQ4">
        <v>0</v>
      </c>
      <c r="BR4" s="107">
        <f>$H$26*H39</f>
        <v>7.2972092193492988E-2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1.8254921697845514E-2</v>
      </c>
      <c r="BL5">
        <v>1</v>
      </c>
      <c r="BM5">
        <v>1</v>
      </c>
      <c r="BN5" s="107">
        <f>$H$26*H40</f>
        <v>8.826470794455428E-2</v>
      </c>
      <c r="BP5">
        <f>BP4+1</f>
        <v>2</v>
      </c>
      <c r="BQ5">
        <v>0</v>
      </c>
      <c r="BR5" s="107">
        <f>$H$27*H39</f>
        <v>9.1215618707000956E-2</v>
      </c>
    </row>
    <row r="6" spans="1:70" x14ac:dyDescent="0.25">
      <c r="A6" s="2" t="s">
        <v>1</v>
      </c>
      <c r="B6" s="168">
        <v>10.25</v>
      </c>
      <c r="C6" s="169">
        <v>9.75</v>
      </c>
      <c r="E6" s="192" t="s">
        <v>17</v>
      </c>
      <c r="F6" s="167" t="s">
        <v>123</v>
      </c>
      <c r="G6" s="167"/>
      <c r="H6" s="10"/>
      <c r="I6" s="10"/>
      <c r="J6" s="166"/>
      <c r="K6" s="166"/>
      <c r="L6" s="10"/>
      <c r="M6" s="10"/>
      <c r="O6" s="67">
        <f t="shared" ref="O6:O19" si="1">AG6*AI6*AO6*AH6</f>
        <v>1.4890524843487201E-2</v>
      </c>
      <c r="P6" s="210">
        <f>P3</f>
        <v>0.56999999999999995</v>
      </c>
      <c r="Q6" s="214">
        <f t="shared" ref="Q6:Q19" si="2">P6*O6</f>
        <v>8.4875991607877045E-3</v>
      </c>
      <c r="R6" s="157">
        <f t="shared" ref="R6:R19" si="3">IF($B$17="JC",IF($C$17="JC",$W$1,$V$1*1.1),IF($C$17="JC",$V$1/0.9,$U$1))*Q6/1.5</f>
        <v>8.4875991607877045E-3</v>
      </c>
      <c r="S6" s="176">
        <f t="shared" ref="S6:S19" si="4">(1-R6)</f>
        <v>0.99151240083921233</v>
      </c>
      <c r="T6" s="177">
        <f>R6*S5*PRODUCT(S7:S19)</f>
        <v>6.9151378955634212E-3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1.452744499680469E-3</v>
      </c>
      <c r="V6" s="18"/>
      <c r="W6" s="186" t="s">
        <v>38</v>
      </c>
      <c r="X6" s="15" t="s">
        <v>39</v>
      </c>
      <c r="Y6" s="69">
        <f t="shared" ref="Y6:Y19" si="5">AK6*AI6*AL6*AO6</f>
        <v>0.1340147235913848</v>
      </c>
      <c r="Z6" s="69">
        <f>Z3</f>
        <v>0.56999999999999995</v>
      </c>
      <c r="AA6" s="69">
        <f t="shared" ref="AA6:AA19" si="6">Z6*Y6</f>
        <v>7.6388392447089337E-2</v>
      </c>
      <c r="AB6" s="157">
        <f t="shared" ref="AB6:AB19" si="7">IF($B$17="JC",IF($C$17="JC",$W$1,$V$1/0.9),IF($C$17="JC",$V$1*1.1,$U$1))*AA6/1.5</f>
        <v>7.6388392447089337E-2</v>
      </c>
      <c r="AC6" s="176">
        <f t="shared" ref="AC6:AC19" si="8">(1-AB6)</f>
        <v>0.92361160755291061</v>
      </c>
      <c r="AD6" s="177">
        <f>AB6*AC5*PRODUCT(AC7:AC19)</f>
        <v>4.8683247824955089E-2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2.2957566331359425E-2</v>
      </c>
      <c r="AF6" s="18"/>
      <c r="AG6" s="203">
        <f>IF(COUNTIF(F11:F18,"IMP")+COUNTIF(J11:J18,"IMP")=0,0,COUNTIF(F11:F18,"IMP")/(COUNTIF(F11:F18,"IMP")+COUNTIF(J11:J18,"IMP")))</f>
        <v>0.25</v>
      </c>
      <c r="AH6">
        <f>COUNTIF(F11:F18,"IMP")</f>
        <v>1</v>
      </c>
      <c r="AI6" s="207">
        <f t="shared" ref="AI6:AI19" si="9">AN6*$AM$3/$AN$3</f>
        <v>0.47649679499159042</v>
      </c>
      <c r="AK6" s="203">
        <f>IF(COUNTIF(F11:F18,"IMP")+COUNTIF(J11:J18,"IMP")=0,0,COUNTIF(J11:J18,"IMP")/(COUNTIF(F11:F18,"IMP")+COUNTIF(J11:J18,"IMP")))</f>
        <v>0.75</v>
      </c>
      <c r="AL6">
        <f>COUNTIF(J11:J18,"IMP")</f>
        <v>3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6.4508715001953343E-3</v>
      </c>
      <c r="BL6">
        <f>BH14+1</f>
        <v>2</v>
      </c>
      <c r="BM6">
        <v>2</v>
      </c>
      <c r="BN6" s="107">
        <f>$H$27*H41</f>
        <v>6.2387617095340284E-2</v>
      </c>
      <c r="BP6">
        <f>BL5+1</f>
        <v>2</v>
      </c>
      <c r="BQ6">
        <v>1</v>
      </c>
      <c r="BR6" s="107">
        <f>$H$27*H40</f>
        <v>0.11033149390601121</v>
      </c>
    </row>
    <row r="7" spans="1:70" x14ac:dyDescent="0.25">
      <c r="A7" s="5" t="s">
        <v>2</v>
      </c>
      <c r="B7" s="168">
        <v>13.5</v>
      </c>
      <c r="C7" s="169">
        <v>7.75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f t="shared" si="1"/>
        <v>5.9662492991964123E-3</v>
      </c>
      <c r="P7" s="210">
        <f>P2</f>
        <v>0.45</v>
      </c>
      <c r="Q7" s="214">
        <f t="shared" si="2"/>
        <v>2.6848121846383857E-3</v>
      </c>
      <c r="R7" s="157">
        <f t="shared" si="3"/>
        <v>2.6848121846383857E-3</v>
      </c>
      <c r="S7" s="176">
        <f t="shared" si="4"/>
        <v>0.99731518781536166</v>
      </c>
      <c r="T7" s="177">
        <f>R7*PRODUCT(S5:S6)*PRODUCT(S8:S19)</f>
        <v>2.1746812561907378E-3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4.5100658753017062E-4</v>
      </c>
      <c r="W7" s="187" t="s">
        <v>155</v>
      </c>
      <c r="X7" s="15" t="s">
        <v>156</v>
      </c>
      <c r="Y7" s="69">
        <f t="shared" si="5"/>
        <v>1.4915623247991031E-3</v>
      </c>
      <c r="Z7" s="69">
        <f>Z2</f>
        <v>0.45</v>
      </c>
      <c r="AA7" s="69">
        <f t="shared" si="6"/>
        <v>6.7120304615959643E-4</v>
      </c>
      <c r="AB7" s="157">
        <f t="shared" si="7"/>
        <v>6.7120304615959643E-4</v>
      </c>
      <c r="AC7" s="176">
        <f t="shared" si="8"/>
        <v>0.99932879695384036</v>
      </c>
      <c r="AD7" s="177">
        <f>AB7*PRODUCT(AC5:AC6)*PRODUCT(AC8:AC19)</f>
        <v>3.9535485097017914E-4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1.8617200356118053E-4</v>
      </c>
      <c r="AG7" s="203">
        <f>IF(COUNTIF(F14:F18,"IMP")+COUNTIF(J14:J18,"IMP")=0,0,COUNTIF(J14:J18,"IMP")/(COUNTIF(F14:F18,"IMP")+COUNTIF(J14:J18,"IMP")))</f>
        <v>0.66666666666666663</v>
      </c>
      <c r="AH7">
        <f>COUNTIF(J14:J18,"IMP")</f>
        <v>2</v>
      </c>
      <c r="AI7" s="207">
        <f t="shared" si="9"/>
        <v>4.4746869743973097E-3</v>
      </c>
      <c r="AK7" s="203">
        <f>IF(COUNTIF(F14:F18,"IMP")+COUNTIF(J14:J18,"IMP")=0,0,COUNTIF(F14:F18,"IMP")/(COUNTIF(F14:F18,"IMP")+COUNTIF(J14:J18,"IMP")))</f>
        <v>0.33333333333333331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1.562825894769527E-3</v>
      </c>
      <c r="BL7">
        <f>BH23+1</f>
        <v>3</v>
      </c>
      <c r="BM7">
        <v>3</v>
      </c>
      <c r="BN7" s="107">
        <f>$H$28*H42</f>
        <v>1.6670992515095875E-2</v>
      </c>
      <c r="BP7">
        <f>BP5+1</f>
        <v>3</v>
      </c>
      <c r="BQ7">
        <v>0</v>
      </c>
      <c r="BR7" s="107">
        <f>$H$28*H39</f>
        <v>6.8975340055282483E-2</v>
      </c>
    </row>
    <row r="8" spans="1:70" x14ac:dyDescent="0.25">
      <c r="A8" s="5" t="s">
        <v>3</v>
      </c>
      <c r="B8" s="168">
        <v>13.75</v>
      </c>
      <c r="C8" s="169">
        <v>11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1.0149684458692122E-2</v>
      </c>
      <c r="P8" s="210">
        <f>P2</f>
        <v>0.45</v>
      </c>
      <c r="Q8" s="214">
        <f t="shared" si="2"/>
        <v>4.5673580064114552E-3</v>
      </c>
      <c r="R8" s="157">
        <f t="shared" si="3"/>
        <v>4.5673580064114552E-3</v>
      </c>
      <c r="S8" s="176">
        <f t="shared" si="4"/>
        <v>0.9954326419935885</v>
      </c>
      <c r="T8" s="177">
        <f>R8*PRODUCT(S5:S7)*PRODUCT(S9:S19)</f>
        <v>3.7065282162874824E-3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7.516892183042391E-4</v>
      </c>
      <c r="W8" s="186" t="s">
        <v>42</v>
      </c>
      <c r="X8" s="15" t="s">
        <v>43</v>
      </c>
      <c r="Y8" s="69">
        <f t="shared" si="5"/>
        <v>9.1347160128229091E-2</v>
      </c>
      <c r="Z8" s="69">
        <f>Z2</f>
        <v>0.45</v>
      </c>
      <c r="AA8" s="69">
        <f t="shared" si="6"/>
        <v>4.110622205770309E-2</v>
      </c>
      <c r="AB8" s="157">
        <f t="shared" si="7"/>
        <v>4.110622205770309E-2</v>
      </c>
      <c r="AC8" s="176">
        <f t="shared" si="8"/>
        <v>0.95889377794229691</v>
      </c>
      <c r="AD8" s="177">
        <f>AB8*PRODUCT(AC5:AC7)*PRODUCT(AC9:AC19)</f>
        <v>2.5233565397911537E-2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1.0800725872069894E-2</v>
      </c>
      <c r="AG8" s="203">
        <f>IF(COUNTIF(F6:F18,"IMP")+COUNTIF(J6:J18,"IMP")=0,0,COUNTIF(F6:F18,"IMP")/(COUNTIF(F6:F18,"IMP")+COUNTIF(J6:J18,"IMP")))</f>
        <v>0.25</v>
      </c>
      <c r="AH8">
        <f>COUNTIF(F6:F18,"IMP")</f>
        <v>1</v>
      </c>
      <c r="AI8" s="207">
        <f t="shared" si="9"/>
        <v>0.52778359185199031</v>
      </c>
      <c r="AK8" s="203">
        <f>IF(COUNTIF(F6:F18,"IMP")+COUNTIF(J6:J18,"IMP")=0,0,COUNTIF(J6:J18,"IMP")/(COUNTIF(F6:F18,"IMP")+COUNTIF(J6:J18,"IMP")))</f>
        <v>0.75</v>
      </c>
      <c r="AL8">
        <f>COUNTIF(J6:J18,"IMP")</f>
        <v>3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2.696292556960401E-4</v>
      </c>
      <c r="BL8">
        <f>BH31+1</f>
        <v>4</v>
      </c>
      <c r="BM8">
        <v>4</v>
      </c>
      <c r="BN8" s="107">
        <f>$H$29*H43</f>
        <v>2.0599734266085346E-3</v>
      </c>
      <c r="BP8">
        <f>BP6+1</f>
        <v>3</v>
      </c>
      <c r="BQ8">
        <v>1</v>
      </c>
      <c r="BR8" s="107">
        <f>$H$28*H40</f>
        <v>8.343036443593578E-2</v>
      </c>
    </row>
    <row r="9" spans="1:70" x14ac:dyDescent="0.25">
      <c r="A9" s="5" t="s">
        <v>4</v>
      </c>
      <c r="B9" s="168">
        <v>13.75</v>
      </c>
      <c r="C9" s="169">
        <v>10.25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1.3194589796299757E-2</v>
      </c>
      <c r="P9" s="210">
        <f>P2</f>
        <v>0.45</v>
      </c>
      <c r="Q9" s="214">
        <f t="shared" si="2"/>
        <v>5.9375654083348908E-3</v>
      </c>
      <c r="R9" s="157">
        <f t="shared" si="3"/>
        <v>5.9375654083348899E-3</v>
      </c>
      <c r="S9" s="176">
        <f t="shared" si="4"/>
        <v>0.9940624345916651</v>
      </c>
      <c r="T9" s="177">
        <f>R9*PRODUCT(S5:S8)*PRODUCT(S10:S19)</f>
        <v>4.8251284431867179E-3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9.4972230245060532E-4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H9">
        <f>COUNTIF(J6:J13,"IMP")</f>
        <v>1</v>
      </c>
      <c r="AI9" s="207">
        <f t="shared" si="9"/>
        <v>1.3194589796299757E-2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3.3772153215102783E-5</v>
      </c>
      <c r="BL9">
        <f>BH38+1</f>
        <v>5</v>
      </c>
      <c r="BM9">
        <v>5</v>
      </c>
      <c r="BN9" s="107">
        <f>$H$30*H44</f>
        <v>1.2905498984433023E-4</v>
      </c>
      <c r="BP9">
        <f>BL6+1</f>
        <v>3</v>
      </c>
      <c r="BQ9">
        <v>2</v>
      </c>
      <c r="BR9" s="107">
        <f>$H$28*H41</f>
        <v>4.7176209133793577E-2</v>
      </c>
    </row>
    <row r="10" spans="1:70" x14ac:dyDescent="0.25">
      <c r="A10" s="6" t="s">
        <v>5</v>
      </c>
      <c r="B10" s="168">
        <v>8.75</v>
      </c>
      <c r="C10" s="169">
        <v>2.5</v>
      </c>
      <c r="E10" s="192" t="s">
        <v>17</v>
      </c>
      <c r="F10" s="167" t="s">
        <v>154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0.21512918146140914</v>
      </c>
      <c r="Z10" s="69">
        <f>Z3</f>
        <v>0.56999999999999995</v>
      </c>
      <c r="AA10" s="69">
        <f t="shared" si="6"/>
        <v>0.1226236334330032</v>
      </c>
      <c r="AB10" s="157">
        <f t="shared" si="7"/>
        <v>0.1226236334330032</v>
      </c>
      <c r="AC10" s="176">
        <f t="shared" si="8"/>
        <v>0.8773763665669968</v>
      </c>
      <c r="AD10" s="177">
        <f>AB10*PRODUCT(AC5:AC9)*PRODUCT(AC11:AC19)</f>
        <v>8.2267784936121163E-2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2.3715201921010835E-2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0.57367781723042433</v>
      </c>
      <c r="AK10" s="203">
        <f>IF(COUNTIF(F11:F18,"RAP")+COUNTIF(J11:J18,"RAP")=0,0,COUNTIF(J11:J18,"RAP")/(COUNTIF(F11:F18,"RAP")+COUNTIF(J11:J18,"RAP")))</f>
        <v>1</v>
      </c>
      <c r="AL10">
        <f>COUNTIF(J11:J18,"RAP")</f>
        <v>3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3.0999385215762937E-6</v>
      </c>
      <c r="BL10">
        <f>BH44+1</f>
        <v>6</v>
      </c>
      <c r="BM10">
        <v>6</v>
      </c>
      <c r="BN10" s="107">
        <f>$H$31*H45</f>
        <v>4.2990484965477021E-6</v>
      </c>
      <c r="BP10">
        <f>BP7+1</f>
        <v>4</v>
      </c>
      <c r="BQ10">
        <v>0</v>
      </c>
      <c r="BR10" s="107">
        <f>$H$29*H39</f>
        <v>3.5180483530888734E-2</v>
      </c>
    </row>
    <row r="11" spans="1:70" x14ac:dyDescent="0.25">
      <c r="A11" s="6" t="s">
        <v>6</v>
      </c>
      <c r="B11" s="168">
        <v>8.25</v>
      </c>
      <c r="C11" s="169">
        <v>5.5</v>
      </c>
      <c r="E11" s="192" t="s">
        <v>19</v>
      </c>
      <c r="F11" s="167" t="s">
        <v>154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0.21512918146140914</v>
      </c>
      <c r="Z11" s="69">
        <f>Z3</f>
        <v>0.56999999999999995</v>
      </c>
      <c r="AA11" s="69">
        <f t="shared" si="6"/>
        <v>0.1226236334330032</v>
      </c>
      <c r="AB11" s="157">
        <f t="shared" si="7"/>
        <v>0.1226236334330032</v>
      </c>
      <c r="AC11" s="176">
        <f t="shared" si="8"/>
        <v>0.8773763665669968</v>
      </c>
      <c r="AD11" s="177">
        <f>AB11*PRODUCT(AC5:AC10)*PRODUCT(AC12:AC19)</f>
        <v>8.2267784936121163E-2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1.2217314483235013E-2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0.57367781723042433</v>
      </c>
      <c r="AK11" s="203">
        <f>IF(COUNTIF(F11:F18,"RAP")+COUNTIF(J11:J18,"RAP")=0,0,COUNTIF(J11:J18,"RAP")/(COUNTIF(F11:F18,"RAP")+COUNTIF(J11:J18,"RAP")))</f>
        <v>1</v>
      </c>
      <c r="AL11">
        <f>COUNTIF(J11:J18,"RAP")</f>
        <v>3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2.0863017261815813E-7</v>
      </c>
      <c r="BL11">
        <f>BH50+1</f>
        <v>7</v>
      </c>
      <c r="BM11">
        <v>7</v>
      </c>
      <c r="BN11" s="107">
        <f>$H$32*H46</f>
        <v>7.7873541853320475E-8</v>
      </c>
      <c r="BP11">
        <f>BP8+1</f>
        <v>4</v>
      </c>
      <c r="BQ11">
        <v>1</v>
      </c>
      <c r="BR11" s="107">
        <f>$H$29*H40</f>
        <v>4.255318726463745E-2</v>
      </c>
    </row>
    <row r="12" spans="1:70" x14ac:dyDescent="0.25">
      <c r="A12" s="6" t="s">
        <v>7</v>
      </c>
      <c r="B12" s="168">
        <v>8.5</v>
      </c>
      <c r="C12" s="169">
        <v>6.75</v>
      </c>
      <c r="E12" s="192" t="s">
        <v>19</v>
      </c>
      <c r="F12" s="167" t="s">
        <v>16</v>
      </c>
      <c r="G12" s="167"/>
      <c r="H12" s="10"/>
      <c r="I12" s="10"/>
      <c r="J12" s="166" t="s">
        <v>123</v>
      </c>
      <c r="K12" s="166"/>
      <c r="L12" s="10"/>
      <c r="M12" s="10"/>
      <c r="O12" s="67">
        <f t="shared" si="1"/>
        <v>2.6389179592599512E-3</v>
      </c>
      <c r="P12" s="210">
        <f>P2</f>
        <v>0.45</v>
      </c>
      <c r="Q12" s="214">
        <f t="shared" si="2"/>
        <v>1.1875130816669782E-3</v>
      </c>
      <c r="R12" s="157">
        <f t="shared" si="3"/>
        <v>1.1875130816669782E-3</v>
      </c>
      <c r="S12" s="176">
        <f t="shared" si="4"/>
        <v>0.99881248691833302</v>
      </c>
      <c r="T12" s="177">
        <f>R12*PRODUCT(S5:S11)*PRODUCT(S13:S19)</f>
        <v>9.6043631617990773E-4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1.8789925496574578E-4</v>
      </c>
      <c r="W12" s="187" t="s">
        <v>50</v>
      </c>
      <c r="X12" s="15" t="s">
        <v>51</v>
      </c>
      <c r="Y12" s="69">
        <f t="shared" si="5"/>
        <v>2.6389179592599512E-3</v>
      </c>
      <c r="Z12" s="69">
        <f>Z2</f>
        <v>0.45</v>
      </c>
      <c r="AA12" s="69">
        <f t="shared" si="6"/>
        <v>1.1875130816669782E-3</v>
      </c>
      <c r="AB12" s="157">
        <f t="shared" si="7"/>
        <v>1.1875130816669782E-3</v>
      </c>
      <c r="AC12" s="176">
        <f t="shared" si="8"/>
        <v>0.99881248691833302</v>
      </c>
      <c r="AD12" s="177">
        <f>AB12*PRODUCT(AC5:AC11)*PRODUCT(AC13:AC19)</f>
        <v>6.9983554190468584E-4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1.0309819134005905E-4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1.3194589796299757E-2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1.0192903490935055E-8</v>
      </c>
      <c r="BL12">
        <f>BH54+1</f>
        <v>8</v>
      </c>
      <c r="BM12">
        <v>8</v>
      </c>
      <c r="BN12" s="107">
        <f>$H$33*H47</f>
        <v>7.688766296621138E-10</v>
      </c>
      <c r="BP12">
        <f>BP9+1</f>
        <v>4</v>
      </c>
      <c r="BQ12">
        <v>2</v>
      </c>
      <c r="BR12" s="107">
        <f>$H$29*H41</f>
        <v>2.4061959638777899E-2</v>
      </c>
    </row>
    <row r="13" spans="1:70" x14ac:dyDescent="0.25">
      <c r="A13" s="7" t="s">
        <v>8</v>
      </c>
      <c r="B13" s="168">
        <v>7.75</v>
      </c>
      <c r="C13" s="169">
        <v>7</v>
      </c>
      <c r="E13" s="192" t="s">
        <v>19</v>
      </c>
      <c r="F13" s="167" t="s">
        <v>16</v>
      </c>
      <c r="G13" s="167"/>
      <c r="H13" s="10"/>
      <c r="I13" s="10"/>
      <c r="J13" s="166" t="s">
        <v>146</v>
      </c>
      <c r="K13" s="166"/>
      <c r="L13" s="10"/>
      <c r="M13" s="10"/>
      <c r="O13" s="67">
        <f t="shared" si="1"/>
        <v>8.6615311039992524E-2</v>
      </c>
      <c r="P13" s="210">
        <f>P3</f>
        <v>0.56999999999999995</v>
      </c>
      <c r="Q13" s="214">
        <f t="shared" si="2"/>
        <v>4.9370727292795735E-2</v>
      </c>
      <c r="R13" s="157">
        <f t="shared" si="3"/>
        <v>4.9370727292795735E-2</v>
      </c>
      <c r="S13" s="176">
        <f t="shared" si="4"/>
        <v>0.95062927270720432</v>
      </c>
      <c r="T13" s="177">
        <f>R13*PRODUCT(S5:S12)*PRODUCT(S14:S19)</f>
        <v>4.1953913218874338E-2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6.0289740013760099E-3</v>
      </c>
      <c r="W13" s="186" t="s">
        <v>52</v>
      </c>
      <c r="X13" s="15" t="s">
        <v>53</v>
      </c>
      <c r="Y13" s="69">
        <f t="shared" si="5"/>
        <v>8.2390173916090451E-2</v>
      </c>
      <c r="Z13" s="69">
        <f>Z3</f>
        <v>0.56999999999999995</v>
      </c>
      <c r="AA13" s="69">
        <f t="shared" si="6"/>
        <v>4.6962399132171553E-2</v>
      </c>
      <c r="AB13" s="157">
        <f t="shared" si="7"/>
        <v>4.696239913217156E-2</v>
      </c>
      <c r="AC13" s="176">
        <f t="shared" si="8"/>
        <v>0.9530376008678284</v>
      </c>
      <c r="AD13" s="177">
        <f>AB13*PRODUCT(AC5:AC12)*PRODUCT(AC14:AC19)</f>
        <v>2.9005596104260765E-2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2.8437433757869143E-3</v>
      </c>
      <c r="AG13" s="203">
        <f>B22</f>
        <v>0.51249999999999996</v>
      </c>
      <c r="AH13">
        <v>1</v>
      </c>
      <c r="AI13" s="207">
        <f t="shared" si="9"/>
        <v>0.16900548495608297</v>
      </c>
      <c r="AK13" s="203">
        <f>C22</f>
        <v>0.48750000000000004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3.5266645196762154E-10</v>
      </c>
      <c r="BL13">
        <f>BH57+1</f>
        <v>9</v>
      </c>
      <c r="BM13">
        <v>9</v>
      </c>
      <c r="BN13" s="107">
        <f>$H$34*H48</f>
        <v>4.0616119523504822E-12</v>
      </c>
      <c r="BP13">
        <f>BL7+1</f>
        <v>4</v>
      </c>
      <c r="BQ13">
        <v>3</v>
      </c>
      <c r="BR13" s="107">
        <f>$H$29*H42</f>
        <v>8.5029457941176636E-3</v>
      </c>
    </row>
    <row r="14" spans="1:70" x14ac:dyDescent="0.25">
      <c r="A14" s="7" t="s">
        <v>9</v>
      </c>
      <c r="B14" s="168">
        <v>4.5</v>
      </c>
      <c r="C14" s="169">
        <v>7</v>
      </c>
      <c r="E14" s="192" t="s">
        <v>20</v>
      </c>
      <c r="F14" s="167" t="s">
        <v>16</v>
      </c>
      <c r="G14" s="167"/>
      <c r="H14" s="10"/>
      <c r="I14" s="10"/>
      <c r="J14" s="166" t="s">
        <v>154</v>
      </c>
      <c r="K14" s="166"/>
      <c r="L14" s="10"/>
      <c r="M14" s="10"/>
      <c r="O14" s="67">
        <f t="shared" si="1"/>
        <v>0.12307253632498601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7.3843521794991596E-2</v>
      </c>
      <c r="R14" s="157">
        <f t="shared" si="3"/>
        <v>7.3843521794991596E-2</v>
      </c>
      <c r="S14" s="176">
        <f t="shared" si="4"/>
        <v>0.92615647820500846</v>
      </c>
      <c r="T14" s="177">
        <f>R14*PRODUCT(S5:S13)*PRODUCT(S15:S19)</f>
        <v>6.4408348910995949E-2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4.1204298948867499E-3</v>
      </c>
      <c r="W14" s="186" t="s">
        <v>54</v>
      </c>
      <c r="X14" s="15" t="s">
        <v>55</v>
      </c>
      <c r="Y14" s="69">
        <f t="shared" si="5"/>
        <v>0.11706899796766963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1.7560349695150444E-2</v>
      </c>
      <c r="AB14" s="157">
        <f t="shared" si="7"/>
        <v>1.7560349695150444E-2</v>
      </c>
      <c r="AC14" s="176">
        <f t="shared" si="8"/>
        <v>0.98243965030484959</v>
      </c>
      <c r="AD14" s="177">
        <f>AB14*PRODUCT(AC5:AC13)*PRODUCT(AC15:AC19)</f>
        <v>1.0521286183699113E-2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8.4345963495620574E-4</v>
      </c>
      <c r="AG14" s="203">
        <f>IF(AL14=0,1,B22)</f>
        <v>0.51249999999999996</v>
      </c>
      <c r="AH14">
        <f>IF(COUNTIF(F6:F18,"CAB")&gt;0,1,0)</f>
        <v>1</v>
      </c>
      <c r="AI14" s="207">
        <f t="shared" si="9"/>
        <v>0.24014153429265564</v>
      </c>
      <c r="AK14" s="203">
        <f>IF(AH14=0,1,C22)</f>
        <v>0.48750000000000004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4.9909818197221678E-2</v>
      </c>
      <c r="BL14">
        <f>BP39+1</f>
        <v>10</v>
      </c>
      <c r="BM14">
        <v>10</v>
      </c>
      <c r="BN14" s="107">
        <f>$H$35*H49</f>
        <v>1.0959193926015317E-14</v>
      </c>
      <c r="BP14">
        <f>BP10+1</f>
        <v>5</v>
      </c>
      <c r="BQ14">
        <v>0</v>
      </c>
      <c r="BR14" s="107">
        <f>$H$30*H39</f>
        <v>1.2774931285718055E-2</v>
      </c>
    </row>
    <row r="15" spans="1:70" x14ac:dyDescent="0.25">
      <c r="A15" s="189" t="s">
        <v>71</v>
      </c>
      <c r="B15" s="170">
        <v>9.25</v>
      </c>
      <c r="C15" s="171">
        <v>5</v>
      </c>
      <c r="E15" s="192" t="s">
        <v>20</v>
      </c>
      <c r="F15" s="167" t="s">
        <v>146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2.2932770743786208E-2</v>
      </c>
      <c r="P15" s="210">
        <f>R3</f>
        <v>0.7</v>
      </c>
      <c r="Q15" s="214">
        <f t="shared" si="2"/>
        <v>1.6052939520650344E-2</v>
      </c>
      <c r="R15" s="157">
        <f t="shared" si="3"/>
        <v>1.6052939520650344E-2</v>
      </c>
      <c r="S15" s="176">
        <f t="shared" si="4"/>
        <v>0.98394706047934966</v>
      </c>
      <c r="T15" s="177">
        <f>R15*PRODUCT(S5:S14)*PRODUCT(S16:S19)</f>
        <v>1.3179440410788529E-2</v>
      </c>
      <c r="U15" s="177">
        <f>R15*R16*PRODUCT(S5:S14)*PRODUCT(S17:S19)+R15*R17*PRODUCT(S5:S14)*S16*PRODUCT(S18:S19)+R15*R18*PRODUCT(S5:S14)*S16*S17*S19+R15*R19*PRODUCT(S5:S14)*S16*S17*S18</f>
        <v>6.2811494887745267E-4</v>
      </c>
      <c r="W15" s="186" t="s">
        <v>56</v>
      </c>
      <c r="X15" s="15" t="s">
        <v>57</v>
      </c>
      <c r="Y15" s="69">
        <f t="shared" si="5"/>
        <v>2.1814099000186885E-2</v>
      </c>
      <c r="Z15" s="69">
        <f>AB3</f>
        <v>0.7</v>
      </c>
      <c r="AA15" s="69">
        <f t="shared" si="6"/>
        <v>1.5269869300130818E-2</v>
      </c>
      <c r="AB15" s="157">
        <f t="shared" si="7"/>
        <v>1.526986930013082E-2</v>
      </c>
      <c r="AC15" s="176">
        <f t="shared" si="8"/>
        <v>0.98473013069986914</v>
      </c>
      <c r="AD15" s="177">
        <f>AB15*PRODUCT(AC5:AC14)*PRODUCT(AC16:AC19)</f>
        <v>9.1276640801900913E-3</v>
      </c>
      <c r="AE15" s="177">
        <f>AB15*AB16*PRODUCT(AC5:AC14)*PRODUCT(AC17:AC19)+AB15*AB17*PRODUCT(AC5:AC14)*AC16*PRODUCT(AC18:AC19)+AB15*AB18*PRODUCT(AC5:AC14)*AC16*AC17*AC19+AB15*AB19*PRODUCT(AC5:AC14)*AC16*AC17*AC18</f>
        <v>5.901976458389704E-4</v>
      </c>
      <c r="AG15" s="203">
        <f>IF(AL15=0,1,B22)</f>
        <v>0.51249999999999996</v>
      </c>
      <c r="AH15">
        <v>1</v>
      </c>
      <c r="AI15" s="207">
        <f t="shared" si="9"/>
        <v>4.4746869743973093E-2</v>
      </c>
      <c r="AK15" s="203">
        <f>IF(AH15=0,1,C22)</f>
        <v>0.48750000000000004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1.7636987389893131E-2</v>
      </c>
      <c r="BP15">
        <f>BP11+1</f>
        <v>5</v>
      </c>
      <c r="BQ15">
        <v>1</v>
      </c>
      <c r="BR15" s="107">
        <f>$H$30*H40</f>
        <v>1.5452148143920156E-2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123</v>
      </c>
      <c r="K16" s="166"/>
      <c r="L16" s="10"/>
      <c r="M16" s="10"/>
      <c r="O16" s="67">
        <f t="shared" si="1"/>
        <v>1.7451279200149508E-2</v>
      </c>
      <c r="P16" s="210">
        <v>0.15</v>
      </c>
      <c r="Q16" s="214">
        <f t="shared" si="2"/>
        <v>2.6176918800224261E-3</v>
      </c>
      <c r="R16" s="157">
        <f t="shared" si="3"/>
        <v>2.6176918800224261E-3</v>
      </c>
      <c r="S16" s="176">
        <f t="shared" si="4"/>
        <v>0.99738230811997752</v>
      </c>
      <c r="T16" s="177">
        <f>R16*PRODUCT(S5:S15)*PRODUCT(S17:S19)</f>
        <v>2.120171535131771E-3</v>
      </c>
      <c r="U16" s="177">
        <f>R16*R17*PRODUCT(S5:S15)*PRODUCT(S18:S19)+R16*R18*PRODUCT(S5:S15)*S17*S19+R16*R19*PRODUCT(S5:S15)*S17*S18</f>
        <v>9.548008943141487E-5</v>
      </c>
      <c r="W16" s="187" t="s">
        <v>58</v>
      </c>
      <c r="X16" s="15" t="s">
        <v>59</v>
      </c>
      <c r="Y16" s="69">
        <f t="shared" si="5"/>
        <v>1.8346216595028969E-2</v>
      </c>
      <c r="Z16" s="69">
        <v>0.15</v>
      </c>
      <c r="AA16" s="69">
        <f t="shared" si="6"/>
        <v>2.7519324892543453E-3</v>
      </c>
      <c r="AB16" s="157">
        <f t="shared" si="7"/>
        <v>2.7519324892543453E-3</v>
      </c>
      <c r="AC16" s="176">
        <f t="shared" si="8"/>
        <v>0.99724806751074568</v>
      </c>
      <c r="AD16" s="177">
        <f>AB16*PRODUCT(AC5:AC15)*PRODUCT(AC17:AC19)</f>
        <v>1.6243369647854552E-3</v>
      </c>
      <c r="AE16" s="177">
        <f>AB16*AB17*PRODUCT(AC5:AC15)*PRODUCT(AC18:AC19)+AB16*AB18*PRODUCT(AC5:AC15)*AC17*AC19+AB16*AB19*PRODUCT(AC5:AC15)*AC17*AC18</f>
        <v>1.0054774087059825E-4</v>
      </c>
      <c r="AG16" s="203">
        <f>C22</f>
        <v>0.48750000000000004</v>
      </c>
      <c r="AH16">
        <v>1</v>
      </c>
      <c r="AI16" s="207">
        <f t="shared" si="9"/>
        <v>3.5797495795178477E-2</v>
      </c>
      <c r="AK16" s="203">
        <f>B22</f>
        <v>0.51249999999999996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4.2728398167308033E-3</v>
      </c>
      <c r="BP16">
        <f>BP12+1</f>
        <v>5</v>
      </c>
      <c r="BQ16">
        <v>2</v>
      </c>
      <c r="BR16" s="107">
        <f>$H$30*H41</f>
        <v>8.7375115442975132E-3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123</v>
      </c>
      <c r="K17" s="166"/>
      <c r="L17" s="10"/>
      <c r="M17" s="10"/>
      <c r="O17" s="67">
        <f t="shared" si="1"/>
        <v>6.2473514296393202E-2</v>
      </c>
      <c r="P17" s="210">
        <f>P3</f>
        <v>0.56999999999999995</v>
      </c>
      <c r="Q17" s="214">
        <f t="shared" si="2"/>
        <v>3.5609903148944119E-2</v>
      </c>
      <c r="R17" s="157">
        <f t="shared" si="3"/>
        <v>3.5609903148944119E-2</v>
      </c>
      <c r="S17" s="176">
        <f t="shared" si="4"/>
        <v>0.96439009685105592</v>
      </c>
      <c r="T17" s="177">
        <f>R17*PRODUCT(S5:S16)*PRODUCT(S18:S19)</f>
        <v>2.9828552890489784E-2</v>
      </c>
      <c r="U17" s="177">
        <f>R17*R18*PRODUCT(S5:S16)*S19+R17*R19*PRODUCT(S5:S16)*S18</f>
        <v>2.4188996066442912E-4</v>
      </c>
      <c r="W17" s="186" t="s">
        <v>60</v>
      </c>
      <c r="X17" s="15" t="s">
        <v>61</v>
      </c>
      <c r="Y17" s="69">
        <f t="shared" si="5"/>
        <v>6.2473514296393202E-2</v>
      </c>
      <c r="Z17" s="69">
        <f>Z3</f>
        <v>0.56999999999999995</v>
      </c>
      <c r="AA17" s="69">
        <f t="shared" si="6"/>
        <v>3.5609903148944119E-2</v>
      </c>
      <c r="AB17" s="157">
        <f t="shared" si="7"/>
        <v>3.5609903148944119E-2</v>
      </c>
      <c r="AC17" s="176">
        <f t="shared" si="8"/>
        <v>0.96439009685105592</v>
      </c>
      <c r="AD17" s="177">
        <f>AB17*PRODUCT(AC5:AC16)*PRODUCT(AC18:AC19)</f>
        <v>2.1734998067730511E-2</v>
      </c>
      <c r="AE17" s="177">
        <f>AB17*AB18*PRODUCT(AC5:AC16)*AC19+AB17*AB19*PRODUCT(AC5:AC16)*AC18</f>
        <v>5.4285327506783151E-4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0.1249470285927864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7.3717912107121232E-4</v>
      </c>
      <c r="BP17">
        <f>BP13+1</f>
        <v>5</v>
      </c>
      <c r="BQ17">
        <v>3</v>
      </c>
      <c r="BR17" s="107">
        <f>$H$30*H42</f>
        <v>3.0876365911987904E-3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146</v>
      </c>
      <c r="K18" s="166"/>
      <c r="L18" s="10"/>
      <c r="M18" s="10"/>
      <c r="O18" s="67">
        <f t="shared" si="1"/>
        <v>1.1760395253223699E-2</v>
      </c>
      <c r="P18" s="210">
        <f>P17*1.2</f>
        <v>0.68399999999999994</v>
      </c>
      <c r="Q18" s="214">
        <f t="shared" si="2"/>
        <v>8.0441103532050088E-3</v>
      </c>
      <c r="R18" s="157">
        <f t="shared" si="3"/>
        <v>8.0441103532050088E-3</v>
      </c>
      <c r="S18" s="176">
        <f t="shared" si="4"/>
        <v>0.99195588964679504</v>
      </c>
      <c r="T18" s="177">
        <f>R18*PRODUCT(S5:S17)*PRODUCT(S19:S19)</f>
        <v>6.5508822536458899E-3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1.1760395253223699E-2</v>
      </c>
      <c r="Z18" s="69">
        <f>Z17*1.2</f>
        <v>0.68399999999999994</v>
      </c>
      <c r="AA18" s="69">
        <f t="shared" si="6"/>
        <v>8.0441103532050088E-3</v>
      </c>
      <c r="AB18" s="157">
        <f t="shared" si="7"/>
        <v>8.0441103532050088E-3</v>
      </c>
      <c r="AC18" s="176">
        <f t="shared" si="8"/>
        <v>0.99195588964679504</v>
      </c>
      <c r="AD18" s="177">
        <f>AB18*PRODUCT(AC5:AC17)*PRODUCT(AC19:AC19)</f>
        <v>4.7733932533589154E-3</v>
      </c>
      <c r="AE18" s="177">
        <f>AB18*AB19*PRODUCT(AC5:AC17)</f>
        <v>8.0511179623810958E-5</v>
      </c>
      <c r="AG18" s="203">
        <f>IF(COUNTA(F14:F15)&gt;0,IF(COUNTIF(F11:F18,"CAB")+COUNTIF(J11:J18,"CAB")=0,0,COUNTIF(F11:F18,"CAB")/(COUNTIF(F11:F18,"CAB")+COUNTIF(J11:J18,"CAB"))),0)</f>
        <v>0.5</v>
      </c>
      <c r="AH18">
        <f>COUNTIF(F11:F18,"CAB")</f>
        <v>1</v>
      </c>
      <c r="AI18" s="207">
        <f t="shared" si="9"/>
        <v>0.18816632405157918</v>
      </c>
      <c r="AK18" s="203">
        <f>IF(COUNTA(J14:J15)&gt;0,IF(COUNTIF(J11:J18,"CAB")+COUNTIF(F11:F18,"CAB")=0,0,COUNTIF(J11:J18,"CAB")/(COUNTIF(J11:J18,"CAB")+COUNTIF(F11:F18,"CAB"))),0)</f>
        <v>0.5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9.2334662125306691E-5</v>
      </c>
      <c r="BP18">
        <f>BL8+1</f>
        <v>5</v>
      </c>
      <c r="BQ18">
        <v>4</v>
      </c>
      <c r="BR18" s="107">
        <f>$H$30*H43</f>
        <v>7.4802891643668086E-4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2.9099807279013276E-2</v>
      </c>
      <c r="Z19" s="69">
        <f>Z3</f>
        <v>0.56999999999999995</v>
      </c>
      <c r="AA19" s="69">
        <f t="shared" si="6"/>
        <v>1.6586890149037567E-2</v>
      </c>
      <c r="AB19" s="157">
        <f t="shared" si="7"/>
        <v>1.6586890149037567E-2</v>
      </c>
      <c r="AC19" s="178">
        <f t="shared" si="8"/>
        <v>0.98341310985096242</v>
      </c>
      <c r="AD19" s="179">
        <f>AB19*PRODUCT(AC5:AC18)</f>
        <v>9.928200298548906E-3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2</v>
      </c>
      <c r="AI19" s="207">
        <f t="shared" si="9"/>
        <v>0.69839537469631863</v>
      </c>
      <c r="AK19" s="203">
        <f>IF(COUNTIF(J11:J18,"TEC")&gt;0,IF(COUNTIF(F6:F13,"CAB")&gt;0,IF(COUNTIF(F11:F18,"TEC")+COUNTIF(J11:J18,"TEC")&gt;0,COUNTIF(J11:J18,"TEC")/(COUNTIF(F11:F18,"TEC")+COUNTIF(J11:J18,"TEC")),0),0),0)</f>
        <v>0.33333333333333331</v>
      </c>
      <c r="AL19">
        <f>COUNTIF(J11:J18,"TEC")</f>
        <v>1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8.4753783442794535E-6</v>
      </c>
      <c r="BP19">
        <f>BP15+1</f>
        <v>6</v>
      </c>
      <c r="BQ19">
        <v>1</v>
      </c>
      <c r="BR19" s="107">
        <f>$H$31*H40</f>
        <v>4.1095537824387494E-3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0.80781913083746337</v>
      </c>
      <c r="T20" s="181">
        <f>SUM(T5:T19)</f>
        <v>0.17662322134733452</v>
      </c>
      <c r="U20" s="181">
        <f>SUM(U5:U19)</f>
        <v>1.4907950758167287E-2</v>
      </c>
      <c r="V20" s="181">
        <f>1-S20-T20-U20</f>
        <v>6.4969705703482074E-4</v>
      </c>
      <c r="W20" s="21"/>
      <c r="X20" s="22"/>
      <c r="Y20" s="22"/>
      <c r="Z20" s="22"/>
      <c r="AA20" s="22"/>
      <c r="AB20" s="23"/>
      <c r="AC20" s="184">
        <f>PRODUCT(AC5:AC19)</f>
        <v>0.58862886551315041</v>
      </c>
      <c r="AD20" s="181">
        <f>SUM(AD5:AD19)</f>
        <v>0.32626304844055765</v>
      </c>
      <c r="AE20" s="181">
        <f>SUM(AE5:AE19)</f>
        <v>7.4981391654720717E-2</v>
      </c>
      <c r="AF20" s="181">
        <f>1-AC20-AD20-AE20</f>
        <v>1.0126694391571225E-2</v>
      </c>
      <c r="BH20">
        <v>1</v>
      </c>
      <c r="BI20">
        <v>8</v>
      </c>
      <c r="BJ20" s="107">
        <f t="shared" si="11"/>
        <v>5.7040474663094164E-7</v>
      </c>
      <c r="BP20">
        <f>BP16+1</f>
        <v>6</v>
      </c>
      <c r="BQ20">
        <v>2</v>
      </c>
      <c r="BR20" s="107">
        <f>$H$31*H41</f>
        <v>2.3237722859975464E-3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2.7867879608294117E-8</v>
      </c>
      <c r="BP21">
        <f>BP17+1</f>
        <v>6</v>
      </c>
      <c r="BQ21">
        <v>3</v>
      </c>
      <c r="BR21" s="107">
        <f>$H$31*H42</f>
        <v>8.2116793820345604E-4</v>
      </c>
    </row>
    <row r="22" spans="1:70" x14ac:dyDescent="0.25">
      <c r="A22" s="26" t="s">
        <v>77</v>
      </c>
      <c r="B22" s="62">
        <f>(B6)/((B6)+(C6))</f>
        <v>0.51249999999999996</v>
      </c>
      <c r="C22" s="63">
        <f>1-B22</f>
        <v>0.48750000000000004</v>
      </c>
      <c r="D22" s="24"/>
      <c r="E22" s="24"/>
      <c r="V22" s="59">
        <f>SUM(V25:V35)</f>
        <v>1</v>
      </c>
      <c r="AS22" s="82">
        <f>Y23+AA23+AC23+AE23+AG23+AI23+AK23+AM23+AO23+AQ23+AS23</f>
        <v>1.0000000000000002</v>
      </c>
      <c r="BH22">
        <v>1</v>
      </c>
      <c r="BI22">
        <v>10</v>
      </c>
      <c r="BJ22" s="107">
        <f t="shared" si="11"/>
        <v>9.6420673795826645E-10</v>
      </c>
      <c r="BP22">
        <f>BP18+1</f>
        <v>6</v>
      </c>
      <c r="BQ22">
        <v>4</v>
      </c>
      <c r="BR22" s="107">
        <f>$H$31*H43</f>
        <v>1.9894095204655741E-4</v>
      </c>
    </row>
    <row r="23" spans="1:70" ht="15.75" thickBot="1" x14ac:dyDescent="0.3">
      <c r="A23" s="40" t="s">
        <v>67</v>
      </c>
      <c r="B23" s="56">
        <f>((B22^2.8)/((B22^2.8)+(C22^2.8)))*B21</f>
        <v>2.6747510196347033</v>
      </c>
      <c r="C23" s="57">
        <f>B21-B23</f>
        <v>2.3252489803652967</v>
      </c>
      <c r="D23" s="151">
        <f>SUM(D25:D30)</f>
        <v>1</v>
      </c>
      <c r="E23" s="151">
        <f>SUM(E25:E30)</f>
        <v>1</v>
      </c>
      <c r="H23" s="59">
        <f>SUM(H25:H35)</f>
        <v>0.99999985186666474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0.99773973948096872</v>
      </c>
      <c r="Y23" s="80">
        <f>SUM(Y25:Y35)</f>
        <v>4.637531853968987E-4</v>
      </c>
      <c r="Z23" s="81"/>
      <c r="AA23" s="80">
        <f>SUM(AA25:AA35)</f>
        <v>5.3439087032786997E-3</v>
      </c>
      <c r="AB23" s="81"/>
      <c r="AC23" s="80">
        <f>SUM(AC25:AC35)</f>
        <v>2.7721164442487307E-2</v>
      </c>
      <c r="AD23" s="81"/>
      <c r="AE23" s="80">
        <f>SUM(AE25:AE35)</f>
        <v>8.5261017568356287E-2</v>
      </c>
      <c r="AF23" s="81"/>
      <c r="AG23" s="80">
        <f>SUM(AG25:AG35)</f>
        <v>0.17222149162066636</v>
      </c>
      <c r="AH23" s="81"/>
      <c r="AI23" s="80">
        <f>SUM(AI25:AI35)</f>
        <v>0.23881344100654581</v>
      </c>
      <c r="AJ23" s="81"/>
      <c r="AK23" s="80">
        <f>SUM(AK25:AK35)</f>
        <v>0.23038323115133325</v>
      </c>
      <c r="AL23" s="81"/>
      <c r="AM23" s="80">
        <f>SUM(AM25:AM35)</f>
        <v>0.15287924521693519</v>
      </c>
      <c r="AN23" s="81"/>
      <c r="AO23" s="80">
        <f>SUM(AO25:AO35)</f>
        <v>6.6990422637576208E-2</v>
      </c>
      <c r="AP23" s="81"/>
      <c r="AQ23" s="80">
        <f>SUM(AQ25:AQ35)</f>
        <v>1.7662063948393029E-2</v>
      </c>
      <c r="AR23" s="81"/>
      <c r="AS23" s="80">
        <f>SUM(AS25:AS35)</f>
        <v>2.2602605190312768E-3</v>
      </c>
      <c r="BH23">
        <f t="shared" ref="BH23:BH30" si="12">BH15+1</f>
        <v>2</v>
      </c>
      <c r="BI23">
        <v>3</v>
      </c>
      <c r="BJ23" s="107">
        <f t="shared" ref="BJ23:BJ30" si="13">$H$27*H42</f>
        <v>2.2046355922355362E-2</v>
      </c>
      <c r="BP23">
        <f>BL9+1</f>
        <v>6</v>
      </c>
      <c r="BQ23">
        <v>5</v>
      </c>
      <c r="BR23" s="107">
        <f>$H$31*H44</f>
        <v>3.4322633767010444E-5</v>
      </c>
    </row>
    <row r="24" spans="1:70" ht="15.75" thickBot="1" x14ac:dyDescent="0.3">
      <c r="A24" s="26" t="s">
        <v>76</v>
      </c>
      <c r="B24" s="64">
        <f>B23/B21</f>
        <v>0.5349502039269407</v>
      </c>
      <c r="C24" s="65">
        <f>C23/B21</f>
        <v>0.46504979607305935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5.3410792510313037E-3</v>
      </c>
      <c r="BP24">
        <f>BH49+1</f>
        <v>7</v>
      </c>
      <c r="BQ24">
        <v>0</v>
      </c>
      <c r="BR24" s="107">
        <f t="shared" ref="BR24:BR30" si="14">$H$32*H39</f>
        <v>6.7048278492368022E-4</v>
      </c>
    </row>
    <row r="25" spans="1:70" x14ac:dyDescent="0.25">
      <c r="A25" s="26" t="s">
        <v>69</v>
      </c>
      <c r="B25" s="117">
        <f>1/(1+EXP(-3.1416*4*((B11/(B11+C8))-(3.1416/6))))</f>
        <v>0.23251449252298675</v>
      </c>
      <c r="C25" s="118">
        <f>1/(1+EXP(-3.1416*4*((C11/(C11+B8))-(3.1416/6))))</f>
        <v>4.7908552998870924E-2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8.5549009888968519E-2</v>
      </c>
      <c r="I25" s="97">
        <v>0</v>
      </c>
      <c r="J25" s="98">
        <f t="shared" ref="J25:J35" si="15">Y25+AA25+AC25+AE25+AG25+AI25+AK25+AM25+AO25+AQ25+AS25</f>
        <v>0.10590119325384155</v>
      </c>
      <c r="K25" s="97">
        <v>0</v>
      </c>
      <c r="L25" s="98">
        <f>S20</f>
        <v>0.80781913083746337</v>
      </c>
      <c r="M25" s="84">
        <v>0</v>
      </c>
      <c r="N25" s="71">
        <f>(1-$B$24)^$B$21</f>
        <v>2.1751904675465093E-2</v>
      </c>
      <c r="O25" s="70">
        <v>0</v>
      </c>
      <c r="P25" s="71">
        <f>N25</f>
        <v>2.1751904675465093E-2</v>
      </c>
      <c r="Q25" s="12">
        <v>0</v>
      </c>
      <c r="R25" s="73">
        <f>P25*N25</f>
        <v>4.7314535701052017E-4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4.637531853968987E-4</v>
      </c>
      <c r="W25" s="136">
        <f>B31</f>
        <v>0.37481011400198466</v>
      </c>
      <c r="X25" s="12">
        <v>0</v>
      </c>
      <c r="Y25" s="79">
        <f>V25</f>
        <v>4.637531853968987E-4</v>
      </c>
      <c r="Z25" s="12">
        <v>0</v>
      </c>
      <c r="AA25" s="78">
        <f>((1-W25)^Z26)*V26</f>
        <v>3.3409576729866125E-3</v>
      </c>
      <c r="AB25" s="12">
        <v>0</v>
      </c>
      <c r="AC25" s="79">
        <f>(((1-$W$25)^AB27))*V27</f>
        <v>1.0835160686100485E-2</v>
      </c>
      <c r="AD25" s="12">
        <v>0</v>
      </c>
      <c r="AE25" s="79">
        <f>(((1-$W$25)^AB28))*V28</f>
        <v>2.083465638994559E-2</v>
      </c>
      <c r="AF25" s="12">
        <v>0</v>
      </c>
      <c r="AG25" s="79">
        <f>(((1-$W$25)^AB29))*V29</f>
        <v>2.6310864669857038E-2</v>
      </c>
      <c r="AH25" s="12">
        <v>0</v>
      </c>
      <c r="AI25" s="79">
        <f>(((1-$W$25)^AB30))*V30</f>
        <v>2.2809642805029964E-2</v>
      </c>
      <c r="AJ25" s="12">
        <v>0</v>
      </c>
      <c r="AK25" s="79">
        <f>(((1-$W$25)^AB31))*V31</f>
        <v>1.3756961652143069E-2</v>
      </c>
      <c r="AL25" s="12">
        <v>0</v>
      </c>
      <c r="AM25" s="79">
        <f>(((1-$W$25)^AB32))*V32</f>
        <v>5.7073188403084212E-3</v>
      </c>
      <c r="AN25" s="12">
        <v>0</v>
      </c>
      <c r="AO25" s="79">
        <f>(((1-$W$25)^AB33))*V33</f>
        <v>1.5635373731196116E-3</v>
      </c>
      <c r="AP25" s="12">
        <v>0</v>
      </c>
      <c r="AQ25" s="79">
        <f>(((1-$W$25)^AB34))*V34</f>
        <v>2.5772048819928722E-4</v>
      </c>
      <c r="AR25" s="12">
        <v>0</v>
      </c>
      <c r="AS25" s="79">
        <f>(((1-$W$25)^AB35))*V35</f>
        <v>2.0619490754567525E-5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9.2147898744761314E-4</v>
      </c>
      <c r="BP25">
        <f>BP19+1</f>
        <v>7</v>
      </c>
      <c r="BQ25">
        <v>1</v>
      </c>
      <c r="BR25" s="107">
        <f t="shared" si="14"/>
        <v>8.1099452426577369E-4</v>
      </c>
    </row>
    <row r="26" spans="1:70" x14ac:dyDescent="0.25">
      <c r="A26" s="40" t="s">
        <v>24</v>
      </c>
      <c r="B26" s="119">
        <f>1/(1+EXP(-3.1416*4*((B10/(B10+C9))-(3.1416/6))))</f>
        <v>0.3116087100766749</v>
      </c>
      <c r="C26" s="120">
        <f>1/(1+EXP(-3.1416*4*((C10/(C10+B9))-(3.1416/6))))</f>
        <v>9.5041725809120875E-3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0.23389503396306882</v>
      </c>
      <c r="I26" s="93">
        <v>1</v>
      </c>
      <c r="J26" s="86">
        <f t="shared" si="15"/>
        <v>0.2663844118707136</v>
      </c>
      <c r="K26" s="93">
        <v>1</v>
      </c>
      <c r="L26" s="86">
        <f>T20</f>
        <v>0.17662322134733452</v>
      </c>
      <c r="M26" s="85">
        <v>1</v>
      </c>
      <c r="N26" s="71">
        <f>(($B$24)^M26)*((1-($B$24))^($B$21-M26))*HLOOKUP($B$21,$AV$24:$BF$34,M26+1)</f>
        <v>0.12510688038352974</v>
      </c>
      <c r="O26" s="72">
        <v>1</v>
      </c>
      <c r="P26" s="71">
        <f t="shared" ref="P26:P30" si="16">N26</f>
        <v>0.12510688038352974</v>
      </c>
      <c r="Q26" s="28">
        <v>1</v>
      </c>
      <c r="R26" s="37">
        <f>N26*P25+P26*N25</f>
        <v>5.4426258726947051E-3</v>
      </c>
      <c r="S26" s="72">
        <v>1</v>
      </c>
      <c r="T26" s="135">
        <f t="shared" ref="T26:T35" si="17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5.3439087032786997E-3</v>
      </c>
      <c r="W26" s="137"/>
      <c r="X26" s="28">
        <v>1</v>
      </c>
      <c r="Y26" s="73"/>
      <c r="Z26" s="28">
        <v>1</v>
      </c>
      <c r="AA26" s="79">
        <f>(1-((1-W25)^Z26))*V26</f>
        <v>2.0029510302920872E-3</v>
      </c>
      <c r="AB26" s="28">
        <v>1</v>
      </c>
      <c r="AC26" s="79">
        <f>((($W$25)^M26)*((1-($W$25))^($U$27-M26))*HLOOKUP($U$27,$AV$24:$BF$34,M26+1))*V27</f>
        <v>1.2991661902860779E-2</v>
      </c>
      <c r="AD26" s="28">
        <v>1</v>
      </c>
      <c r="AE26" s="79">
        <f>((($W$25)^M26)*((1-($W$25))^($U$28-M26))*HLOOKUP($U$28,$AV$24:$BF$34,M26+1))*V28</f>
        <v>3.7472007041069469E-2</v>
      </c>
      <c r="AF26" s="28">
        <v>1</v>
      </c>
      <c r="AG26" s="79">
        <f>((($W$25)^M26)*((1-($W$25))^($U$29-M26))*HLOOKUP($U$29,$AV$24:$BF$34,M26+1))*V29</f>
        <v>6.3094931042638219E-2</v>
      </c>
      <c r="AH26" s="28">
        <v>1</v>
      </c>
      <c r="AI26" s="79">
        <f>((($W$25)^M26)*((1-($W$25))^($U$30-M26))*HLOOKUP($U$30,$AV$24:$BF$34,M26+1))*V30</f>
        <v>6.8373505486659214E-2</v>
      </c>
      <c r="AJ26" s="28">
        <v>1</v>
      </c>
      <c r="AK26" s="79">
        <f>((($W$25)^M26)*((1-($W$25))^($U$31-M26))*HLOOKUP($U$31,$AV$24:$BF$34,M26+1))*V31</f>
        <v>4.9484949906982746E-2</v>
      </c>
      <c r="AL26" s="28">
        <v>1</v>
      </c>
      <c r="AM26" s="79">
        <f>((($W$25)^Q26)*((1-($W$25))^($U$32-Q26))*HLOOKUP($U$32,$AV$24:$BF$34,Q26+1))*V32</f>
        <v>2.3951324408212279E-2</v>
      </c>
      <c r="AN26" s="28">
        <v>1</v>
      </c>
      <c r="AO26" s="79">
        <f>((($W$25)^Q26)*((1-($W$25))^($U$33-Q26))*HLOOKUP($U$33,$AV$24:$BF$34,Q26+1))*V33</f>
        <v>7.4989008516006053E-3</v>
      </c>
      <c r="AP26" s="28">
        <v>1</v>
      </c>
      <c r="AQ26" s="79">
        <f>((($W$25)^Q26)*((1-($W$25))^($U$34-Q26))*HLOOKUP($U$34,$AV$24:$BF$34,Q26+1))*V34</f>
        <v>1.390563458453577E-3</v>
      </c>
      <c r="AR26" s="28">
        <v>1</v>
      </c>
      <c r="AS26" s="79">
        <f>((($W$25)^Q26)*((1-($W$25))^($U$35-Q26))*HLOOKUP($U$35,$AV$24:$BF$34,Q26+1))*V35</f>
        <v>1.2361674194465223E-4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1.1541896471227626E-4</v>
      </c>
      <c r="BP26">
        <f>BP20+1</f>
        <v>7</v>
      </c>
      <c r="BQ26">
        <v>2</v>
      </c>
      <c r="BR26" s="107">
        <f t="shared" si="14"/>
        <v>4.5858180701706342E-4</v>
      </c>
    </row>
    <row r="27" spans="1:70" x14ac:dyDescent="0.25">
      <c r="A27" s="26" t="s">
        <v>25</v>
      </c>
      <c r="B27" s="119">
        <f>1/(1+EXP(-3.1416*4*((B12/(B12+C7))-(3.1416/6))))</f>
        <v>0.4983567074552524</v>
      </c>
      <c r="C27" s="120">
        <f>1/(1+EXP(-3.1416*4*((C12/(C12+B7))-(3.1416/6))))</f>
        <v>8.3864103423478886E-2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0.29237040619398302</v>
      </c>
      <c r="I27" s="93">
        <v>2</v>
      </c>
      <c r="J27" s="86">
        <f t="shared" si="15"/>
        <v>0.30172838717711048</v>
      </c>
      <c r="K27" s="93">
        <v>2</v>
      </c>
      <c r="L27" s="86">
        <f>U20</f>
        <v>1.4907950758167287E-2</v>
      </c>
      <c r="M27" s="85">
        <v>2</v>
      </c>
      <c r="N27" s="71">
        <f>(($B$24)^M27)*((1-($B$24))^($B$21-M27))*HLOOKUP($B$21,$AV$24:$BF$34,M27+1)</f>
        <v>0.28782273098048433</v>
      </c>
      <c r="O27" s="72">
        <v>2</v>
      </c>
      <c r="P27" s="71">
        <f t="shared" si="16"/>
        <v>0.28782273098048433</v>
      </c>
      <c r="Q27" s="28">
        <v>2</v>
      </c>
      <c r="R27" s="37">
        <f>P25*N27+P26*N26+P27*N25</f>
        <v>2.8173116734737876E-2</v>
      </c>
      <c r="S27" s="72">
        <v>2</v>
      </c>
      <c r="T27" s="135">
        <f t="shared" si="17"/>
        <v>1.4850375000000001E-4</v>
      </c>
      <c r="U27" s="93">
        <v>2</v>
      </c>
      <c r="V27" s="86">
        <f>R27*T25+T26*R26+R25*T27</f>
        <v>2.77211644424873E-2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3.8943418535260393E-3</v>
      </c>
      <c r="AD27" s="28">
        <v>2</v>
      </c>
      <c r="AE27" s="79">
        <f>((($W$25)^M27)*((1-($W$25))^($U$28-M27))*HLOOKUP($U$28,$AV$24:$BF$34,M27+1))*V28</f>
        <v>2.2464994308930647E-2</v>
      </c>
      <c r="AF27" s="28">
        <v>2</v>
      </c>
      <c r="AG27" s="79">
        <f>((($W$25)^M27)*((1-($W$25))^($U$29-M27))*HLOOKUP($U$29,$AV$24:$BF$34,M27+1))*V29</f>
        <v>5.6739445470924472E-2</v>
      </c>
      <c r="AH27" s="28">
        <v>2</v>
      </c>
      <c r="AI27" s="79">
        <f>((($W$25)^M27)*((1-($W$25))^($U$30-M27))*HLOOKUP($U$30,$AV$24:$BF$34,M27+1))*V30</f>
        <v>8.1981752936583524E-2</v>
      </c>
      <c r="AJ27" s="28">
        <v>2</v>
      </c>
      <c r="AK27" s="79">
        <f>((($W$25)^M27)*((1-($W$25))^($U$31-M27))*HLOOKUP($U$31,$AV$24:$BF$34,M27+1))*V31</f>
        <v>7.4167305531545255E-2</v>
      </c>
      <c r="AL27" s="28">
        <v>2</v>
      </c>
      <c r="AM27" s="79">
        <f>((($W$25)^Q27)*((1-($W$25))^($U$32-Q27))*HLOOKUP($U$32,$AV$24:$BF$34,Q27+1))*V32</f>
        <v>4.3077465741195906E-2</v>
      </c>
      <c r="AN27" s="28">
        <v>2</v>
      </c>
      <c r="AO27" s="79">
        <f>((($W$25)^Q27)*((1-($W$25))^($U$33-Q27))*HLOOKUP($U$33,$AV$24:$BF$34,Q27+1))*V33</f>
        <v>1.5734937194432214E-2</v>
      </c>
      <c r="AP27" s="28">
        <v>2</v>
      </c>
      <c r="AQ27" s="79">
        <f>((($W$25)^Q27)*((1-($W$25))^($U$34-Q27))*HLOOKUP($U$34,$AV$24:$BF$34,Q27+1))*V34</f>
        <v>3.3346492645700532E-3</v>
      </c>
      <c r="AR27" s="28">
        <v>2</v>
      </c>
      <c r="AS27" s="79">
        <f>((($W$25)^Q27)*((1-($W$25))^($U$35-Q27))*HLOOKUP($U$35,$AV$24:$BF$34,Q27+1))*V35</f>
        <v>3.3349487540237092E-4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1.0594281405546772E-5</v>
      </c>
      <c r="BP27">
        <f>BP21+1</f>
        <v>7</v>
      </c>
      <c r="BQ27">
        <v>3</v>
      </c>
      <c r="BR27" s="107">
        <f t="shared" si="14"/>
        <v>1.6205231434893478E-4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0.22108437650473609</v>
      </c>
      <c r="I28" s="93">
        <v>3</v>
      </c>
      <c r="J28" s="86">
        <f t="shared" si="15"/>
        <v>0.20270885047165493</v>
      </c>
      <c r="K28" s="93">
        <v>3</v>
      </c>
      <c r="L28" s="86">
        <f>V20</f>
        <v>6.4969705703482074E-4</v>
      </c>
      <c r="M28" s="85">
        <v>3</v>
      </c>
      <c r="N28" s="71">
        <f>(($B$24)^M28)*((1-($B$24))^($B$21-M28))*HLOOKUP($B$21,$AV$24:$BF$34,M28+1)</f>
        <v>0.3310846062786581</v>
      </c>
      <c r="O28" s="72">
        <v>3</v>
      </c>
      <c r="P28" s="71">
        <f t="shared" si="16"/>
        <v>0.3310846062786581</v>
      </c>
      <c r="Q28" s="28">
        <v>3</v>
      </c>
      <c r="R28" s="37">
        <f>P25*N28+P26*N27+P27*N26+P28*N25</f>
        <v>8.6420649543447151E-2</v>
      </c>
      <c r="S28" s="72">
        <v>3</v>
      </c>
      <c r="T28" s="135">
        <f t="shared" si="17"/>
        <v>4.9750000000000011E-7</v>
      </c>
      <c r="U28" s="93">
        <v>3</v>
      </c>
      <c r="V28" s="86">
        <f>R28*T25+R27*T26+R26*T27+R25*T28</f>
        <v>8.5261017568356273E-2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4.4893598284105763E-3</v>
      </c>
      <c r="AF28" s="28">
        <v>3</v>
      </c>
      <c r="AG28" s="79">
        <f>((($W$25)^M28)*((1-($W$25))^($U$29-M28))*HLOOKUP($U$29,$AV$24:$BF$34,M28+1))*V29</f>
        <v>2.2677396101738495E-2</v>
      </c>
      <c r="AH28" s="28">
        <v>3</v>
      </c>
      <c r="AI28" s="79">
        <f>((($W$25)^M28)*((1-($W$25))^($U$30-M28))*HLOOKUP($U$30,$AV$24:$BF$34,M28+1))*V30</f>
        <v>4.914921186735409E-2</v>
      </c>
      <c r="AJ28" s="28">
        <v>3</v>
      </c>
      <c r="AK28" s="79">
        <f>((($W$25)^M28)*((1-($W$25))^($U$31-M28))*HLOOKUP($U$31,$AV$24:$BF$34,M28+1))*V31</f>
        <v>5.928578791625292E-2</v>
      </c>
      <c r="AL28" s="28">
        <v>3</v>
      </c>
      <c r="AM28" s="79">
        <f>((($W$25)^Q28)*((1-($W$25))^($U$32-Q28))*HLOOKUP($U$32,$AV$24:$BF$34,Q28+1))*V32</f>
        <v>4.304257582904842E-2</v>
      </c>
      <c r="AN28" s="28">
        <v>3</v>
      </c>
      <c r="AO28" s="79">
        <f>((($W$25)^Q28)*((1-($W$25))^($U$33-Q28))*HLOOKUP($U$33,$AV$24:$BF$34,Q28+1))*V33</f>
        <v>1.886663151706177E-2</v>
      </c>
      <c r="AP28" s="28">
        <v>3</v>
      </c>
      <c r="AQ28" s="79">
        <f>((($W$25)^Q28)*((1-($W$25))^($U$34-Q28))*HLOOKUP($U$34,$AV$24:$BF$34,Q28+1))*V34</f>
        <v>4.6647277853855765E-3</v>
      </c>
      <c r="AR28" s="28">
        <v>3</v>
      </c>
      <c r="AS28" s="79">
        <f>((($W$25)^Q28)*((1-($W$25))^($U$35-Q28))*HLOOKUP($U$35,$AV$24:$BF$34,Q28+1))*V35</f>
        <v>5.3315962640311423E-4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7.1300986875076903E-7</v>
      </c>
      <c r="BP28">
        <f>BP22+1</f>
        <v>7</v>
      </c>
      <c r="BQ28">
        <v>4</v>
      </c>
      <c r="BR28" s="107">
        <f t="shared" si="14"/>
        <v>3.9259742371891592E-5</v>
      </c>
    </row>
    <row r="29" spans="1:70" x14ac:dyDescent="0.25">
      <c r="A29" s="26" t="s">
        <v>27</v>
      </c>
      <c r="B29" s="123">
        <f>1/(1+EXP(-3.1416*4*((B14/(B14+C13))-(3.1416/6))))</f>
        <v>0.15942935610558479</v>
      </c>
      <c r="C29" s="118">
        <f>1/(1+EXP(-3.1416*4*((C14/(C14+B13))-(3.1416/6))))</f>
        <v>0.35067994283720322</v>
      </c>
      <c r="D29" s="153">
        <v>0.04</v>
      </c>
      <c r="E29" s="153">
        <v>0.04</v>
      </c>
      <c r="G29" s="87">
        <v>4</v>
      </c>
      <c r="H29" s="128">
        <f>J29*L25+J28*L26+J27*L27+J26*L28</f>
        <v>0.1127628404633868</v>
      </c>
      <c r="I29" s="93">
        <v>4</v>
      </c>
      <c r="J29" s="86">
        <f t="shared" si="15"/>
        <v>8.9486032740666507E-2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0.19042452995508299</v>
      </c>
      <c r="O29" s="72">
        <v>4</v>
      </c>
      <c r="P29" s="71">
        <f t="shared" si="16"/>
        <v>0.19042452995508299</v>
      </c>
      <c r="Q29" s="28">
        <v>4</v>
      </c>
      <c r="R29" s="37">
        <f>P25*N29+P26*N28+P27*N27+P28*N26+P29*N25</f>
        <v>0.17396804138503494</v>
      </c>
      <c r="S29" s="72">
        <v>4</v>
      </c>
      <c r="T29" s="135">
        <f t="shared" si="17"/>
        <v>6.2500000000000001E-10</v>
      </c>
      <c r="U29" s="93">
        <v>4</v>
      </c>
      <c r="V29" s="86">
        <f>T29*R25+T28*R26+T27*R27+T26*R28+T25*R29</f>
        <v>0.17222149162066633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3.3988543355081358E-3</v>
      </c>
      <c r="AH29" s="28">
        <v>4</v>
      </c>
      <c r="AI29" s="79">
        <f>((($W$25)^M29)*((1-($W$25))^($U$30-M29))*HLOOKUP($U$30,$AV$24:$BF$34,M29+1))*V30</f>
        <v>1.4732821272135198E-2</v>
      </c>
      <c r="AJ29" s="28">
        <v>4</v>
      </c>
      <c r="AK29" s="79">
        <f>((($W$25)^M29)*((1-($W$25))^($U$31-M29))*HLOOKUP($U$31,$AV$24:$BF$34,M29+1))*V31</f>
        <v>2.6656996648445588E-2</v>
      </c>
      <c r="AL29" s="28">
        <v>4</v>
      </c>
      <c r="AM29" s="79">
        <f>((($W$25)^Q29)*((1-($W$25))^($U$32-Q29))*HLOOKUP($U$32,$AV$24:$BF$34,Q29+1))*V32</f>
        <v>2.5804628505260108E-2</v>
      </c>
      <c r="AN29" s="28">
        <v>4</v>
      </c>
      <c r="AO29" s="79">
        <f>((($W$25)^Q29)*((1-($W$25))^($U$33-Q29))*HLOOKUP($U$33,$AV$24:$BF$34,Q29+1))*V33</f>
        <v>1.4138513090416912E-2</v>
      </c>
      <c r="AP29" s="28">
        <v>4</v>
      </c>
      <c r="AQ29" s="79">
        <f>((($W$25)^Q29)*((1-($W$25))^($U$34-Q29))*HLOOKUP($U$34,$AV$24:$BF$34,Q29+1))*V34</f>
        <v>4.1948546965956748E-3</v>
      </c>
      <c r="AR29" s="28">
        <v>4</v>
      </c>
      <c r="AS29" s="79">
        <f>((($W$25)^Q29)*((1-($W$25))^($U$35-Q29))*HLOOKUP($U$35,$AV$24:$BF$34,Q29+1))*V35</f>
        <v>5.5936419230488319E-4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3.4835041782582121E-8</v>
      </c>
      <c r="BP29">
        <f>BP23+1</f>
        <v>7</v>
      </c>
      <c r="BQ29">
        <v>5</v>
      </c>
      <c r="BR29" s="107">
        <f t="shared" si="14"/>
        <v>6.7733553366240414E-6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4.0947064790549305E-2</v>
      </c>
      <c r="I30" s="93">
        <v>5</v>
      </c>
      <c r="J30" s="86">
        <f t="shared" si="15"/>
        <v>2.7139426363080199E-2</v>
      </c>
      <c r="K30" s="93">
        <v>5</v>
      </c>
      <c r="L30" s="86"/>
      <c r="M30" s="85">
        <v>5</v>
      </c>
      <c r="N30" s="71">
        <f>(($B$24)^M30)*((1-($B$24))^($B$21-M30))*HLOOKUP($B$21,$AV$24:$BF$34,M30+1)</f>
        <v>4.3809347726779808E-2</v>
      </c>
      <c r="O30" s="72">
        <v>5</v>
      </c>
      <c r="P30" s="71">
        <f t="shared" si="16"/>
        <v>4.3809347726779808E-2</v>
      </c>
      <c r="Q30" s="28">
        <v>5</v>
      </c>
      <c r="R30" s="37">
        <f>P25*N30+P26*N29+P27*N28+P28*N27+P29*N26+P30*N25</f>
        <v>0.24014006242309888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0.23881344100654572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1.7665066387837849E-3</v>
      </c>
      <c r="AJ30" s="28">
        <v>5</v>
      </c>
      <c r="AK30" s="79">
        <f>((($W$25)^M30)*((1-($W$25))^($U$31-M30))*HLOOKUP($U$31,$AV$24:$BF$34,M30+1))*V31</f>
        <v>6.3924974965357201E-3</v>
      </c>
      <c r="AL30" s="28">
        <v>5</v>
      </c>
      <c r="AM30" s="79">
        <f>((($W$25)^Q30)*((1-($W$25))^($U$32-Q30))*HLOOKUP($U$32,$AV$24:$BF$34,Q30+1))*V32</f>
        <v>9.2821422436121497E-3</v>
      </c>
      <c r="AN30" s="28">
        <v>5</v>
      </c>
      <c r="AO30" s="79">
        <f>((($W$25)^Q30)*((1-($W$25))^($U$33-Q30))*HLOOKUP($U$33,$AV$24:$BF$34,Q30+1))*V33</f>
        <v>6.7809896761567732E-3</v>
      </c>
      <c r="AP30" s="28">
        <v>5</v>
      </c>
      <c r="AQ30" s="79">
        <f>((($W$25)^Q30)*((1-($W$25))^($U$34-Q30))*HLOOKUP($U$34,$AV$24:$BF$34,Q30+1))*V34</f>
        <v>2.5148742842231089E-3</v>
      </c>
      <c r="AR30" s="28">
        <v>5</v>
      </c>
      <c r="AS30" s="79">
        <f>((($W$25)^Q30)*((1-($W$25))^($U$35-Q30))*HLOOKUP($U$35,$AV$24:$BF$34,Q30+1))*V35</f>
        <v>4.0241602376866385E-4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1.2052650749153809E-9</v>
      </c>
      <c r="BP30">
        <f>BL10+1</f>
        <v>7</v>
      </c>
      <c r="BQ30">
        <v>6</v>
      </c>
      <c r="BR30" s="107">
        <f t="shared" si="14"/>
        <v>8.4839011114831602E-7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0.37481011400198466</v>
      </c>
      <c r="C31" s="61">
        <f>(C25*E25)+(C26*E26)+(C27*E27)+(C28*E28)+(C29*E29)+(C30*E30)/(C25+C26+C27+C28+C29+C30)</f>
        <v>0.13186720271790392</v>
      </c>
      <c r="G31" s="87">
        <v>6</v>
      </c>
      <c r="H31" s="128">
        <f>J31*L25+J30*L26+J29*L27+J28*L28</f>
        <v>1.0890017583475993E-2</v>
      </c>
      <c r="I31" s="93">
        <v>6</v>
      </c>
      <c r="J31" s="86">
        <f t="shared" si="15"/>
        <v>5.7324861267909035E-3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0.23019573468085752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0.23038323115133322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6.3873199942797334E-4</v>
      </c>
      <c r="AL31" s="28">
        <v>6</v>
      </c>
      <c r="AM31" s="79">
        <f>((($W$25)^Q31)*((1-($W$25))^($U$32-Q31))*HLOOKUP($U$32,$AV$24:$BF$34,Q31+1))*V32</f>
        <v>1.854924863858056E-3</v>
      </c>
      <c r="AN31" s="28">
        <v>6</v>
      </c>
      <c r="AO31" s="79">
        <f>((($W$25)^Q31)*((1-($W$25))^($U$33-Q31))*HLOOKUP($U$33,$AV$24:$BF$34,Q31+1))*V33</f>
        <v>2.0326492562410623E-3</v>
      </c>
      <c r="AP31" s="28">
        <v>6</v>
      </c>
      <c r="AQ31" s="79">
        <f>((($W$25)^Q31)*((1-($W$25))^($U$34-Q31))*HLOOKUP($U$34,$AV$24:$BF$34,Q31+1))*V34</f>
        <v>1.005134960626789E-3</v>
      </c>
      <c r="AR31" s="28">
        <v>6</v>
      </c>
      <c r="AS31" s="79">
        <f>((($W$25)^Q31)*((1-($W$25))^($U$35-Q31))*HLOOKUP($U$35,$AV$24:$BF$34,Q31+1))*V35</f>
        <v>2.0104504663702154E-4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4.0388122431692956E-3</v>
      </c>
      <c r="BP31">
        <f t="shared" ref="BP31:BP37" si="21">BP24+1</f>
        <v>8</v>
      </c>
      <c r="BQ31">
        <v>0</v>
      </c>
      <c r="BR31" s="107">
        <f t="shared" ref="BR31:BR38" si="22">$H$33*H39</f>
        <v>9.8362674287890366E-5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2.1490762980393373E-3</v>
      </c>
      <c r="I32" s="93">
        <v>7</v>
      </c>
      <c r="J32" s="86">
        <f t="shared" si="15"/>
        <v>8.3416455779525994E-4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0.15131191326234525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0.15287924521693516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1.5886478543986849E-4</v>
      </c>
      <c r="AN32" s="28">
        <v>7</v>
      </c>
      <c r="AO32" s="79">
        <f>((($W$25)^Q32)*((1-($W$25))^($U$33-Q32))*HLOOKUP($U$33,$AV$24:$BF$34,Q32+1))*V33</f>
        <v>3.4817193327778376E-4</v>
      </c>
      <c r="AP32" s="28">
        <v>7</v>
      </c>
      <c r="AQ32" s="79">
        <f>((($W$25)^Q32)*((1-($W$25))^($U$34-Q32))*HLOOKUP($U$34,$AV$24:$BF$34,Q32+1))*V34</f>
        <v>2.5825393734703534E-4</v>
      </c>
      <c r="AR32" s="28">
        <v>7</v>
      </c>
      <c r="AS32" s="79">
        <f>((($W$25)^Q32)*((1-($W$25))^($U$35-Q32))*HLOOKUP($U$35,$AV$24:$BF$34,Q32+1))*V35</f>
        <v>6.8873901730572403E-5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6.9680310690167151E-4</v>
      </c>
      <c r="BP32">
        <f t="shared" si="21"/>
        <v>8</v>
      </c>
      <c r="BQ32">
        <v>1</v>
      </c>
      <c r="BR32" s="107">
        <f t="shared" si="22"/>
        <v>1.1897634366361419E-4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3.1527862709842809E-4</v>
      </c>
      <c r="I33" s="93">
        <v>8</v>
      </c>
      <c r="J33" s="86">
        <f t="shared" si="15"/>
        <v>8.0282537208345748E-5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6.5270702895505739E-2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6.6990422637576194E-2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2.6091745269482766E-5</v>
      </c>
      <c r="AP33" s="28">
        <v>8</v>
      </c>
      <c r="AQ33" s="79">
        <f>((($W$25)^Q33)*((1-($W$25))^($U$34-Q33))*HLOOKUP($U$34,$AV$24:$BF$34,Q33+1))*V34</f>
        <v>3.8706715298178611E-5</v>
      </c>
      <c r="AR33" s="28">
        <v>8</v>
      </c>
      <c r="AS33" s="79">
        <f>((($W$25)^Q33)*((1-($W$25))^($U$35-Q33))*HLOOKUP($U$35,$AV$24:$BF$34,Q33+1))*V35</f>
        <v>1.5484076640684375E-5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8.7277403285835294E-5</v>
      </c>
      <c r="BP33">
        <f t="shared" si="21"/>
        <v>8</v>
      </c>
      <c r="BQ33">
        <v>2</v>
      </c>
      <c r="BR33" s="107">
        <f t="shared" si="22"/>
        <v>6.727590019049644E-5</v>
      </c>
    </row>
    <row r="34" spans="1:70" x14ac:dyDescent="0.25">
      <c r="A34" s="40" t="s">
        <v>86</v>
      </c>
      <c r="B34" s="56">
        <f>B23*2</f>
        <v>5.3495020392694066</v>
      </c>
      <c r="C34" s="57">
        <f>C23*2</f>
        <v>4.6504979607305934</v>
      </c>
      <c r="G34" s="87">
        <v>9</v>
      </c>
      <c r="H34" s="128">
        <f>J34*L25+J33*L26+J32*L27+J31*L28</f>
        <v>3.4089097516306314E-5</v>
      </c>
      <c r="I34" s="93">
        <v>9</v>
      </c>
      <c r="J34" s="86">
        <f t="shared" si="15"/>
        <v>4.6412291014389233E-6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1.6684748897021658E-2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1.7662063948393023E-2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2.5783576937488757E-6</v>
      </c>
      <c r="AR34" s="28">
        <v>9</v>
      </c>
      <c r="AS34" s="79">
        <f>((($W$25)^Q34)*((1-($W$25))^($U$35-Q34))*HLOOKUP($U$35,$AV$24:$BF$34,Q34+1))*V35</f>
        <v>2.0628714076900476E-6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8.0111736668279481E-6</v>
      </c>
      <c r="BP34">
        <f t="shared" si="21"/>
        <v>8</v>
      </c>
      <c r="BQ34">
        <v>3</v>
      </c>
      <c r="BR34" s="107">
        <f t="shared" si="22"/>
        <v>2.3773763282703079E-5</v>
      </c>
    </row>
    <row r="35" spans="1:70" ht="15.75" thickBot="1" x14ac:dyDescent="0.3">
      <c r="G35" s="88">
        <v>10</v>
      </c>
      <c r="H35" s="129">
        <f>J35*L25+J34*L26+J33*L27+J32*L28</f>
        <v>2.6584558421164621E-6</v>
      </c>
      <c r="I35" s="94">
        <v>10</v>
      </c>
      <c r="J35" s="89">
        <f t="shared" si="15"/>
        <v>1.2367203705694555E-7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1.9192589482459072E-3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2.2602605190312763E-3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1.2367203705694555E-7</v>
      </c>
      <c r="BH35">
        <f t="shared" si="19"/>
        <v>3</v>
      </c>
      <c r="BI35">
        <v>8</v>
      </c>
      <c r="BJ35" s="107">
        <f t="shared" si="20"/>
        <v>5.3916312641402899E-7</v>
      </c>
      <c r="BP35">
        <f t="shared" si="21"/>
        <v>8</v>
      </c>
      <c r="BQ35">
        <v>4</v>
      </c>
      <c r="BR35" s="107">
        <f t="shared" si="22"/>
        <v>5.7595710708552045E-6</v>
      </c>
    </row>
    <row r="36" spans="1:70" x14ac:dyDescent="0.25">
      <c r="A36" s="1"/>
      <c r="B36" s="108">
        <f>SUM(B37:B39)</f>
        <v>0.99999719331334491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0.99999999999999967</v>
      </c>
      <c r="BH36">
        <f t="shared" si="19"/>
        <v>3</v>
      </c>
      <c r="BI36">
        <v>9</v>
      </c>
      <c r="BJ36" s="107">
        <f t="shared" si="20"/>
        <v>2.6341528861538708E-8</v>
      </c>
      <c r="BP36">
        <f t="shared" si="21"/>
        <v>8</v>
      </c>
      <c r="BQ36">
        <v>5</v>
      </c>
      <c r="BR36" s="107">
        <f t="shared" si="22"/>
        <v>9.9368001653962229E-7</v>
      </c>
    </row>
    <row r="37" spans="1:70" ht="15.75" thickBot="1" x14ac:dyDescent="0.3">
      <c r="A37" s="109" t="s">
        <v>104</v>
      </c>
      <c r="B37" s="107">
        <f>SUM(BN4:BN14)</f>
        <v>0.19620685954022446</v>
      </c>
      <c r="G37" s="13"/>
      <c r="H37" s="59">
        <f>SUM(H39:H49)</f>
        <v>0.99999999990251109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1.0000000000000007</v>
      </c>
      <c r="S37" s="13"/>
      <c r="T37" s="59">
        <f>SUM(T39:T49)</f>
        <v>1</v>
      </c>
      <c r="U37" s="13"/>
      <c r="V37" s="59">
        <f>SUM(V39:V48)</f>
        <v>0.99944350602845489</v>
      </c>
      <c r="W37" s="13"/>
      <c r="X37" s="13"/>
      <c r="Y37" s="80">
        <f>SUM(Y39:Y49)</f>
        <v>1.8906137685359686E-3</v>
      </c>
      <c r="Z37" s="81"/>
      <c r="AA37" s="80">
        <f>SUM(AA39:AA49)</f>
        <v>1.6464228649243556E-2</v>
      </c>
      <c r="AB37" s="81"/>
      <c r="AC37" s="80">
        <f>SUM(AC39:AC49)</f>
        <v>6.4544447498553092E-2</v>
      </c>
      <c r="AD37" s="81"/>
      <c r="AE37" s="80">
        <f>SUM(AE39:AE49)</f>
        <v>0.15002410379672129</v>
      </c>
      <c r="AF37" s="81"/>
      <c r="AG37" s="80">
        <f>SUM(AG39:AG49)</f>
        <v>0.22901194613198941</v>
      </c>
      <c r="AH37" s="81"/>
      <c r="AI37" s="80">
        <f>SUM(AI39:AI49)</f>
        <v>0.23998573476770269</v>
      </c>
      <c r="AJ37" s="81"/>
      <c r="AK37" s="80">
        <f>SUM(AK39:AK49)</f>
        <v>0.17495491387155432</v>
      </c>
      <c r="AL37" s="81"/>
      <c r="AM37" s="80">
        <f>SUM(AM39:AM49)</f>
        <v>8.7732250425638522E-2</v>
      </c>
      <c r="AN37" s="81"/>
      <c r="AO37" s="80">
        <f>SUM(AO39:AO49)</f>
        <v>2.9049020881892273E-2</v>
      </c>
      <c r="AP37" s="81"/>
      <c r="AQ37" s="80">
        <f>SUM(AQ39:AQ49)</f>
        <v>5.7862462366234943E-3</v>
      </c>
      <c r="AR37" s="81"/>
      <c r="AS37" s="80">
        <f>SUM(AS39:AS49)</f>
        <v>5.5649397154511305E-4</v>
      </c>
      <c r="BH37">
        <f t="shared" si="19"/>
        <v>3</v>
      </c>
      <c r="BI37">
        <v>10</v>
      </c>
      <c r="BJ37" s="107">
        <f t="shared" si="20"/>
        <v>9.1139620141241524E-10</v>
      </c>
      <c r="BP37">
        <f t="shared" si="21"/>
        <v>8</v>
      </c>
      <c r="BQ37">
        <v>6</v>
      </c>
      <c r="BR37" s="107">
        <f t="shared" si="22"/>
        <v>1.2446243520099902E-7</v>
      </c>
    </row>
    <row r="38" spans="1:70" ht="15.75" thickBot="1" x14ac:dyDescent="0.3">
      <c r="A38" s="110" t="s">
        <v>105</v>
      </c>
      <c r="B38" s="107">
        <f>SUM(BJ4:BJ59)</f>
        <v>0.16860426520814453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3.5540049830822055E-4</v>
      </c>
      <c r="BP38">
        <f>BL11+1</f>
        <v>8</v>
      </c>
      <c r="BQ38">
        <v>7</v>
      </c>
      <c r="BR38" s="107">
        <f t="shared" si="22"/>
        <v>1.1424379574241368E-8</v>
      </c>
    </row>
    <row r="39" spans="1:70" x14ac:dyDescent="0.25">
      <c r="A39" s="111" t="s">
        <v>0</v>
      </c>
      <c r="B39" s="107">
        <f>SUM(BR4:BR47)</f>
        <v>0.63518606856497595</v>
      </c>
      <c r="G39" s="130">
        <v>0</v>
      </c>
      <c r="H39" s="131">
        <f>L39*J39</f>
        <v>0.31198649649404281</v>
      </c>
      <c r="I39" s="97">
        <v>0</v>
      </c>
      <c r="J39" s="98">
        <f t="shared" ref="J39:J49" si="37">Y39+AA39+AC39+AE39+AG39+AI39+AK39+AM39+AO39+AQ39+AS39</f>
        <v>0.53002242121113374</v>
      </c>
      <c r="K39" s="102">
        <v>0</v>
      </c>
      <c r="L39" s="98">
        <f>AC20</f>
        <v>0.58862886551315041</v>
      </c>
      <c r="M39" s="84">
        <v>0</v>
      </c>
      <c r="N39" s="71">
        <f>(1-$C$24)^$B$21</f>
        <v>4.3809347726779808E-2</v>
      </c>
      <c r="O39" s="70">
        <v>0</v>
      </c>
      <c r="P39" s="71">
        <f>N39</f>
        <v>4.3809347726779808E-2</v>
      </c>
      <c r="Q39" s="12">
        <v>0</v>
      </c>
      <c r="R39" s="73">
        <f>P39*N39</f>
        <v>1.9192589482459072E-3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1.8906137685359686E-3</v>
      </c>
      <c r="W39" s="136">
        <f>C31</f>
        <v>0.13186720271790392</v>
      </c>
      <c r="X39" s="12">
        <v>0</v>
      </c>
      <c r="Y39" s="79">
        <f>V39</f>
        <v>1.8906137685359686E-3</v>
      </c>
      <c r="Z39" s="12">
        <v>0</v>
      </c>
      <c r="AA39" s="78">
        <f>((1-W39)^Z40)*V40</f>
        <v>1.4293136872359833E-2</v>
      </c>
      <c r="AB39" s="12">
        <v>0</v>
      </c>
      <c r="AC39" s="79">
        <f>(((1-$W$39)^AB41))*V41</f>
        <v>4.8644216774421836E-2</v>
      </c>
      <c r="AD39" s="12">
        <v>0</v>
      </c>
      <c r="AE39" s="79">
        <f>(((1-$W$39)^AB42))*V42</f>
        <v>9.8156605830362675E-2</v>
      </c>
      <c r="AF39" s="12">
        <v>0</v>
      </c>
      <c r="AG39" s="79">
        <f>(((1-$W$39)^AB43))*V43</f>
        <v>0.1300776830168959</v>
      </c>
      <c r="AH39" s="12">
        <v>0</v>
      </c>
      <c r="AI39" s="79">
        <f>(((1-$W$39)^AB44))*V44</f>
        <v>0.11833582587175021</v>
      </c>
      <c r="AJ39" s="12">
        <v>0</v>
      </c>
      <c r="AK39" s="79">
        <f>(((1-$W$39)^AB45))*V45</f>
        <v>7.4893327651439953E-2</v>
      </c>
      <c r="AL39" s="12">
        <v>0</v>
      </c>
      <c r="AM39" s="79">
        <f>(((1-$W$39)^AB46))*V46</f>
        <v>3.2603364259427649E-2</v>
      </c>
      <c r="AN39" s="12">
        <v>0</v>
      </c>
      <c r="AO39" s="79">
        <f>(((1-$W$39)^AB47))*V47</f>
        <v>9.3717524643340318E-3</v>
      </c>
      <c r="AP39" s="12">
        <v>0</v>
      </c>
      <c r="AQ39" s="79">
        <f>(((1-$W$39)^AB48))*V48</f>
        <v>1.6205871293234718E-3</v>
      </c>
      <c r="AR39" s="12">
        <v>0</v>
      </c>
      <c r="AS39" s="79">
        <f>(((1-$W$39)^AB49))*V49</f>
        <v>1.3530757228218744E-4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4.4515347752619178E-5</v>
      </c>
      <c r="BP39">
        <f t="shared" ref="BP39:BP46" si="38">BP31+1</f>
        <v>9</v>
      </c>
      <c r="BQ39">
        <v>0</v>
      </c>
      <c r="BR39" s="107">
        <f t="shared" ref="BR39:BR47" si="39">$H$34*H39</f>
        <v>1.0635338102756183E-5</v>
      </c>
    </row>
    <row r="40" spans="1:70" x14ac:dyDescent="0.25">
      <c r="G40" s="91">
        <v>1</v>
      </c>
      <c r="H40" s="132">
        <f>L39*J40+L40*J39</f>
        <v>0.37736888402038904</v>
      </c>
      <c r="I40" s="93">
        <v>1</v>
      </c>
      <c r="J40" s="86">
        <f t="shared" si="37"/>
        <v>0.34731927894153175</v>
      </c>
      <c r="K40" s="95">
        <v>1</v>
      </c>
      <c r="L40" s="86">
        <f>AD20</f>
        <v>0.32626304844055765</v>
      </c>
      <c r="M40" s="85">
        <v>1</v>
      </c>
      <c r="N40" s="71">
        <f>(($C$24)^M26)*((1-($C$24))^($B$21-M26))*HLOOKUP($B$21,$AV$24:$BF$34,M26+1)</f>
        <v>0.19042452995508302</v>
      </c>
      <c r="O40" s="72">
        <v>1</v>
      </c>
      <c r="P40" s="71">
        <f t="shared" ref="P40:P44" si="40">N40</f>
        <v>0.19042452995508302</v>
      </c>
      <c r="Q40" s="28">
        <v>1</v>
      </c>
      <c r="R40" s="37">
        <f>P40*N39+P39*N40</f>
        <v>1.6684748897021661E-2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1.6464228649243556E-2</v>
      </c>
      <c r="W40" s="137"/>
      <c r="X40" s="28">
        <v>1</v>
      </c>
      <c r="Y40" s="73"/>
      <c r="Z40" s="28">
        <v>1</v>
      </c>
      <c r="AA40" s="79">
        <f>(1-((1-W39)^Z40))*V40</f>
        <v>2.1710917768837223E-3</v>
      </c>
      <c r="AB40" s="28">
        <v>1</v>
      </c>
      <c r="AC40" s="79">
        <f>((($W$39)^M40)*((1-($W$39))^($U$27-M40))*HLOOKUP($U$27,$AV$24:$BF$34,M40+1))*V41</f>
        <v>1.4777869963048886E-2</v>
      </c>
      <c r="AD40" s="28">
        <v>1</v>
      </c>
      <c r="AE40" s="79">
        <f>((($W$39)^M40)*((1-($W$39))^($U$28-M40))*HLOOKUP($U$28,$AV$24:$BF$34,M40+1))*V42</f>
        <v>4.4729229489971149E-2</v>
      </c>
      <c r="AF40" s="28">
        <v>1</v>
      </c>
      <c r="AG40" s="79">
        <f>((($W$39)^M40)*((1-($W$39))^($U$29-M40))*HLOOKUP($U$29,$AV$24:$BF$34,M40+1))*V43</f>
        <v>7.90339001091349E-2</v>
      </c>
      <c r="AH40" s="28">
        <v>1</v>
      </c>
      <c r="AI40" s="79">
        <f>((($W$39)^M40)*((1-($W$39))^($U$30-M40))*HLOOKUP($U$30,$AV$24:$BF$34,M40+1))*V44</f>
        <v>8.987458133061417E-2</v>
      </c>
      <c r="AJ40" s="28">
        <v>1</v>
      </c>
      <c r="AK40" s="79">
        <f>((($W$39)^M40)*((1-($W$39))^($U$31-M40))*HLOOKUP($U$31,$AV$24:$BF$34,M40+1))*V45</f>
        <v>6.8256656013112316E-2</v>
      </c>
      <c r="AL40" s="28">
        <v>1</v>
      </c>
      <c r="AM40" s="79">
        <f>((($W$39)^Q40)*((1-($W$39))^($U$32-Q40))*HLOOKUP($U$32,$AV$24:$BF$34,Q40+1))*V46</f>
        <v>3.4666586958591726E-2</v>
      </c>
      <c r="AN40" s="28">
        <v>1</v>
      </c>
      <c r="AO40" s="79">
        <f>((($W$39)^Q40)*((1-($W$39))^($U$33-Q40))*HLOOKUP($U$33,$AV$24:$BF$34,Q40+1))*V47</f>
        <v>1.1388366258299764E-2</v>
      </c>
      <c r="AP40" s="28">
        <v>1</v>
      </c>
      <c r="AQ40" s="79">
        <f>((($W$39)^Q40)*((1-($W$39))^($U$34-Q40))*HLOOKUP($U$34,$AV$24:$BF$34,Q40+1))*V48</f>
        <v>2.2154682204867135E-3</v>
      </c>
      <c r="AR40" s="28">
        <v>1</v>
      </c>
      <c r="AS40" s="79">
        <f>((($W$39)^Q40)*((1-($W$39))^($U$35-Q40))*HLOOKUP($U$35,$AV$24:$BF$34,Q40+1))*V49</f>
        <v>2.055288213884259E-4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4.0860539871647299E-6</v>
      </c>
      <c r="BP40">
        <f t="shared" si="38"/>
        <v>9</v>
      </c>
      <c r="BQ40">
        <v>1</v>
      </c>
      <c r="BR40" s="107">
        <f t="shared" si="39"/>
        <v>1.286416468699073E-5</v>
      </c>
    </row>
    <row r="41" spans="1:70" x14ac:dyDescent="0.25">
      <c r="G41" s="91">
        <v>2</v>
      </c>
      <c r="H41" s="132">
        <f>L39*J41+J40*L40+J39*L41</f>
        <v>0.21338554030652168</v>
      </c>
      <c r="I41" s="93">
        <v>2</v>
      </c>
      <c r="J41" s="86">
        <f t="shared" si="37"/>
        <v>0.10248609669129123</v>
      </c>
      <c r="K41" s="95">
        <v>2</v>
      </c>
      <c r="L41" s="86">
        <f>AE20</f>
        <v>7.4981391654720717E-2</v>
      </c>
      <c r="M41" s="85">
        <v>2</v>
      </c>
      <c r="N41" s="71">
        <f>(($C$24)^M27)*((1-($C$24))^($B$21-M27))*HLOOKUP($B$21,$AV$24:$BF$34,M27+1)</f>
        <v>0.33108460627865816</v>
      </c>
      <c r="O41" s="72">
        <v>2</v>
      </c>
      <c r="P41" s="71">
        <f t="shared" si="40"/>
        <v>0.33108460627865816</v>
      </c>
      <c r="Q41" s="28">
        <v>2</v>
      </c>
      <c r="R41" s="37">
        <f>P41*N39+P40*N40+P39*N41</f>
        <v>6.5270702895505753E-2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6.4544447498553092E-2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1.1223607610823644E-3</v>
      </c>
      <c r="AD41" s="28">
        <v>2</v>
      </c>
      <c r="AE41" s="79">
        <f>((($W$39)^M41)*((1-($W$39))^($U$28-M41))*HLOOKUP($U$28,$AV$24:$BF$34,M41+1))*V42</f>
        <v>6.7942581953311897E-3</v>
      </c>
      <c r="AF41" s="28">
        <v>2</v>
      </c>
      <c r="AG41" s="79">
        <f>((($W$39)^M41)*((1-($W$39))^($U$29-M41))*HLOOKUP($U$29,$AV$24:$BF$34,M41+1))*V43</f>
        <v>1.8007577918792678E-2</v>
      </c>
      <c r="AH41" s="28">
        <v>2</v>
      </c>
      <c r="AI41" s="79">
        <f>((($W$39)^M41)*((1-($W$39))^($U$30-M41))*HLOOKUP($U$30,$AV$24:$BF$34,M41+1))*V44</f>
        <v>2.7303448671942628E-2</v>
      </c>
      <c r="AJ41" s="28">
        <v>2</v>
      </c>
      <c r="AK41" s="79">
        <f>((($W$39)^M41)*((1-($W$39))^($U$31-M41))*HLOOKUP($U$31,$AV$24:$BF$34,M41+1))*V45</f>
        <v>2.5920038741499535E-2</v>
      </c>
      <c r="AL41" s="28">
        <v>2</v>
      </c>
      <c r="AM41" s="79">
        <f>((($W$39)^Q41)*((1-($W$39))^($U$32-Q41))*HLOOKUP($U$32,$AV$24:$BF$34,Q41+1))*V46</f>
        <v>1.5797303814525765E-2</v>
      </c>
      <c r="AN41" s="28">
        <v>2</v>
      </c>
      <c r="AO41" s="79">
        <f>((($W$39)^Q41)*((1-($W$39))^($U$33-Q41))*HLOOKUP($U$33,$AV$24:$BF$34,Q41+1))*V47</f>
        <v>6.0545253254881623E-3</v>
      </c>
      <c r="AP41" s="28">
        <v>2</v>
      </c>
      <c r="AQ41" s="79">
        <f>((($W$39)^Q41)*((1-($W$39))^($U$34-Q41))*HLOOKUP($U$34,$AV$24:$BF$34,Q41+1))*V48</f>
        <v>1.346096347750646E-3</v>
      </c>
      <c r="AR41" s="28">
        <v>2</v>
      </c>
      <c r="AS41" s="79">
        <f>((($W$39)^Q41)*((1-($W$39))^($U$35-Q41))*HLOOKUP($U$35,$AV$24:$BF$34,Q41+1))*V49</f>
        <v>1.4048691487826215E-4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2.7499711453497301E-7</v>
      </c>
      <c r="BP41">
        <f t="shared" si="38"/>
        <v>9</v>
      </c>
      <c r="BQ41">
        <v>2</v>
      </c>
      <c r="BR41" s="107">
        <f t="shared" si="39"/>
        <v>7.2741204920787289E-6</v>
      </c>
    </row>
    <row r="42" spans="1:70" ht="15" customHeight="1" x14ac:dyDescent="0.25">
      <c r="G42" s="91">
        <v>3</v>
      </c>
      <c r="H42" s="132">
        <f>J42*L39+J41*L40+L42*J39+L41*J40</f>
        <v>7.5405565868824506E-2</v>
      </c>
      <c r="I42" s="93">
        <v>3</v>
      </c>
      <c r="J42" s="86">
        <f t="shared" si="37"/>
        <v>1.7937077493659234E-2</v>
      </c>
      <c r="K42" s="95">
        <v>3</v>
      </c>
      <c r="L42" s="86">
        <f>AF20</f>
        <v>1.0126694391571225E-2</v>
      </c>
      <c r="M42" s="85">
        <v>3</v>
      </c>
      <c r="N42" s="71">
        <f>(($C$24)^M28)*((1-($C$24))^($B$21-M28))*HLOOKUP($B$21,$AV$24:$BF$34,M28+1)</f>
        <v>0.28782273098048439</v>
      </c>
      <c r="O42" s="72">
        <v>3</v>
      </c>
      <c r="P42" s="71">
        <f t="shared" si="40"/>
        <v>0.28782273098048439</v>
      </c>
      <c r="Q42" s="28">
        <v>3</v>
      </c>
      <c r="R42" s="37">
        <f>P42*N39+P41*N40+P40*N41+P39*N42</f>
        <v>0.1513119132623453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0.15002410379672129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3.4401028105626188E-4</v>
      </c>
      <c r="AF42" s="28">
        <v>3</v>
      </c>
      <c r="AG42" s="79">
        <f>((($W$39)^M42)*((1-($W$39))^($U$29-M42))*HLOOKUP($U$29,$AV$24:$BF$34,M42+1))*V43</f>
        <v>1.8235373937491154E-3</v>
      </c>
      <c r="AH42" s="28">
        <v>3</v>
      </c>
      <c r="AI42" s="79">
        <f>((($W$39)^M42)*((1-($W$39))^($U$30-M42))*HLOOKUP($U$30,$AV$24:$BF$34,M42+1))*V44</f>
        <v>4.1473256305866752E-3</v>
      </c>
      <c r="AJ42" s="28">
        <v>3</v>
      </c>
      <c r="AK42" s="79">
        <f>((($W$39)^M42)*((1-($W$39))^($U$31-M42))*HLOOKUP($U$31,$AV$24:$BF$34,M42+1))*V45</f>
        <v>5.2495854918082341E-3</v>
      </c>
      <c r="AL42" s="28">
        <v>3</v>
      </c>
      <c r="AM42" s="79">
        <f>((($W$39)^Q42)*((1-($W$39))^($U$32-Q42))*HLOOKUP($U$32,$AV$24:$BF$34,Q42+1))*V46</f>
        <v>3.9992849616022437E-3</v>
      </c>
      <c r="AN42" s="28">
        <v>3</v>
      </c>
      <c r="AO42" s="79">
        <f>((($W$39)^Q42)*((1-($W$39))^($U$33-Q42))*HLOOKUP($U$33,$AV$24:$BF$34,Q42+1))*V47</f>
        <v>1.8393345371961478E-3</v>
      </c>
      <c r="AP42" s="28">
        <v>3</v>
      </c>
      <c r="AQ42" s="79">
        <f>((($W$39)^Q42)*((1-($W$39))^($U$34-Q42))*HLOOKUP($U$34,$AV$24:$BF$34,Q42+1))*V48</f>
        <v>4.7709356742683251E-4</v>
      </c>
      <c r="AR42" s="28">
        <v>3</v>
      </c>
      <c r="AS42" s="79">
        <f>((($W$39)^Q42)*((1-($W$39))^($U$35-Q42))*HLOOKUP($U$35,$AV$24:$BF$34,Q42+1))*V49</f>
        <v>5.6905630233726824E-5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1.3435348365793533E-8</v>
      </c>
      <c r="BP42">
        <f t="shared" si="38"/>
        <v>9</v>
      </c>
      <c r="BQ42">
        <v>3</v>
      </c>
      <c r="BR42" s="107">
        <f t="shared" si="39"/>
        <v>2.5705076881746177E-6</v>
      </c>
    </row>
    <row r="43" spans="1:70" ht="15" customHeight="1" x14ac:dyDescent="0.25">
      <c r="G43" s="91">
        <v>4</v>
      </c>
      <c r="H43" s="132">
        <f>J43*L39+J42*L40+J41*L41+J40*L42</f>
        <v>1.8268193831791527E-2</v>
      </c>
      <c r="I43" s="93">
        <v>4</v>
      </c>
      <c r="J43" s="86">
        <f t="shared" si="37"/>
        <v>2.0628310475772362E-3</v>
      </c>
      <c r="K43" s="95">
        <v>4</v>
      </c>
      <c r="L43" s="86"/>
      <c r="M43" s="85">
        <v>4</v>
      </c>
      <c r="N43" s="71">
        <f>(($C$24)^M29)*((1-($C$24))^($B$21-M29))*HLOOKUP($B$21,$AV$24:$BF$34,M29+1)</f>
        <v>0.12510688038352982</v>
      </c>
      <c r="O43" s="72">
        <v>4</v>
      </c>
      <c r="P43" s="71">
        <f t="shared" si="40"/>
        <v>0.12510688038352982</v>
      </c>
      <c r="Q43" s="28">
        <v>4</v>
      </c>
      <c r="R43" s="37">
        <f>P43*N39+P42*N40+P41*N41+P40*N42+P39*N43</f>
        <v>0.23019573468085761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0.22901194613198947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6.9247693416844502E-5</v>
      </c>
      <c r="AH43" s="28">
        <v>4</v>
      </c>
      <c r="AI43" s="79">
        <f>((($W$39)^M43)*((1-($W$39))^($U$30-M43))*HLOOKUP($U$30,$AV$24:$BF$34,M43+1))*V44</f>
        <v>3.1498420021563832E-4</v>
      </c>
      <c r="AJ43" s="28">
        <v>4</v>
      </c>
      <c r="AK43" s="79">
        <f>((($W$39)^M43)*((1-($W$39))^($U$31-M43))*HLOOKUP($U$31,$AV$24:$BF$34,M43+1))*V45</f>
        <v>5.9804918936408476E-4</v>
      </c>
      <c r="AL43" s="28">
        <v>4</v>
      </c>
      <c r="AM43" s="79">
        <f>((($W$39)^Q43)*((1-($W$39))^($U$32-Q43))*HLOOKUP($U$32,$AV$24:$BF$34,Q43+1))*V46</f>
        <v>6.0748139271934413E-4</v>
      </c>
      <c r="AN43" s="28">
        <v>4</v>
      </c>
      <c r="AO43" s="79">
        <f>((($W$39)^Q43)*((1-($W$39))^($U$33-Q43))*HLOOKUP($U$33,$AV$24:$BF$34,Q43+1))*V47</f>
        <v>3.4923790035614724E-4</v>
      </c>
      <c r="AP43" s="28">
        <v>4</v>
      </c>
      <c r="AQ43" s="79">
        <f>((($W$39)^Q43)*((1-($W$39))^($U$34-Q43))*HLOOKUP($U$34,$AV$24:$BF$34,Q43+1))*V48</f>
        <v>1.0870398117934276E-4</v>
      </c>
      <c r="AR43" s="28">
        <v>4</v>
      </c>
      <c r="AS43" s="79">
        <f>((($W$39)^Q43)*((1-($W$39))^($U$35-Q43))*HLOOKUP($U$35,$AV$24:$BF$34,Q43+1))*V49</f>
        <v>1.5126690325834401E-5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4.6485249696784138E-10</v>
      </c>
      <c r="BP43">
        <f t="shared" si="38"/>
        <v>9</v>
      </c>
      <c r="BQ43">
        <v>4</v>
      </c>
      <c r="BR43" s="107">
        <f t="shared" si="39"/>
        <v>6.2274624097872688E-7</v>
      </c>
    </row>
    <row r="44" spans="1:70" ht="15" customHeight="1" thickBot="1" x14ac:dyDescent="0.3">
      <c r="G44" s="91">
        <v>5</v>
      </c>
      <c r="H44" s="132">
        <f>J44*L39+J43*L40+J42*L41+J41*L42</f>
        <v>3.1517519144404335E-3</v>
      </c>
      <c r="I44" s="93">
        <v>5</v>
      </c>
      <c r="J44" s="86">
        <f t="shared" si="37"/>
        <v>1.6297867941892036E-4</v>
      </c>
      <c r="K44" s="95">
        <v>5</v>
      </c>
      <c r="L44" s="86"/>
      <c r="M44" s="85">
        <v>5</v>
      </c>
      <c r="N44" s="71">
        <f>(($C$24)^M30)*((1-($C$24))^($B$21-M30))*HLOOKUP($B$21,$AV$24:$BF$34,M30+1)</f>
        <v>2.1751904675465106E-2</v>
      </c>
      <c r="O44" s="72">
        <v>5</v>
      </c>
      <c r="P44" s="71">
        <f t="shared" si="40"/>
        <v>2.1751904675465106E-2</v>
      </c>
      <c r="Q44" s="28">
        <v>5</v>
      </c>
      <c r="R44" s="37">
        <f>P44*N39+P43*N40+P42*N41+P41*N42+P40*N43+P39*N44</f>
        <v>0.24014006242309899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0.23998573476770274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9.5690625933754318E-6</v>
      </c>
      <c r="AJ44" s="28">
        <v>5</v>
      </c>
      <c r="AK44" s="79">
        <f>((($W$39)^M44)*((1-($W$39))^($U$31-M44))*HLOOKUP($U$31,$AV$24:$BF$34,M44+1))*V45</f>
        <v>3.6336871011463766E-5</v>
      </c>
      <c r="AL44" s="28">
        <v>5</v>
      </c>
      <c r="AM44" s="79">
        <f>((($W$39)^Q44)*((1-($W$39))^($U$32-Q44))*HLOOKUP($U$32,$AV$24:$BF$34,Q44+1))*V46</f>
        <v>5.5364943390138476E-5</v>
      </c>
      <c r="AN44" s="28">
        <v>5</v>
      </c>
      <c r="AO44" s="79">
        <f>((($W$39)^Q44)*((1-($W$39))^($U$33-Q44))*HLOOKUP($U$33,$AV$24:$BF$34,Q44+1))*V47</f>
        <v>4.2438691543247352E-5</v>
      </c>
      <c r="AP44" s="28">
        <v>5</v>
      </c>
      <c r="AQ44" s="79">
        <f>((($W$39)^Q44)*((1-($W$39))^($U$34-Q44))*HLOOKUP($U$34,$AV$24:$BF$34,Q44+1))*V48</f>
        <v>1.6511863124279211E-5</v>
      </c>
      <c r="AR44" s="28">
        <v>5</v>
      </c>
      <c r="AS44" s="79">
        <f>((($W$39)^Q44)*((1-($W$39))^($U$35-Q44))*HLOOKUP($U$35,$AV$24:$BF$34,Q44+1))*V49</f>
        <v>2.7572477564161245E-6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1.6164658686406281E-5</v>
      </c>
      <c r="BP44">
        <f t="shared" si="38"/>
        <v>9</v>
      </c>
      <c r="BQ44">
        <v>5</v>
      </c>
      <c r="BR44" s="107">
        <f t="shared" si="39"/>
        <v>1.0744037835856506E-7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3.9476965611799181E-4</v>
      </c>
      <c r="I45" s="93">
        <v>6</v>
      </c>
      <c r="J45" s="86">
        <f t="shared" si="37"/>
        <v>8.9674341458481481E-6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0.17396804138503502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0.17495491387155435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9.199133187158376E-7</v>
      </c>
      <c r="AL45" s="28">
        <v>6</v>
      </c>
      <c r="AM45" s="79">
        <f>((($W$39)^Q45)*((1-($W$39))^($U$32-Q45))*HLOOKUP($U$32,$AV$24:$BF$34,Q45+1))*V46</f>
        <v>2.8032655204939788E-6</v>
      </c>
      <c r="AN45" s="28">
        <v>6</v>
      </c>
      <c r="AO45" s="79">
        <f>((($W$39)^Q45)*((1-($W$39))^($U$33-Q45))*HLOOKUP($U$33,$AV$24:$BF$34,Q45+1))*V47</f>
        <v>3.2231656022768077E-6</v>
      </c>
      <c r="AP45" s="28">
        <v>6</v>
      </c>
      <c r="AQ45" s="79">
        <f>((($W$39)^Q45)*((1-($W$39))^($U$34-Q45))*HLOOKUP($U$34,$AV$24:$BF$34,Q45+1))*V48</f>
        <v>1.6720738337701432E-6</v>
      </c>
      <c r="AR45" s="28">
        <v>6</v>
      </c>
      <c r="AS45" s="79">
        <f>((($W$39)^Q45)*((1-($W$39))^($U$35-Q45))*HLOOKUP($U$35,$AV$24:$BF$34,Q45+1))*V49</f>
        <v>3.4901587059138187E-7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1.4837504683507983E-6</v>
      </c>
      <c r="BP45">
        <f t="shared" si="38"/>
        <v>9</v>
      </c>
      <c r="BQ45">
        <v>6</v>
      </c>
      <c r="BR45" s="107">
        <f t="shared" si="39"/>
        <v>1.3457341303884932E-8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3.6235819977339427E-5</v>
      </c>
      <c r="I46" s="93">
        <v>7</v>
      </c>
      <c r="J46" s="86">
        <f t="shared" si="37"/>
        <v>3.3985724249528502E-7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8.642064954344722E-2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8.7732250425638536E-2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6.0829861155606922E-8</v>
      </c>
      <c r="AN46" s="28">
        <v>7</v>
      </c>
      <c r="AO46" s="79">
        <f>((($W$39)^Q46)*((1-($W$39))^($U$33-Q46))*HLOOKUP($U$33,$AV$24:$BF$34,Q46+1))*V47</f>
        <v>1.3988308608988047E-7</v>
      </c>
      <c r="AP46" s="28">
        <v>7</v>
      </c>
      <c r="AQ46" s="79">
        <f>((($W$39)^Q46)*((1-($W$39))^($U$34-Q46))*HLOOKUP($U$34,$AV$24:$BF$34,Q46+1))*V48</f>
        <v>1.0885021601404133E-7</v>
      </c>
      <c r="AR46" s="28">
        <v>7</v>
      </c>
      <c r="AS46" s="79">
        <f>((($W$39)^Q46)*((1-($W$39))^($U$35-Q46))*HLOOKUP($U$35,$AV$24:$BF$34,Q46+1))*V49</f>
        <v>3.029407923575627E-8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9.9858469508257779E-8</v>
      </c>
      <c r="BP46">
        <f t="shared" si="38"/>
        <v>9</v>
      </c>
      <c r="BQ46">
        <v>7</v>
      </c>
      <c r="BR46" s="107">
        <f t="shared" si="39"/>
        <v>1.2352464007908442E-9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2.438721066309627E-6</v>
      </c>
      <c r="I47" s="93">
        <v>8</v>
      </c>
      <c r="J47" s="86">
        <f t="shared" si="37"/>
        <v>8.5151034669738516E-9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2.8173116734737904E-2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2.9049020881892283E-2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2.6559864066836898E-9</v>
      </c>
      <c r="AP47" s="28">
        <v>8</v>
      </c>
      <c r="AQ47" s="79">
        <f>((($W$39)^Q47)*((1-($W$39))^($U$34-Q47))*HLOOKUP($U$34,$AV$24:$BF$34,Q47+1))*V48</f>
        <v>4.1335189575688338E-9</v>
      </c>
      <c r="AR47" s="28">
        <v>8</v>
      </c>
      <c r="AS47" s="79">
        <f>((($W$39)^Q47)*((1-($W$39))^($U$35-Q47))*HLOOKUP($U$35,$AV$24:$BF$34,Q47+1))*V49</f>
        <v>1.7255981027213274E-9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4.8787178272293874E-9</v>
      </c>
      <c r="BP47">
        <f>BL12+1</f>
        <v>9</v>
      </c>
      <c r="BQ47">
        <v>8</v>
      </c>
      <c r="BR47" s="107">
        <f t="shared" si="39"/>
        <v>8.3133800244499387E-11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1.1914694868081018E-7</v>
      </c>
      <c r="I48" s="93">
        <v>9</v>
      </c>
      <c r="J48" s="86">
        <f t="shared" si="37"/>
        <v>1.2801103127305598E-10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5.442625872694712E-3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5.7862462366234961E-3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6.9763466810930556E-11</v>
      </c>
      <c r="AR48" s="28">
        <v>9</v>
      </c>
      <c r="AS48" s="79">
        <f>((($W$39)^Q48)*((1-($W$39))^($U$35-Q48))*HLOOKUP($U$35,$AV$24:$BF$34,Q48+1))*V49</f>
        <v>5.8247564462125421E-11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1.6879980349174626E-10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4.1223908076240353E-9</v>
      </c>
      <c r="I49" s="94">
        <v>10</v>
      </c>
      <c r="J49" s="89">
        <f t="shared" si="37"/>
        <v>8.8476594995585434E-13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4.7314535701052077E-4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5.5649397154511338E-4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8.8476594995585434E-13</v>
      </c>
      <c r="BH49">
        <f>BP14+1</f>
        <v>6</v>
      </c>
      <c r="BI49">
        <v>0</v>
      </c>
      <c r="BJ49" s="107">
        <f>$H$31*H39</f>
        <v>3.3975384326271974E-3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3.9460871670489702E-7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2.6557715293305163E-8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1.2975123661515348E-9</v>
      </c>
    </row>
    <row r="53" spans="1:62" x14ac:dyDescent="0.25">
      <c r="BH53">
        <f>BH48+1</f>
        <v>6</v>
      </c>
      <c r="BI53">
        <v>10</v>
      </c>
      <c r="BJ53" s="107">
        <f>$H$31*H49</f>
        <v>4.4892908380985546E-11</v>
      </c>
    </row>
    <row r="54" spans="1:62" x14ac:dyDescent="0.25">
      <c r="BH54">
        <f>BH51+1</f>
        <v>7</v>
      </c>
      <c r="BI54">
        <v>8</v>
      </c>
      <c r="BJ54" s="107">
        <f>$H$32*H47</f>
        <v>5.2409976411352382E-9</v>
      </c>
    </row>
    <row r="55" spans="1:62" x14ac:dyDescent="0.25">
      <c r="BH55">
        <f>BH52+1</f>
        <v>7</v>
      </c>
      <c r="BI55">
        <v>9</v>
      </c>
      <c r="BJ55" s="107">
        <f>$H$32*H48</f>
        <v>2.5605588339363843E-10</v>
      </c>
    </row>
    <row r="56" spans="1:62" x14ac:dyDescent="0.25">
      <c r="BH56">
        <f>BH53+1</f>
        <v>7</v>
      </c>
      <c r="BI56">
        <v>10</v>
      </c>
      <c r="BJ56" s="107">
        <f>$H$32*H49</f>
        <v>8.8593323759200564E-12</v>
      </c>
    </row>
    <row r="57" spans="1:62" x14ac:dyDescent="0.25">
      <c r="BH57">
        <f>BH55+1</f>
        <v>8</v>
      </c>
      <c r="BI57">
        <v>9</v>
      </c>
      <c r="BJ57" s="107">
        <f>$H$33*H48</f>
        <v>3.75644864030527E-11</v>
      </c>
    </row>
    <row r="58" spans="1:62" x14ac:dyDescent="0.25">
      <c r="BH58">
        <f>BH56+1</f>
        <v>8</v>
      </c>
      <c r="BI58">
        <v>10</v>
      </c>
      <c r="BJ58" s="107">
        <f>$H$33*H49</f>
        <v>1.299701714190886E-12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1.4052858224142049E-13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DE6E-4473-4E4C-AB4F-22E05FF7BA50}">
  <sheetPr>
    <tabColor rgb="FF00B0F0"/>
  </sheetPr>
  <dimension ref="A1:BR59"/>
  <sheetViews>
    <sheetView tabSelected="1" zoomScale="80" zoomScaleNormal="80" workbookViewId="0">
      <selection activeCell="N3" sqref="N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3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2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3.2043384650087423E-2</v>
      </c>
      <c r="BL4">
        <v>0</v>
      </c>
      <c r="BM4">
        <v>0</v>
      </c>
      <c r="BN4" s="107">
        <f>H25*H39</f>
        <v>1.9360735633513048E-2</v>
      </c>
      <c r="BP4">
        <v>1</v>
      </c>
      <c r="BQ4">
        <v>0</v>
      </c>
      <c r="BR4" s="107">
        <f>$H$26*H39</f>
        <v>5.085526374704083E-2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9.4458453658536584E-2</v>
      </c>
      <c r="Z5" s="69">
        <f>Z3</f>
        <v>0.56999999999999995</v>
      </c>
      <c r="AA5" s="69">
        <f>Z5*Y5</f>
        <v>5.3841318585365845E-2</v>
      </c>
      <c r="AB5" s="157">
        <f>IF($B$17="JC",IF($C$17="JC",$W$1,$V$1/0.9),IF($C$17="JC",$V$1*1.1,$U$1))*AA5/1.5</f>
        <v>9.8709084073170708E-2</v>
      </c>
      <c r="AC5" s="176">
        <f>(1-AB5)</f>
        <v>0.90129091592682931</v>
      </c>
      <c r="AD5" s="177">
        <f>AB5*PRODUCT(AC6:AC19)</f>
        <v>3.7871300033943331E-2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3.9842962672810116E-2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1</v>
      </c>
      <c r="AL5">
        <f>COUNTIF(J5:J10,"IMP")</f>
        <v>1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2.4024721044979949E-2</v>
      </c>
      <c r="BL5">
        <v>1</v>
      </c>
      <c r="BM5">
        <v>1</v>
      </c>
      <c r="BN5" s="107">
        <f>$H$26*H40</f>
        <v>8.4169052693809518E-2</v>
      </c>
      <c r="BP5">
        <f>BP4+1</f>
        <v>2</v>
      </c>
      <c r="BQ5">
        <v>0</v>
      </c>
      <c r="BR5" s="107">
        <f>$H$27*H39</f>
        <v>6.1822166723829536E-2</v>
      </c>
    </row>
    <row r="6" spans="1:70" x14ac:dyDescent="0.25">
      <c r="A6" s="2" t="s">
        <v>1</v>
      </c>
      <c r="B6" s="168">
        <v>10.25</v>
      </c>
      <c r="C6" s="169">
        <v>9.25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2.0729547560975611E-2</v>
      </c>
      <c r="P6" s="210">
        <f>P3</f>
        <v>0.56999999999999995</v>
      </c>
      <c r="Q6" s="214">
        <f t="shared" ref="Q6:Q19" si="2">P6*O6</f>
        <v>1.1815842109756097E-2</v>
      </c>
      <c r="R6" s="157">
        <f t="shared" ref="R6:R19" si="3">IF($B$17="JC",IF($C$17="JC",$W$1,$V$1*1.1),IF($C$17="JC",$V$1/0.9,$U$1))*Q6/1.5</f>
        <v>2.1881189092140919E-2</v>
      </c>
      <c r="S6" s="176">
        <f t="shared" ref="S6:S19" si="4">(1-R6)</f>
        <v>0.97811881090785913</v>
      </c>
      <c r="T6" s="177">
        <f>R6*S5*PRODUCT(S7:S19)</f>
        <v>1.4333758063178787E-2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6.3830926863124712E-3</v>
      </c>
      <c r="V6" s="18"/>
      <c r="W6" s="186" t="s">
        <v>38</v>
      </c>
      <c r="X6" s="15" t="s">
        <v>39</v>
      </c>
      <c r="Y6" s="69">
        <f t="shared" ref="Y6:Y19" si="5">AK6*AI6*AL6*AO6</f>
        <v>8.2918190243902443E-2</v>
      </c>
      <c r="Z6" s="69">
        <f>Z3</f>
        <v>0.56999999999999995</v>
      </c>
      <c r="AA6" s="69">
        <f t="shared" ref="AA6:AA19" si="6">Z6*Y6</f>
        <v>4.7263368439024386E-2</v>
      </c>
      <c r="AB6" s="157">
        <f t="shared" ref="AB6:AB19" si="7">IF($B$17="JC",IF($C$17="JC",$W$1,$V$1/0.9),IF($C$17="JC",$V$1*1.1,$U$1))*AA6/1.5</f>
        <v>8.6649508804878039E-2</v>
      </c>
      <c r="AC6" s="176">
        <f t="shared" ref="AC6:AC19" si="8">(1-AB6)</f>
        <v>0.91335049119512202</v>
      </c>
      <c r="AD6" s="177">
        <f>AB6*AC5*PRODUCT(AC7:AC19)</f>
        <v>3.2805504726040824E-2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3.140117463598923E-2</v>
      </c>
      <c r="AF6" s="18"/>
      <c r="AG6" s="203">
        <f>IF(COUNTIF(F11:F18,"IMP")+COUNTIF(J11:J18,"IMP")=0,0,COUNTIF(F11:F18,"IMP")/(COUNTIF(F11:F18,"IMP")+COUNTIF(J11:J18,"IMP")))</f>
        <v>0.33333333333333331</v>
      </c>
      <c r="AH6">
        <f>COUNTIF(F11:F18,"IMP")</f>
        <v>1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0.66666666666666663</v>
      </c>
      <c r="AL6">
        <f>COUNTIF(J11:J18,"IMP")</f>
        <v>2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1.1413576003937933E-2</v>
      </c>
      <c r="BL6">
        <f>BH14+1</f>
        <v>2</v>
      </c>
      <c r="BM6">
        <v>2</v>
      </c>
      <c r="BN6" s="107">
        <f>$H$27*H41</f>
        <v>7.6715076227025725E-2</v>
      </c>
      <c r="BP6">
        <f>BL5+1</f>
        <v>2</v>
      </c>
      <c r="BQ6">
        <v>1</v>
      </c>
      <c r="BR6" s="107">
        <f>$H$27*H40</f>
        <v>0.10232005155860131</v>
      </c>
    </row>
    <row r="7" spans="1:70" x14ac:dyDescent="0.25">
      <c r="A7" s="5" t="s">
        <v>2</v>
      </c>
      <c r="B7" s="168">
        <v>13.5</v>
      </c>
      <c r="C7" s="169">
        <v>10.75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f t="shared" si="1"/>
        <v>2.3360048780487804E-3</v>
      </c>
      <c r="P7" s="210">
        <f>P2</f>
        <v>0.45</v>
      </c>
      <c r="Q7" s="214">
        <f t="shared" si="2"/>
        <v>1.0512021951219511E-3</v>
      </c>
      <c r="R7" s="157">
        <f t="shared" si="3"/>
        <v>1.9466707317073167E-3</v>
      </c>
      <c r="S7" s="176">
        <f t="shared" si="4"/>
        <v>0.99805332926829271</v>
      </c>
      <c r="T7" s="177">
        <f>R7*PRODUCT(S5:S6)*PRODUCT(S8:S19)</f>
        <v>1.2497395483721094E-3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5.5409500448735276E-4</v>
      </c>
      <c r="W7" s="187" t="s">
        <v>155</v>
      </c>
      <c r="X7" s="15" t="s">
        <v>156</v>
      </c>
      <c r="Y7" s="69">
        <f t="shared" si="5"/>
        <v>2.3360048780487804E-3</v>
      </c>
      <c r="Z7" s="69">
        <f>Z2</f>
        <v>0.45</v>
      </c>
      <c r="AA7" s="69">
        <f t="shared" si="6"/>
        <v>1.0512021951219511E-3</v>
      </c>
      <c r="AB7" s="157">
        <f t="shared" si="7"/>
        <v>1.9272040243902436E-3</v>
      </c>
      <c r="AC7" s="176">
        <f t="shared" si="8"/>
        <v>0.99807279597560972</v>
      </c>
      <c r="AD7" s="177">
        <f>AB7*PRODUCT(AC5:AC6)*PRODUCT(AC8:AC19)</f>
        <v>6.6770335890681341E-4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6.3783119013940536E-4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3.1804447996086485E-3</v>
      </c>
      <c r="BL7">
        <f>BH23+1</f>
        <v>3</v>
      </c>
      <c r="BM7">
        <v>3</v>
      </c>
      <c r="BN7" s="107">
        <f>$H$28*H42</f>
        <v>2.7191914269717864E-2</v>
      </c>
      <c r="BP7">
        <f>BP5+1</f>
        <v>3</v>
      </c>
      <c r="BQ7">
        <v>0</v>
      </c>
      <c r="BR7" s="107">
        <f>$H$28*H39</f>
        <v>4.6125374147727223E-2</v>
      </c>
    </row>
    <row r="8" spans="1:70" x14ac:dyDescent="0.25">
      <c r="A8" s="5" t="s">
        <v>3</v>
      </c>
      <c r="B8" s="168">
        <v>13.75</v>
      </c>
      <c r="C8" s="169">
        <v>11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1.0597260787992497E-2</v>
      </c>
      <c r="P8" s="210">
        <f>P2</f>
        <v>0.45</v>
      </c>
      <c r="Q8" s="214">
        <f t="shared" si="2"/>
        <v>4.7687673545966239E-3</v>
      </c>
      <c r="R8" s="157">
        <f t="shared" si="3"/>
        <v>8.8310506566604153E-3</v>
      </c>
      <c r="S8" s="176">
        <f t="shared" si="4"/>
        <v>0.99116894934333954</v>
      </c>
      <c r="T8" s="177">
        <f>R8*PRODUCT(S5:S7)*PRODUCT(S9:S19)</f>
        <v>5.7088081646899267E-3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2.4802410965842261E-3</v>
      </c>
      <c r="W8" s="186" t="s">
        <v>42</v>
      </c>
      <c r="X8" s="15" t="s">
        <v>43</v>
      </c>
      <c r="Y8" s="69">
        <f t="shared" si="5"/>
        <v>9.5375347091932475E-2</v>
      </c>
      <c r="Z8" s="69">
        <f>Z2</f>
        <v>0.45</v>
      </c>
      <c r="AA8" s="69">
        <f t="shared" si="6"/>
        <v>4.2918906191369614E-2</v>
      </c>
      <c r="AB8" s="157">
        <f t="shared" si="7"/>
        <v>7.8684661350844301E-2</v>
      </c>
      <c r="AC8" s="176">
        <f t="shared" si="8"/>
        <v>0.92131533864915571</v>
      </c>
      <c r="AD8" s="177">
        <f>AB8*PRODUCT(AC5:AC7)*PRODUCT(AC9:AC19)</f>
        <v>2.9532476281540373E-2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2.5689019876288202E-2</v>
      </c>
      <c r="AG8" s="203">
        <f>IF(COUNTIF(F6:F18,"IMP")+COUNTIF(J6:J18,"IMP")=0,0,COUNTIF(F6:F18,"IMP")/(COUNTIF(F6:F18,"IMP")+COUNTIF(J6:J18,"IMP")))</f>
        <v>0.25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0.75</v>
      </c>
      <c r="AL8">
        <f>COUNTIF(J6:J18,"IMP")</f>
        <v>3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5.5165195897669472E-4</v>
      </c>
      <c r="BL8">
        <f>BH31+1</f>
        <v>4</v>
      </c>
      <c r="BM8">
        <v>4</v>
      </c>
      <c r="BN8" s="107">
        <f>$H$29*H43</f>
        <v>3.8782355607517131E-3</v>
      </c>
      <c r="BP8">
        <f>BP6+1</f>
        <v>3</v>
      </c>
      <c r="BQ8">
        <v>1</v>
      </c>
      <c r="BR8" s="107">
        <f>$H$28*H40</f>
        <v>7.6340751401326415E-2</v>
      </c>
    </row>
    <row r="9" spans="1:70" x14ac:dyDescent="0.25">
      <c r="A9" s="5" t="s">
        <v>4</v>
      </c>
      <c r="B9" s="168">
        <v>13.75</v>
      </c>
      <c r="C9" s="169">
        <v>10.5</v>
      </c>
      <c r="E9" s="192" t="s">
        <v>18</v>
      </c>
      <c r="F9" s="167"/>
      <c r="G9" s="167"/>
      <c r="H9" s="10"/>
      <c r="I9" s="10"/>
      <c r="J9" s="166" t="s">
        <v>21</v>
      </c>
      <c r="K9" s="166"/>
      <c r="L9" s="10"/>
      <c r="M9" s="10"/>
      <c r="O9" s="67">
        <f t="shared" si="1"/>
        <v>2.7552878048780486E-2</v>
      </c>
      <c r="P9" s="210">
        <f>P2</f>
        <v>0.45</v>
      </c>
      <c r="Q9" s="214">
        <f t="shared" si="2"/>
        <v>1.2398795121951219E-2</v>
      </c>
      <c r="R9" s="157">
        <f t="shared" si="3"/>
        <v>2.2960731707317075E-2</v>
      </c>
      <c r="S9" s="176">
        <f t="shared" si="4"/>
        <v>0.97703926829268295</v>
      </c>
      <c r="T9" s="177">
        <f>R9*PRODUCT(S5:S8)*PRODUCT(S10:S19)</f>
        <v>1.5057555303036941E-2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6.1880278607580009E-3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H9">
        <f>COUNTIF(J6:J13,"IMP")</f>
        <v>2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6.349651955328355E-5</v>
      </c>
      <c r="BL9">
        <f>BH38+1</f>
        <v>5</v>
      </c>
      <c r="BM9">
        <v>5</v>
      </c>
      <c r="BN9" s="107">
        <f>$H$30*H44</f>
        <v>2.499381308223452E-4</v>
      </c>
      <c r="BP9">
        <f>BL6+1</f>
        <v>3</v>
      </c>
      <c r="BQ9">
        <v>2</v>
      </c>
      <c r="BR9" s="107">
        <f>$H$28*H41</f>
        <v>5.723693913139808E-2</v>
      </c>
    </row>
    <row r="10" spans="1:70" x14ac:dyDescent="0.25">
      <c r="A10" s="6" t="s">
        <v>5</v>
      </c>
      <c r="B10" s="168">
        <v>8.75</v>
      </c>
      <c r="C10" s="169">
        <v>2.5</v>
      </c>
      <c r="E10" s="192" t="s">
        <v>17</v>
      </c>
      <c r="F10" s="167" t="s">
        <v>154</v>
      </c>
      <c r="G10" s="167"/>
      <c r="H10" s="10"/>
      <c r="I10" s="10"/>
      <c r="J10" s="166" t="s">
        <v>146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0.22461585365853659</v>
      </c>
      <c r="Z10" s="69">
        <f>Z3</f>
        <v>0.56999999999999995</v>
      </c>
      <c r="AA10" s="69">
        <f t="shared" si="6"/>
        <v>0.12803103658536585</v>
      </c>
      <c r="AB10" s="157">
        <f t="shared" si="7"/>
        <v>0.23472356707317074</v>
      </c>
      <c r="AC10" s="176">
        <f t="shared" si="8"/>
        <v>0.76527643292682923</v>
      </c>
      <c r="AD10" s="177">
        <f>AB10*PRODUCT(AC5:AC9)*PRODUCT(AC11:AC19)</f>
        <v>0.1060611770971286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5.9727212360798469E-2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1</v>
      </c>
      <c r="AL10">
        <f>COUNTIF(J11:J18,"RAP")</f>
        <v>3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5.0549508069867421E-6</v>
      </c>
      <c r="BL10">
        <f>BH44+1</f>
        <v>6</v>
      </c>
      <c r="BM10">
        <v>6</v>
      </c>
      <c r="BN10" s="107">
        <f>$H$31*H45</f>
        <v>8.0006370241217099E-6</v>
      </c>
      <c r="BP10">
        <f>BP7+1</f>
        <v>4</v>
      </c>
      <c r="BQ10">
        <v>0</v>
      </c>
      <c r="BR10" s="107">
        <f>$H$29*H39</f>
        <v>2.3608488166637059E-2</v>
      </c>
    </row>
    <row r="11" spans="1:70" x14ac:dyDescent="0.25">
      <c r="A11" s="6" t="s">
        <v>6</v>
      </c>
      <c r="B11" s="168">
        <v>8.25</v>
      </c>
      <c r="C11" s="169">
        <v>3.75</v>
      </c>
      <c r="E11" s="192" t="s">
        <v>19</v>
      </c>
      <c r="F11" s="167" t="s">
        <v>154</v>
      </c>
      <c r="G11" s="167"/>
      <c r="H11" s="10"/>
      <c r="I11" s="10"/>
      <c r="J11" s="166" t="s">
        <v>146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0.22461585365853659</v>
      </c>
      <c r="Z11" s="69">
        <f>Z3</f>
        <v>0.56999999999999995</v>
      </c>
      <c r="AA11" s="69">
        <f t="shared" si="6"/>
        <v>0.12803103658536585</v>
      </c>
      <c r="AB11" s="157">
        <f t="shared" si="7"/>
        <v>0.23472356707317074</v>
      </c>
      <c r="AC11" s="176">
        <f t="shared" si="8"/>
        <v>0.76527643292682923</v>
      </c>
      <c r="AD11" s="177">
        <f>AB11*PRODUCT(AC5:AC10)*PRODUCT(AC12:AC19)</f>
        <v>0.10606117709712859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2.7196408137538663E-2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1</v>
      </c>
      <c r="AL11">
        <f>COUNTIF(J11:J18,"RAP")</f>
        <v>3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2.8414969187141199E-7</v>
      </c>
      <c r="BL11">
        <f>BH50+1</f>
        <v>7</v>
      </c>
      <c r="BM11">
        <v>7</v>
      </c>
      <c r="BN11" s="107">
        <f>$H$32*H46</f>
        <v>1.3453889449134973E-7</v>
      </c>
      <c r="BP11">
        <f>BP8+1</f>
        <v>4</v>
      </c>
      <c r="BQ11">
        <v>1</v>
      </c>
      <c r="BR11" s="107">
        <f>$H$29*H40</f>
        <v>3.9073715051462669E-2</v>
      </c>
    </row>
    <row r="12" spans="1:70" x14ac:dyDescent="0.25">
      <c r="A12" s="6" t="s">
        <v>7</v>
      </c>
      <c r="B12" s="168">
        <v>8.5</v>
      </c>
      <c r="C12" s="169">
        <v>4.75</v>
      </c>
      <c r="E12" s="192" t="s">
        <v>19</v>
      </c>
      <c r="F12" s="167" t="s">
        <v>16</v>
      </c>
      <c r="G12" s="167"/>
      <c r="H12" s="10"/>
      <c r="I12" s="10"/>
      <c r="J12" s="166" t="s">
        <v>123</v>
      </c>
      <c r="K12" s="166"/>
      <c r="L12" s="10"/>
      <c r="M12" s="10"/>
      <c r="O12" s="67">
        <f t="shared" si="1"/>
        <v>3.9361254355400688E-3</v>
      </c>
      <c r="P12" s="210">
        <f>P2</f>
        <v>0.45</v>
      </c>
      <c r="Q12" s="214">
        <f t="shared" si="2"/>
        <v>1.7712564459930311E-3</v>
      </c>
      <c r="R12" s="157">
        <f t="shared" si="3"/>
        <v>3.280104529616724E-3</v>
      </c>
      <c r="S12" s="176">
        <f t="shared" si="4"/>
        <v>0.99671989547038331</v>
      </c>
      <c r="T12" s="177">
        <f>R12*PRODUCT(S5:S11)*PRODUCT(S13:S19)</f>
        <v>2.1086054198396209E-3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8.5960976558984261E-4</v>
      </c>
      <c r="W12" s="187" t="s">
        <v>50</v>
      </c>
      <c r="X12" s="15" t="s">
        <v>51</v>
      </c>
      <c r="Y12" s="69">
        <f t="shared" si="5"/>
        <v>3.9361254355400688E-3</v>
      </c>
      <c r="Z12" s="69">
        <f>Z2</f>
        <v>0.45</v>
      </c>
      <c r="AA12" s="69">
        <f t="shared" si="6"/>
        <v>1.7712564459930311E-3</v>
      </c>
      <c r="AB12" s="157">
        <f t="shared" si="7"/>
        <v>3.2473034843205572E-3</v>
      </c>
      <c r="AC12" s="176">
        <f t="shared" si="8"/>
        <v>0.99675269651567944</v>
      </c>
      <c r="AD12" s="177">
        <f>AB12*PRODUCT(AC5:AC11)*PRODUCT(AC13:AC19)</f>
        <v>1.1265579709391826E-3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2.8520393715642005E-4</v>
      </c>
      <c r="AG12" s="203">
        <f>IF(COUNTA(F6:F10)+COUNTA(J6:J10)=0,0,COUNTA(F6:F10)/(COUNTA(F6:F10)+COUNTA(J6:J10)))</f>
        <v>0.42857142857142855</v>
      </c>
      <c r="AH12">
        <f>COUNTA(J6:J10)</f>
        <v>4</v>
      </c>
      <c r="AI12" s="207">
        <f t="shared" si="9"/>
        <v>1.3776439024390243E-2</v>
      </c>
      <c r="AK12" s="203">
        <f>IF(COUNTA(J6:J10)+COUNTA(F6:F10)=0,0,COUNTA(J6:J10)/(COUNTA(J6:J10)+COUNTA(F6:F10)))</f>
        <v>0.5714285714285714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1.1307740386575073E-8</v>
      </c>
      <c r="BL12">
        <f>BH54+1</f>
        <v>8</v>
      </c>
      <c r="BM12">
        <v>8</v>
      </c>
      <c r="BN12" s="107">
        <f>$H$33*H47</f>
        <v>1.2158806047335038E-9</v>
      </c>
      <c r="BP12">
        <f>BP9+1</f>
        <v>4</v>
      </c>
      <c r="BQ12">
        <v>2</v>
      </c>
      <c r="BR12" s="107">
        <f>$H$29*H41</f>
        <v>2.9295753696227087E-2</v>
      </c>
    </row>
    <row r="13" spans="1:70" x14ac:dyDescent="0.25">
      <c r="A13" s="7" t="s">
        <v>8</v>
      </c>
      <c r="B13" s="168">
        <v>7.75</v>
      </c>
      <c r="C13" s="169">
        <v>7</v>
      </c>
      <c r="E13" s="192" t="s">
        <v>19</v>
      </c>
      <c r="F13" s="167" t="s">
        <v>16</v>
      </c>
      <c r="G13" s="167"/>
      <c r="H13" s="10"/>
      <c r="I13" s="10"/>
      <c r="J13" s="166" t="s">
        <v>123</v>
      </c>
      <c r="K13" s="166"/>
      <c r="L13" s="10"/>
      <c r="M13" s="10"/>
      <c r="O13" s="67">
        <f t="shared" si="1"/>
        <v>9.2753676923076914E-2</v>
      </c>
      <c r="P13" s="210">
        <f>P3</f>
        <v>0.56999999999999995</v>
      </c>
      <c r="Q13" s="214">
        <f t="shared" si="2"/>
        <v>5.2869595846153833E-2</v>
      </c>
      <c r="R13" s="157">
        <f t="shared" si="3"/>
        <v>9.7906658974358948E-2</v>
      </c>
      <c r="S13" s="176">
        <f t="shared" si="4"/>
        <v>0.90209334102564109</v>
      </c>
      <c r="T13" s="177">
        <f>R13*PRODUCT(S5:S12)*PRODUCT(S14:S19)</f>
        <v>6.9541093505587029E-2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2.0802154119493432E-2</v>
      </c>
      <c r="W13" s="186" t="s">
        <v>52</v>
      </c>
      <c r="X13" s="15" t="s">
        <v>53</v>
      </c>
      <c r="Y13" s="69">
        <f t="shared" si="5"/>
        <v>8.3704537711069407E-2</v>
      </c>
      <c r="Z13" s="69">
        <f>Z3</f>
        <v>0.56999999999999995</v>
      </c>
      <c r="AA13" s="69">
        <f t="shared" si="6"/>
        <v>4.7711586495309558E-2</v>
      </c>
      <c r="AB13" s="157">
        <f t="shared" si="7"/>
        <v>8.7471241908067529E-2</v>
      </c>
      <c r="AC13" s="176">
        <f t="shared" si="8"/>
        <v>0.91252875809193246</v>
      </c>
      <c r="AD13" s="177">
        <f>AB13*PRODUCT(AC5:AC12)*PRODUCT(AC14:AC19)</f>
        <v>3.314643443009252E-2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5.2142039160489014E-3</v>
      </c>
      <c r="AG13" s="203">
        <f>B22</f>
        <v>0.52564102564102566</v>
      </c>
      <c r="AH13">
        <v>1</v>
      </c>
      <c r="AI13" s="207">
        <f t="shared" si="9"/>
        <v>0.17645821463414632</v>
      </c>
      <c r="AK13" s="203">
        <f>C22</f>
        <v>0.47435897435897434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3.1332452509934652E-10</v>
      </c>
      <c r="BL13">
        <f>BH57+1</f>
        <v>9</v>
      </c>
      <c r="BM13">
        <v>9</v>
      </c>
      <c r="BN13" s="107">
        <f>$H$34*H48</f>
        <v>5.8584023254842681E-12</v>
      </c>
      <c r="BP13">
        <f>BL7+1</f>
        <v>4</v>
      </c>
      <c r="BQ13">
        <v>3</v>
      </c>
      <c r="BR13" s="107">
        <f>$H$29*H42</f>
        <v>1.3917718785517437E-2</v>
      </c>
    </row>
    <row r="14" spans="1:70" x14ac:dyDescent="0.25">
      <c r="A14" s="7" t="s">
        <v>9</v>
      </c>
      <c r="B14" s="168">
        <v>4.5</v>
      </c>
      <c r="C14" s="169">
        <v>7</v>
      </c>
      <c r="E14" s="192" t="s">
        <v>20</v>
      </c>
      <c r="F14" s="167" t="s">
        <v>16</v>
      </c>
      <c r="G14" s="167"/>
      <c r="H14" s="10"/>
      <c r="I14" s="10"/>
      <c r="J14" s="166" t="s">
        <v>154</v>
      </c>
      <c r="K14" s="166"/>
      <c r="L14" s="10"/>
      <c r="M14" s="10"/>
      <c r="O14" s="67">
        <f t="shared" si="1"/>
        <v>0.13179460000000001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7.907676000000001E-2</v>
      </c>
      <c r="R14" s="157">
        <f t="shared" si="3"/>
        <v>0.14643844444444445</v>
      </c>
      <c r="S14" s="176">
        <f t="shared" si="4"/>
        <v>0.85356155555555557</v>
      </c>
      <c r="T14" s="177">
        <f>R14*PRODUCT(S5:S13)*PRODUCT(S15:S19)</f>
        <v>0.1099261512107184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1.4023612338184926E-2</v>
      </c>
      <c r="W14" s="186" t="s">
        <v>54</v>
      </c>
      <c r="X14" s="15" t="s">
        <v>55</v>
      </c>
      <c r="Y14" s="69">
        <f t="shared" si="5"/>
        <v>0.11893659024390243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1.7840488536585365E-2</v>
      </c>
      <c r="AB14" s="157">
        <f t="shared" si="7"/>
        <v>3.2707562317073169E-2</v>
      </c>
      <c r="AC14" s="176">
        <f t="shared" si="8"/>
        <v>0.96729243768292683</v>
      </c>
      <c r="AD14" s="177">
        <f>AB14*PRODUCT(AC5:AC13)*PRODUCT(AC15:AC19)</f>
        <v>1.1692529398419955E-2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1.4439644621188771E-3</v>
      </c>
      <c r="AG14" s="203">
        <f>IF(AL14=0,1,B22)</f>
        <v>0.52564102564102566</v>
      </c>
      <c r="AH14">
        <f>IF(COUNTIF(F6:F18,"CAB")&gt;0,1,0)</f>
        <v>1</v>
      </c>
      <c r="AI14" s="207">
        <f t="shared" si="9"/>
        <v>0.25073119024390245</v>
      </c>
      <c r="AK14" s="203">
        <f>IF(AH14=0,1,C22)</f>
        <v>0.47435897435897434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6.3106255274549314E-2</v>
      </c>
      <c r="BL14">
        <f>BP39+1</f>
        <v>10</v>
      </c>
      <c r="BM14">
        <v>10</v>
      </c>
      <c r="BN14" s="107">
        <f>$H$35*H49</f>
        <v>1.4408119068102447E-14</v>
      </c>
      <c r="BP14">
        <f>BP10+1</f>
        <v>5</v>
      </c>
      <c r="BQ14">
        <v>0</v>
      </c>
      <c r="BR14" s="107">
        <f>$H$30*H39</f>
        <v>8.7718098283600127E-3</v>
      </c>
    </row>
    <row r="15" spans="1:70" x14ac:dyDescent="0.25">
      <c r="A15" s="189" t="s">
        <v>71</v>
      </c>
      <c r="B15" s="170">
        <v>9.25</v>
      </c>
      <c r="C15" s="171">
        <v>5</v>
      </c>
      <c r="E15" s="192" t="s">
        <v>20</v>
      </c>
      <c r="F15" s="167" t="s">
        <v>146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2.4558E-2</v>
      </c>
      <c r="P15" s="210">
        <f>R3</f>
        <v>0.7</v>
      </c>
      <c r="Q15" s="214">
        <f t="shared" si="2"/>
        <v>1.71906E-2</v>
      </c>
      <c r="R15" s="157">
        <f t="shared" si="3"/>
        <v>3.1834444444444443E-2</v>
      </c>
      <c r="S15" s="176">
        <f t="shared" si="4"/>
        <v>0.9681655555555555</v>
      </c>
      <c r="T15" s="177">
        <f>R15*PRODUCT(S5:S14)*PRODUCT(S16:S19)</f>
        <v>2.1068247391036996E-2</v>
      </c>
      <c r="U15" s="177">
        <f>R15*R16*PRODUCT(S5:S14)*PRODUCT(S17:S19)+R15*R17*PRODUCT(S5:S14)*S16*PRODUCT(S18:S19)+R15*R18*PRODUCT(S5:S14)*S16*S17*S19+R15*R19*PRODUCT(S5:S14)*S16*S17*S18</f>
        <v>1.9949909473445451E-3</v>
      </c>
      <c r="W15" s="186" t="s">
        <v>56</v>
      </c>
      <c r="X15" s="15" t="s">
        <v>57</v>
      </c>
      <c r="Y15" s="69">
        <f t="shared" si="5"/>
        <v>2.2162097560975608E-2</v>
      </c>
      <c r="Z15" s="69">
        <f>AB3</f>
        <v>0.7</v>
      </c>
      <c r="AA15" s="69">
        <f t="shared" si="6"/>
        <v>1.5513468292682926E-2</v>
      </c>
      <c r="AB15" s="157">
        <f t="shared" si="7"/>
        <v>2.8441358536585363E-2</v>
      </c>
      <c r="AC15" s="176">
        <f t="shared" si="8"/>
        <v>0.97155864146341464</v>
      </c>
      <c r="AD15" s="177">
        <f>AB15*PRODUCT(AC5:AC14)*PRODUCT(AC16:AC19)</f>
        <v>1.0122770801109262E-2</v>
      </c>
      <c r="AE15" s="177">
        <f>AB15*AB16*PRODUCT(AC5:AC14)*PRODUCT(AC17:AC19)+AB15*AB17*PRODUCT(AC5:AC14)*AC16*PRODUCT(AC18:AC19)+AB15*AB18*PRODUCT(AC5:AC14)*AC16*AC17*AC19+AB15*AB19*PRODUCT(AC5:AC14)*AC16*AC17*AC18</f>
        <v>9.5377424186430496E-4</v>
      </c>
      <c r="AG15" s="203">
        <f>IF(AL15=0,1,B22)</f>
        <v>0.52564102564102566</v>
      </c>
      <c r="AH15">
        <v>1</v>
      </c>
      <c r="AI15" s="207">
        <f t="shared" si="9"/>
        <v>4.6720097560975608E-2</v>
      </c>
      <c r="AK15" s="203">
        <f>IF(AH15=0,1,C22)</f>
        <v>0.47435897435897434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2.9980287369475216E-2</v>
      </c>
      <c r="BP15">
        <f>BP11+1</f>
        <v>5</v>
      </c>
      <c r="BQ15">
        <v>1</v>
      </c>
      <c r="BR15" s="107">
        <f>$H$30*H40</f>
        <v>1.4517964695567452E-2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/>
      <c r="K16" s="166"/>
      <c r="L16" s="10"/>
      <c r="M16" s="10"/>
      <c r="O16" s="67">
        <f t="shared" si="1"/>
        <v>1.7729678048780485E-2</v>
      </c>
      <c r="P16" s="210">
        <v>0.15</v>
      </c>
      <c r="Q16" s="214">
        <f t="shared" si="2"/>
        <v>2.6594517073170727E-3</v>
      </c>
      <c r="R16" s="157">
        <f t="shared" si="3"/>
        <v>4.9249105691056899E-3</v>
      </c>
      <c r="S16" s="176">
        <f t="shared" si="4"/>
        <v>0.99507508943089429</v>
      </c>
      <c r="T16" s="177">
        <f>R16*PRODUCT(S5:S15)*PRODUCT(S17:S19)</f>
        <v>3.1711972493751821E-3</v>
      </c>
      <c r="U16" s="177">
        <f>R16*R17*PRODUCT(S5:S15)*PRODUCT(S18:S19)+R16*R18*PRODUCT(S5:S15)*S17*S19+R16*R19*PRODUCT(S5:S15)*S17*S18</f>
        <v>2.8459131779785216E-4</v>
      </c>
      <c r="W16" s="187" t="s">
        <v>58</v>
      </c>
      <c r="X16" s="15" t="s">
        <v>59</v>
      </c>
      <c r="Y16" s="69">
        <f t="shared" si="5"/>
        <v>1.9646400000000001E-2</v>
      </c>
      <c r="Z16" s="69">
        <v>0.15</v>
      </c>
      <c r="AA16" s="69">
        <f t="shared" si="6"/>
        <v>2.9469600000000002E-3</v>
      </c>
      <c r="AB16" s="157">
        <f t="shared" si="7"/>
        <v>5.4027600000000004E-3</v>
      </c>
      <c r="AC16" s="176">
        <f t="shared" si="8"/>
        <v>0.99459724000000005</v>
      </c>
      <c r="AD16" s="177">
        <f>AB16*PRODUCT(AC5:AC15)*PRODUCT(AC17:AC19)</f>
        <v>1.8783932182095014E-3</v>
      </c>
      <c r="AE16" s="177">
        <f>AB16*AB17*PRODUCT(AC5:AC15)*PRODUCT(AC18:AC19)+AB16*AB18*PRODUCT(AC5:AC15)*AC17*AC19+AB16*AB19*PRODUCT(AC5:AC15)*AC17*AC18</f>
        <v>1.6677983102720656E-4</v>
      </c>
      <c r="AG16" s="203">
        <f>C22</f>
        <v>0.47435897435897434</v>
      </c>
      <c r="AH16">
        <v>1</v>
      </c>
      <c r="AI16" s="207">
        <f t="shared" si="9"/>
        <v>3.7376078048780487E-2</v>
      </c>
      <c r="AK16" s="203">
        <f>B22</f>
        <v>0.52564102564102566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8.3541432608082028E-3</v>
      </c>
      <c r="BP16">
        <f>BP12+1</f>
        <v>5</v>
      </c>
      <c r="BQ16">
        <v>2</v>
      </c>
      <c r="BR16" s="107">
        <f>$H$30*H41</f>
        <v>1.0884931656273199E-2</v>
      </c>
    </row>
    <row r="17" spans="1:70" x14ac:dyDescent="0.25">
      <c r="A17" s="188" t="s">
        <v>10</v>
      </c>
      <c r="B17" s="172" t="s">
        <v>11</v>
      </c>
      <c r="C17" s="173" t="s">
        <v>144</v>
      </c>
      <c r="E17" s="192" t="s">
        <v>22</v>
      </c>
      <c r="F17" s="167"/>
      <c r="G17" s="167"/>
      <c r="H17" s="10"/>
      <c r="I17" s="10"/>
      <c r="J17" s="166" t="s">
        <v>123</v>
      </c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6.8852246341463405E-2</v>
      </c>
      <c r="S17" s="176">
        <f t="shared" si="4"/>
        <v>0.93114775365853664</v>
      </c>
      <c r="T17" s="177">
        <f>R17*PRODUCT(S5:S16)*PRODUCT(S18:S19)</f>
        <v>4.7378387521448274E-2</v>
      </c>
      <c r="U17" s="177">
        <f>R17*R18*PRODUCT(S5:S16)*S19+R17*R19*PRODUCT(S5:S16)*S18</f>
        <v>7.4853731271568589E-4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6.8163723878048782E-2</v>
      </c>
      <c r="AC17" s="176">
        <f t="shared" si="8"/>
        <v>0.93183627612195119</v>
      </c>
      <c r="AD17" s="177">
        <f>AB17*PRODUCT(AC5:AC16)*PRODUCT(AC18:AC19)</f>
        <v>2.5294830908784992E-2</v>
      </c>
      <c r="AE17" s="177">
        <f>AB17*AB18*PRODUCT(AC5:AC16)*AC19+AB17*AB19*PRODUCT(AC5:AC16)*AC18</f>
        <v>3.9557746563459066E-4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1.4490361524161271E-3</v>
      </c>
      <c r="BP17">
        <f>BP13+1</f>
        <v>5</v>
      </c>
      <c r="BQ17">
        <v>3</v>
      </c>
      <c r="BR17" s="107">
        <f>$H$30*H42</f>
        <v>5.1711732479201352E-3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/>
      <c r="K18" s="166"/>
      <c r="L18" s="10"/>
      <c r="M18" s="10"/>
      <c r="O18" s="67">
        <f t="shared" si="1"/>
        <v>1.2279000000000002E-2</v>
      </c>
      <c r="P18" s="210">
        <f>P17*1.2</f>
        <v>0.68399999999999994</v>
      </c>
      <c r="Q18" s="214">
        <f t="shared" si="2"/>
        <v>8.3988359999999998E-3</v>
      </c>
      <c r="R18" s="157">
        <f t="shared" si="3"/>
        <v>1.55534E-2</v>
      </c>
      <c r="S18" s="176">
        <f t="shared" si="4"/>
        <v>0.98444659999999995</v>
      </c>
      <c r="T18" s="177">
        <f>R18*PRODUCT(S5:S17)*PRODUCT(S19:S19)</f>
        <v>1.0123109619519701E-2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1.2279000000000002E-2</v>
      </c>
      <c r="Z18" s="69">
        <f>Z17*1.2</f>
        <v>0.68399999999999994</v>
      </c>
      <c r="AA18" s="69">
        <f t="shared" si="6"/>
        <v>8.3988359999999998E-3</v>
      </c>
      <c r="AB18" s="157">
        <f t="shared" si="7"/>
        <v>1.5397866000000001E-2</v>
      </c>
      <c r="AC18" s="176">
        <f t="shared" si="8"/>
        <v>0.98460213399999996</v>
      </c>
      <c r="AD18" s="177">
        <f>AB18*PRODUCT(AC5:AC17)*PRODUCT(AC19:AC19)</f>
        <v>5.4077654729395306E-3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0.5</v>
      </c>
      <c r="AH18">
        <f>COUNTIF(F11:F18,"CAB")</f>
        <v>1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0.5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1.6678768358945032E-4</v>
      </c>
      <c r="BP18">
        <f>BL8+1</f>
        <v>5</v>
      </c>
      <c r="BQ18">
        <v>4</v>
      </c>
      <c r="BR18" s="107">
        <f>$H$30*H43</f>
        <v>1.4409709155613027E-3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2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1.3277948802350419E-5</v>
      </c>
      <c r="BP19">
        <f>BP15+1</f>
        <v>6</v>
      </c>
      <c r="BQ19">
        <v>1</v>
      </c>
      <c r="BR19" s="107">
        <f>$H$31*H40</f>
        <v>4.0375045973115135E-3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0.64073841387500241</v>
      </c>
      <c r="T20" s="181">
        <f>SUM(T5:T19)</f>
        <v>0.29966665299680295</v>
      </c>
      <c r="U20" s="181">
        <f>SUM(U5:U19)</f>
        <v>5.4318952449268341E-2</v>
      </c>
      <c r="V20" s="181">
        <f>1-S20-T20-U20</f>
        <v>5.2759806789262967E-3</v>
      </c>
      <c r="W20" s="21"/>
      <c r="X20" s="22"/>
      <c r="Y20" s="22"/>
      <c r="Z20" s="22"/>
      <c r="AA20" s="22"/>
      <c r="AB20" s="23"/>
      <c r="AC20" s="184">
        <f>PRODUCT(AC5:AC19)</f>
        <v>0.34579450326608768</v>
      </c>
      <c r="AD20" s="181">
        <f>SUM(AD5:AD19)</f>
        <v>0.40166862079518345</v>
      </c>
      <c r="AE20" s="181">
        <f>SUM(AE5:AE19)</f>
        <v>0.19295411272741439</v>
      </c>
      <c r="AF20" s="181">
        <f>1-AC20-AD20-AE20</f>
        <v>5.9582763211314532E-2</v>
      </c>
      <c r="BH20">
        <v>1</v>
      </c>
      <c r="BI20">
        <v>8</v>
      </c>
      <c r="BJ20" s="107">
        <f t="shared" si="11"/>
        <v>7.4638215186139408E-7</v>
      </c>
      <c r="BP20">
        <f>BP16+1</f>
        <v>6</v>
      </c>
      <c r="BQ20">
        <v>2</v>
      </c>
      <c r="BR20" s="107">
        <f>$H$31*H41</f>
        <v>3.0271434409151459E-3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2.9702286660374962E-8</v>
      </c>
      <c r="BP21">
        <f>BP17+1</f>
        <v>6</v>
      </c>
      <c r="BQ21">
        <v>3</v>
      </c>
      <c r="BR21" s="107">
        <f>$H$31*H42</f>
        <v>1.4381241585706851E-3</v>
      </c>
    </row>
    <row r="22" spans="1:70" x14ac:dyDescent="0.25">
      <c r="A22" s="26" t="s">
        <v>77</v>
      </c>
      <c r="B22" s="62">
        <f>(B6)/((B6)+(C6))</f>
        <v>0.52564102564102566</v>
      </c>
      <c r="C22" s="63">
        <f>1-B22</f>
        <v>0.47435897435897434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11"/>
        <v>8.2301631838625992E-10</v>
      </c>
      <c r="BP22">
        <f>BP18+1</f>
        <v>6</v>
      </c>
      <c r="BQ22">
        <v>4</v>
      </c>
      <c r="BR22" s="107">
        <f>$H$31*H43</f>
        <v>4.0073982945744717E-4</v>
      </c>
    </row>
    <row r="23" spans="1:70" ht="15.75" thickBot="1" x14ac:dyDescent="0.3">
      <c r="A23" s="40" t="s">
        <v>67</v>
      </c>
      <c r="B23" s="56">
        <f>((B22^2.8)/((B22^2.8)+(C22^2.8)))*B21</f>
        <v>2.8568361891073013</v>
      </c>
      <c r="C23" s="57">
        <f>B21-B23</f>
        <v>2.1431638108926987</v>
      </c>
      <c r="D23" s="151">
        <f>SUM(D25:D30)</f>
        <v>1</v>
      </c>
      <c r="E23" s="151">
        <f>SUM(E25:E30)</f>
        <v>1</v>
      </c>
      <c r="H23" s="59">
        <f>SUM(H25:H35)</f>
        <v>0.99999973277571952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1.0000000000000002</v>
      </c>
      <c r="T23" s="59">
        <f>SUM(T25:T35)</f>
        <v>1</v>
      </c>
      <c r="V23" s="59">
        <f>SUM(V25:V34)</f>
        <v>0.99586965586195753</v>
      </c>
      <c r="Y23" s="80">
        <f>SUM(Y25:Y35)</f>
        <v>2.0621624345562567E-4</v>
      </c>
      <c r="Z23" s="81"/>
      <c r="AA23" s="80">
        <f>SUM(AA25:AA35)</f>
        <v>2.7519701862917453E-3</v>
      </c>
      <c r="AB23" s="81"/>
      <c r="AC23" s="80">
        <f>SUM(AC25:AC35)</f>
        <v>1.6530494086073825E-2</v>
      </c>
      <c r="AD23" s="81"/>
      <c r="AE23" s="80">
        <f>SUM(AE25:AE35)</f>
        <v>5.8861797675430753E-2</v>
      </c>
      <c r="AF23" s="81"/>
      <c r="AG23" s="80">
        <f>SUM(AG25:AG35)</f>
        <v>0.13761430795169965</v>
      </c>
      <c r="AH23" s="81"/>
      <c r="AI23" s="80">
        <f>SUM(AI25:AI35)</f>
        <v>0.22077802124070572</v>
      </c>
      <c r="AJ23" s="81"/>
      <c r="AK23" s="80">
        <f>SUM(AK25:AK35)</f>
        <v>0.24626038436137843</v>
      </c>
      <c r="AL23" s="81"/>
      <c r="AM23" s="80">
        <f>SUM(AM25:AM35)</f>
        <v>0.18873977108856946</v>
      </c>
      <c r="AN23" s="81"/>
      <c r="AO23" s="80">
        <f>SUM(AO25:AO35)</f>
        <v>9.5315409947571608E-2</v>
      </c>
      <c r="AP23" s="81"/>
      <c r="AQ23" s="80">
        <f>SUM(AQ25:AQ35)</f>
        <v>2.8811283080781132E-2</v>
      </c>
      <c r="AR23" s="81"/>
      <c r="AS23" s="80">
        <f>SUM(AS25:AS35)</f>
        <v>4.130344138042477E-3</v>
      </c>
      <c r="BH23">
        <f t="shared" ref="BH23:BH30" si="12">BH15+1</f>
        <v>2</v>
      </c>
      <c r="BI23">
        <v>3</v>
      </c>
      <c r="BJ23" s="107">
        <f t="shared" ref="BJ23:BJ30" si="13">$H$27*H42</f>
        <v>3.6445515913618012E-2</v>
      </c>
      <c r="BP23">
        <f>BL9+1</f>
        <v>6</v>
      </c>
      <c r="BQ23">
        <v>5</v>
      </c>
      <c r="BR23" s="107">
        <f>$H$31*H44</f>
        <v>6.9508803292982682E-5</v>
      </c>
    </row>
    <row r="24" spans="1:70" ht="15.75" thickBot="1" x14ac:dyDescent="0.3">
      <c r="A24" s="26" t="s">
        <v>76</v>
      </c>
      <c r="B24" s="64">
        <f>B23/B21</f>
        <v>0.57136723782146026</v>
      </c>
      <c r="C24" s="65">
        <f>C23/B21</f>
        <v>0.42863276217853974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1.0155708562901595E-2</v>
      </c>
      <c r="BP24">
        <f>BH49+1</f>
        <v>7</v>
      </c>
      <c r="BQ24">
        <v>0</v>
      </c>
      <c r="BR24" s="107">
        <f t="shared" ref="BR24:BR30" si="14">$H$32*H39</f>
        <v>5.1529125962450914E-4</v>
      </c>
    </row>
    <row r="25" spans="1:70" x14ac:dyDescent="0.25">
      <c r="A25" s="26" t="s">
        <v>69</v>
      </c>
      <c r="B25" s="117">
        <f>1/(1+EXP(-3.1416*4*((B11/(B11+C8))-(3.1416/6))))</f>
        <v>0.23251449252298675</v>
      </c>
      <c r="C25" s="118">
        <f>1/(1+EXP(-3.1416*4*((C11/(C11+B8))-(3.1416/6))))</f>
        <v>2.0095345785919816E-2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9.0643361338071091E-2</v>
      </c>
      <c r="I25" s="97">
        <v>0</v>
      </c>
      <c r="J25" s="98">
        <f t="shared" ref="J25:J35" si="15">Y25+AA25+AC25+AE25+AG25+AI25+AK25+AM25+AO25+AQ25+AS25</f>
        <v>0.14146703143625494</v>
      </c>
      <c r="K25" s="97">
        <v>0</v>
      </c>
      <c r="L25" s="98">
        <f>S20</f>
        <v>0.64073841387500241</v>
      </c>
      <c r="M25" s="84">
        <v>0</v>
      </c>
      <c r="N25" s="71">
        <f>(1-$B$24)^$B$21</f>
        <v>1.4468610135779585E-2</v>
      </c>
      <c r="O25" s="70">
        <v>0</v>
      </c>
      <c r="P25" s="71">
        <f>N25</f>
        <v>1.4468610135779585E-2</v>
      </c>
      <c r="Q25" s="12">
        <v>0</v>
      </c>
      <c r="R25" s="73">
        <f>P25*N25</f>
        <v>2.0934067926118376E-4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2.0621624345562567E-4</v>
      </c>
      <c r="W25" s="136">
        <f>B31</f>
        <v>0.31022163454006108</v>
      </c>
      <c r="X25" s="12">
        <v>0</v>
      </c>
      <c r="Y25" s="79">
        <f>V25</f>
        <v>2.0621624345562567E-4</v>
      </c>
      <c r="Z25" s="12">
        <v>0</v>
      </c>
      <c r="AA25" s="78">
        <f>((1-W25)^Z26)*V26</f>
        <v>1.8982494968948038E-3</v>
      </c>
      <c r="AB25" s="12">
        <v>0</v>
      </c>
      <c r="AC25" s="79">
        <f>(((1-$W$25)^AB27))*V27</f>
        <v>7.8651131011223466E-3</v>
      </c>
      <c r="AD25" s="12">
        <v>0</v>
      </c>
      <c r="AE25" s="79">
        <f>(((1-$W$25)^AB28))*V28</f>
        <v>1.9318002950330506E-2</v>
      </c>
      <c r="AF25" s="12">
        <v>0</v>
      </c>
      <c r="AG25" s="79">
        <f>(((1-$W$25)^AB29))*V29</f>
        <v>3.1153142794659933E-2</v>
      </c>
      <c r="AH25" s="12">
        <v>0</v>
      </c>
      <c r="AI25" s="79">
        <f>(((1-$W$25)^AB30))*V30</f>
        <v>3.447495283639488E-2</v>
      </c>
      <c r="AJ25" s="12">
        <v>0</v>
      </c>
      <c r="AK25" s="79">
        <f>(((1-$W$25)^AB31))*V31</f>
        <v>2.6524790714610013E-2</v>
      </c>
      <c r="AL25" s="12">
        <v>0</v>
      </c>
      <c r="AM25" s="79">
        <f>(((1-$W$25)^AB32))*V32</f>
        <v>1.4022660054795279E-2</v>
      </c>
      <c r="AN25" s="12">
        <v>0</v>
      </c>
      <c r="AO25" s="79">
        <f>(((1-$W$25)^AB33))*V33</f>
        <v>4.8847199592545673E-3</v>
      </c>
      <c r="AP25" s="12">
        <v>0</v>
      </c>
      <c r="AQ25" s="79">
        <f>(((1-$W$25)^AB34))*V34</f>
        <v>1.0184711210050926E-3</v>
      </c>
      <c r="AR25" s="12">
        <v>0</v>
      </c>
      <c r="AS25" s="79">
        <f>(((1-$W$25)^AB35))*V35</f>
        <v>1.007121637318866E-4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1.761519811383122E-3</v>
      </c>
      <c r="BP25">
        <f>BP19+1</f>
        <v>7</v>
      </c>
      <c r="BQ25">
        <v>1</v>
      </c>
      <c r="BR25" s="107">
        <f t="shared" si="14"/>
        <v>8.5284342245729673E-4</v>
      </c>
    </row>
    <row r="26" spans="1:70" x14ac:dyDescent="0.25">
      <c r="A26" s="40" t="s">
        <v>24</v>
      </c>
      <c r="B26" s="119">
        <f>1/(1+EXP(-3.1416*4*((B10/(B10+C9))-(3.1416/6))))</f>
        <v>0.29571914685923256</v>
      </c>
      <c r="C26" s="120">
        <f>1/(1+EXP(-3.1416*4*((C10/(C10+B9))-(3.1416/6))))</f>
        <v>9.5041725809120875E-3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0.23809488105331308</v>
      </c>
      <c r="I26" s="93">
        <v>1</v>
      </c>
      <c r="J26" s="86">
        <f t="shared" si="15"/>
        <v>0.30543186579038994</v>
      </c>
      <c r="K26" s="93">
        <v>1</v>
      </c>
      <c r="L26" s="86">
        <f>T20</f>
        <v>0.29966665299680295</v>
      </c>
      <c r="M26" s="85">
        <v>1</v>
      </c>
      <c r="N26" s="71">
        <f>(($B$24)^M26)*((1-($B$24))^($B$21-M26))*HLOOKUP($B$21,$AV$24:$BF$34,M26+1)</f>
        <v>9.6433247033885519E-2</v>
      </c>
      <c r="O26" s="72">
        <v>1</v>
      </c>
      <c r="P26" s="71">
        <f t="shared" ref="P26:P30" si="16">N26</f>
        <v>9.6433247033885519E-2</v>
      </c>
      <c r="Q26" s="28">
        <v>1</v>
      </c>
      <c r="R26" s="37">
        <f>N26*P25+P26*N25</f>
        <v>2.7905101109212253E-3</v>
      </c>
      <c r="S26" s="72">
        <v>1</v>
      </c>
      <c r="T26" s="135">
        <f t="shared" ref="T26:T35" si="17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2.7519701862917453E-3</v>
      </c>
      <c r="W26" s="137"/>
      <c r="X26" s="28">
        <v>1</v>
      </c>
      <c r="Y26" s="73"/>
      <c r="Z26" s="28">
        <v>1</v>
      </c>
      <c r="AA26" s="79">
        <f>(1-((1-W25)^Z26))*V26</f>
        <v>8.5372068939694142E-4</v>
      </c>
      <c r="AB26" s="28">
        <v>1</v>
      </c>
      <c r="AC26" s="79">
        <f>((($W$25)^M26)*((1-($W$25))^($U$27-M26))*HLOOKUP($U$27,$AV$24:$BF$34,M26+1))*V27</f>
        <v>7.0745281796296905E-3</v>
      </c>
      <c r="AD26" s="28">
        <v>1</v>
      </c>
      <c r="AE26" s="79">
        <f>((($W$25)^M26)*((1-($W$25))^($U$28-M26))*HLOOKUP($U$28,$AV$24:$BF$34,M26+1))*V28</f>
        <v>2.6064295800167302E-2</v>
      </c>
      <c r="AF26" s="28">
        <v>1</v>
      </c>
      <c r="AG26" s="79">
        <f>((($W$25)^M26)*((1-($W$25))^($U$29-M26))*HLOOKUP($U$29,$AV$24:$BF$34,M26+1))*V29</f>
        <v>5.6043386471683242E-2</v>
      </c>
      <c r="AH26" s="28">
        <v>1</v>
      </c>
      <c r="AI26" s="79">
        <f>((($W$25)^M26)*((1-($W$25))^($U$30-M26))*HLOOKUP($U$30,$AV$24:$BF$34,M26+1))*V30</f>
        <v>7.7524004485605119E-2</v>
      </c>
      <c r="AJ26" s="28">
        <v>1</v>
      </c>
      <c r="AK26" s="79">
        <f>((($W$25)^M26)*((1-($W$25))^($U$31-M26))*HLOOKUP($U$31,$AV$24:$BF$34,M26+1))*V31</f>
        <v>7.157572063744802E-2</v>
      </c>
      <c r="AL26" s="28">
        <v>1</v>
      </c>
      <c r="AM26" s="79">
        <f>((($W$25)^Q26)*((1-($W$25))^($U$32-Q26))*HLOOKUP($U$32,$AV$24:$BF$34,Q26+1))*V32</f>
        <v>4.4145959317357028E-2</v>
      </c>
      <c r="AN26" s="28">
        <v>1</v>
      </c>
      <c r="AO26" s="79">
        <f>((($W$25)^Q26)*((1-($W$25))^($U$33-Q26))*HLOOKUP($U$33,$AV$24:$BF$34,Q26+1))*V33</f>
        <v>1.7574871998427975E-2</v>
      </c>
      <c r="AP26" s="28">
        <v>1</v>
      </c>
      <c r="AQ26" s="79">
        <f>((($W$25)^Q26)*((1-($W$25))^($U$34-Q26))*HLOOKUP($U$34,$AV$24:$BF$34,Q26+1))*V34</f>
        <v>4.1224342852712766E-3</v>
      </c>
      <c r="AR26" s="28">
        <v>1</v>
      </c>
      <c r="AS26" s="79">
        <f>((($W$25)^Q26)*((1-($W$25))^($U$35-Q26))*HLOOKUP($U$35,$AV$24:$BF$34,Q26+1))*V35</f>
        <v>4.5294392540333526E-4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2.027553339146395E-4</v>
      </c>
      <c r="BP26">
        <f>BP20+1</f>
        <v>7</v>
      </c>
      <c r="BQ26">
        <v>2</v>
      </c>
      <c r="BR26" s="107">
        <f t="shared" si="14"/>
        <v>6.3942450347630935E-4</v>
      </c>
    </row>
    <row r="27" spans="1:70" x14ac:dyDescent="0.25">
      <c r="A27" s="26" t="s">
        <v>25</v>
      </c>
      <c r="B27" s="119">
        <f>1/(1+EXP(-3.1416*4*((B12/(B12+C7))-(3.1416/6))))</f>
        <v>0.26289666624974167</v>
      </c>
      <c r="C27" s="120">
        <f>1/(1+EXP(-3.1416*4*((C12/(C12+B7))-(3.1416/6))))</f>
        <v>3.5261675951944238E-2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0.28943987992638787</v>
      </c>
      <c r="I27" s="93">
        <v>2</v>
      </c>
      <c r="J27" s="86">
        <f t="shared" si="15"/>
        <v>0.29688838676339813</v>
      </c>
      <c r="K27" s="93">
        <v>2</v>
      </c>
      <c r="L27" s="86">
        <f>U20</f>
        <v>5.4318952449268341E-2</v>
      </c>
      <c r="M27" s="85">
        <v>2</v>
      </c>
      <c r="N27" s="71">
        <f>(($B$24)^M27)*((1-($B$24))^($B$21-M27))*HLOOKUP($B$21,$AV$24:$BF$34,M27+1)</f>
        <v>0.25709093122916826</v>
      </c>
      <c r="O27" s="72">
        <v>2</v>
      </c>
      <c r="P27" s="71">
        <f t="shared" si="16"/>
        <v>0.25709093122916826</v>
      </c>
      <c r="Q27" s="28">
        <v>2</v>
      </c>
      <c r="R27" s="37">
        <f>P25*N27+P26*N26+P27*N25</f>
        <v>1.6738868040297103E-2</v>
      </c>
      <c r="S27" s="72">
        <v>2</v>
      </c>
      <c r="T27" s="135">
        <f t="shared" si="17"/>
        <v>7.4625000000000011E-5</v>
      </c>
      <c r="U27" s="93">
        <v>2</v>
      </c>
      <c r="V27" s="86">
        <f>R27*T25+T26*R26+R25*T27</f>
        <v>1.6530494086073825E-2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1.59085280532179E-3</v>
      </c>
      <c r="AD27" s="28">
        <v>2</v>
      </c>
      <c r="AE27" s="79">
        <f>((($W$25)^M27)*((1-($W$25))^($U$28-M27))*HLOOKUP($U$28,$AV$24:$BF$34,M27+1))*V28</f>
        <v>1.1722183314450664E-2</v>
      </c>
      <c r="AF27" s="28">
        <v>2</v>
      </c>
      <c r="AG27" s="79">
        <f>((($W$25)^M27)*((1-($W$25))^($U$29-M27))*HLOOKUP($U$29,$AV$24:$BF$34,M27+1))*V29</f>
        <v>3.7807515776781042E-2</v>
      </c>
      <c r="AH27" s="28">
        <v>2</v>
      </c>
      <c r="AI27" s="79">
        <f>((($W$25)^M27)*((1-($W$25))^($U$30-M27))*HLOOKUP($U$30,$AV$24:$BF$34,M27+1))*V30</f>
        <v>6.973145170066139E-2</v>
      </c>
      <c r="AJ27" s="28">
        <v>2</v>
      </c>
      <c r="AK27" s="79">
        <f>((($W$25)^M27)*((1-($W$25))^($U$31-M27))*HLOOKUP($U$31,$AV$24:$BF$34,M27+1))*V31</f>
        <v>8.0476346321496417E-2</v>
      </c>
      <c r="AL27" s="28">
        <v>2</v>
      </c>
      <c r="AM27" s="79">
        <f>((($W$25)^Q27)*((1-($W$25))^($U$32-Q27))*HLOOKUP($U$32,$AV$24:$BF$34,Q27+1))*V32</f>
        <v>5.956274802256719E-2</v>
      </c>
      <c r="AN27" s="28">
        <v>2</v>
      </c>
      <c r="AO27" s="79">
        <f>((($W$25)^Q27)*((1-($W$25))^($U$33-Q27))*HLOOKUP($U$33,$AV$24:$BF$34,Q27+1))*V33</f>
        <v>2.7664493798558596E-2</v>
      </c>
      <c r="AP27" s="28">
        <v>2</v>
      </c>
      <c r="AQ27" s="79">
        <f>((($W$25)^Q27)*((1-($W$25))^($U$34-Q27))*HLOOKUP($U$34,$AV$24:$BF$34,Q27+1))*V34</f>
        <v>7.4161114137472513E-3</v>
      </c>
      <c r="AR27" s="28">
        <v>2</v>
      </c>
      <c r="AS27" s="79">
        <f>((($W$25)^Q27)*((1-($W$25))^($U$35-Q27))*HLOOKUP($U$35,$AV$24:$BF$34,Q27+1))*V35</f>
        <v>9.1668360981377733E-4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1.61413294146399E-5</v>
      </c>
      <c r="BP27">
        <f>BP21+1</f>
        <v>7</v>
      </c>
      <c r="BQ27">
        <v>3</v>
      </c>
      <c r="BR27" s="107">
        <f t="shared" si="14"/>
        <v>3.0377543845538642E-4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0.2159504181488334</v>
      </c>
      <c r="I28" s="93">
        <v>3</v>
      </c>
      <c r="J28" s="86">
        <f t="shared" si="15"/>
        <v>0.17112405044017448</v>
      </c>
      <c r="K28" s="93">
        <v>3</v>
      </c>
      <c r="L28" s="86">
        <f>V20</f>
        <v>5.2759806789262967E-3</v>
      </c>
      <c r="M28" s="85">
        <v>3</v>
      </c>
      <c r="N28" s="71">
        <f>(($B$24)^M28)*((1-($B$24))^($B$21-M28))*HLOOKUP($B$21,$AV$24:$BF$34,M28+1)</f>
        <v>0.34270207087943255</v>
      </c>
      <c r="O28" s="72">
        <v>3</v>
      </c>
      <c r="P28" s="71">
        <f t="shared" si="16"/>
        <v>0.34270207087943255</v>
      </c>
      <c r="Q28" s="28">
        <v>3</v>
      </c>
      <c r="R28" s="37">
        <f>P25*N28+P26*N27+P27*N26+P28*N25</f>
        <v>5.9501071875345729E-2</v>
      </c>
      <c r="S28" s="72">
        <v>3</v>
      </c>
      <c r="T28" s="135">
        <f t="shared" si="17"/>
        <v>1.2500000000000002E-7</v>
      </c>
      <c r="U28" s="93">
        <v>3</v>
      </c>
      <c r="V28" s="86">
        <f>R28*T25+R27*T26+R26*T27+R25*T28</f>
        <v>5.8861797675430746E-2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1.7573156104822851E-3</v>
      </c>
      <c r="AF28" s="28">
        <v>3</v>
      </c>
      <c r="AG28" s="79">
        <f>((($W$25)^M28)*((1-($W$25))^($U$29-M28))*HLOOKUP($U$29,$AV$24:$BF$34,M28+1))*V29</f>
        <v>1.1335727464044723E-2</v>
      </c>
      <c r="AH28" s="28">
        <v>3</v>
      </c>
      <c r="AI28" s="79">
        <f>((($W$25)^M28)*((1-($W$25))^($U$30-M28))*HLOOKUP($U$30,$AV$24:$BF$34,M28+1))*V30</f>
        <v>3.1361095112060103E-2</v>
      </c>
      <c r="AJ28" s="28">
        <v>3</v>
      </c>
      <c r="AK28" s="79">
        <f>((($W$25)^M28)*((1-($W$25))^($U$31-M28))*HLOOKUP($U$31,$AV$24:$BF$34,M28+1))*V31</f>
        <v>4.8258020156024747E-2</v>
      </c>
      <c r="AL28" s="28">
        <v>3</v>
      </c>
      <c r="AM28" s="79">
        <f>((($W$25)^Q28)*((1-($W$25))^($U$32-Q28))*HLOOKUP($U$32,$AV$24:$BF$34,Q28+1))*V32</f>
        <v>4.4646353028043109E-2</v>
      </c>
      <c r="AN28" s="28">
        <v>3</v>
      </c>
      <c r="AO28" s="79">
        <f>((($W$25)^Q28)*((1-($W$25))^($U$33-Q28))*HLOOKUP($U$33,$AV$24:$BF$34,Q28+1))*V33</f>
        <v>2.4883716030118561E-2</v>
      </c>
      <c r="AP28" s="28">
        <v>3</v>
      </c>
      <c r="AQ28" s="79">
        <f>((($W$25)^Q28)*((1-($W$25))^($U$34-Q28))*HLOOKUP($U$34,$AV$24:$BF$34,Q28+1))*V34</f>
        <v>7.7824357500633767E-3</v>
      </c>
      <c r="AR28" s="28">
        <v>3</v>
      </c>
      <c r="AS28" s="79">
        <f>((($W$25)^Q28)*((1-($W$25))^($U$35-Q28))*HLOOKUP($U$35,$AV$24:$BF$34,Q28+1))*V35</f>
        <v>1.0993872893375711E-3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9.0733895436243273E-7</v>
      </c>
      <c r="BP28">
        <f>BP22+1</f>
        <v>7</v>
      </c>
      <c r="BQ28">
        <v>4</v>
      </c>
      <c r="BR28" s="107">
        <f t="shared" si="14"/>
        <v>8.4648405823988109E-5</v>
      </c>
    </row>
    <row r="29" spans="1:70" x14ac:dyDescent="0.25">
      <c r="A29" s="26" t="s">
        <v>27</v>
      </c>
      <c r="B29" s="123">
        <f>1/(1+EXP(-3.1416*4*((B14/(B14+C13))-(3.1416/6))))</f>
        <v>0.15942935610558479</v>
      </c>
      <c r="C29" s="118">
        <f>1/(1+EXP(-3.1416*4*((C14/(C14+B13))-(3.1416/6))))</f>
        <v>0.35067994283720322</v>
      </c>
      <c r="D29" s="153">
        <v>0.04</v>
      </c>
      <c r="E29" s="153">
        <v>0.04</v>
      </c>
      <c r="G29" s="87">
        <v>4</v>
      </c>
      <c r="H29" s="128">
        <f>J29*L25+J28*L26+J27*L27+J26*L28</f>
        <v>0.11053054822100059</v>
      </c>
      <c r="I29" s="93">
        <v>4</v>
      </c>
      <c r="J29" s="86">
        <f t="shared" si="15"/>
        <v>6.4788152377666344E-2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0.2284108366318891</v>
      </c>
      <c r="O29" s="72">
        <v>4</v>
      </c>
      <c r="P29" s="71">
        <f t="shared" si="16"/>
        <v>0.2284108366318891</v>
      </c>
      <c r="Q29" s="28">
        <v>4</v>
      </c>
      <c r="R29" s="37">
        <f>P25*N29+P26*N28+P27*N27+P28*N26+P29*N25</f>
        <v>0.13880106853258997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0.13761430795169963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1.2745354445307159E-3</v>
      </c>
      <c r="AH29" s="28">
        <v>4</v>
      </c>
      <c r="AI29" s="79">
        <f>((($W$25)^M29)*((1-($W$25))^($U$30-M29))*HLOOKUP($U$30,$AV$24:$BF$34,M29+1))*V30</f>
        <v>7.0521856539690507E-3</v>
      </c>
      <c r="AJ29" s="28">
        <v>4</v>
      </c>
      <c r="AK29" s="79">
        <f>((($W$25)^M29)*((1-($W$25))^($U$31-M29))*HLOOKUP($U$31,$AV$24:$BF$34,M29+1))*V31</f>
        <v>1.6277708872276902E-2</v>
      </c>
      <c r="AL29" s="28">
        <v>4</v>
      </c>
      <c r="AM29" s="79">
        <f>((($W$25)^Q29)*((1-($W$25))^($U$32-Q29))*HLOOKUP($U$32,$AV$24:$BF$34,Q29+1))*V32</f>
        <v>2.0079296925146223E-2</v>
      </c>
      <c r="AN29" s="28">
        <v>4</v>
      </c>
      <c r="AO29" s="79">
        <f>((($W$25)^Q29)*((1-($W$25))^($U$33-Q29))*HLOOKUP($U$33,$AV$24:$BF$34,Q29+1))*V33</f>
        <v>1.3989035186590002E-2</v>
      </c>
      <c r="AP29" s="28">
        <v>4</v>
      </c>
      <c r="AQ29" s="79">
        <f>((($W$25)^Q29)*((1-($W$25))^($U$34-Q29))*HLOOKUP($U$34,$AV$24:$BF$34,Q29+1))*V34</f>
        <v>5.2501210388307337E-3</v>
      </c>
      <c r="AR29" s="28">
        <v>4</v>
      </c>
      <c r="AS29" s="79">
        <f>((($W$25)^Q29)*((1-($W$25))^($U$35-Q29))*HLOOKUP($U$35,$AV$24:$BF$34,Q29+1))*V35</f>
        <v>8.6526925632271576E-4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3.6107564541016217E-8</v>
      </c>
      <c r="BP29">
        <f>BP23+1</f>
        <v>7</v>
      </c>
      <c r="BQ29">
        <v>5</v>
      </c>
      <c r="BR29" s="107">
        <f t="shared" si="14"/>
        <v>1.4682367354026475E-5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4.1067981243675819E-2</v>
      </c>
      <c r="I30" s="93">
        <v>5</v>
      </c>
      <c r="J30" s="86">
        <f t="shared" si="15"/>
        <v>1.6842249008300607E-2</v>
      </c>
      <c r="K30" s="93">
        <v>5</v>
      </c>
      <c r="L30" s="86"/>
      <c r="M30" s="85">
        <v>5</v>
      </c>
      <c r="N30" s="71">
        <f>(($B$24)^M30)*((1-($B$24))^($B$21-M30))*HLOOKUP($B$21,$AV$24:$BF$34,M30+1)</f>
        <v>6.0894304089845114E-2</v>
      </c>
      <c r="O30" s="72">
        <v>5</v>
      </c>
      <c r="P30" s="71">
        <f t="shared" si="16"/>
        <v>6.0894304089845114E-2</v>
      </c>
      <c r="Q30" s="28">
        <v>5</v>
      </c>
      <c r="R30" s="37">
        <f>P25*N30+P26*N29+P27*N28+P28*N27+P29*N26+P30*N25</f>
        <v>0.22202609823212552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0.22077802124070564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6.3433145201516425E-4</v>
      </c>
      <c r="AJ30" s="28">
        <v>5</v>
      </c>
      <c r="AK30" s="79">
        <f>((($W$25)^M30)*((1-($W$25))^($U$31-M30))*HLOOKUP($U$31,$AV$24:$BF$34,M30+1))*V31</f>
        <v>2.9283014404534969E-3</v>
      </c>
      <c r="AL30" s="28">
        <v>5</v>
      </c>
      <c r="AM30" s="79">
        <f>((($W$25)^Q30)*((1-($W$25))^($U$32-Q30))*HLOOKUP($U$32,$AV$24:$BF$34,Q30+1))*V32</f>
        <v>5.4182902431687135E-3</v>
      </c>
      <c r="AN30" s="28">
        <v>5</v>
      </c>
      <c r="AO30" s="79">
        <f>((($W$25)^Q30)*((1-($W$25))^($U$33-Q30))*HLOOKUP($U$33,$AV$24:$BF$34,Q30+1))*V33</f>
        <v>5.0331545070465633E-3</v>
      </c>
      <c r="AP30" s="28">
        <v>5</v>
      </c>
      <c r="AQ30" s="79">
        <f>((($W$25)^Q30)*((1-($W$25))^($U$34-Q30))*HLOOKUP($U$34,$AV$24:$BF$34,Q30+1))*V34</f>
        <v>2.361194858747459E-3</v>
      </c>
      <c r="AR30" s="28">
        <v>5</v>
      </c>
      <c r="AS30" s="79">
        <f>((($W$25)^Q30)*((1-($W$25))^($U$35-Q30))*HLOOKUP($U$35,$AV$24:$BF$34,Q30+1))*V35</f>
        <v>4.6697650686920923E-4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1.0004992266836562E-9</v>
      </c>
      <c r="BP30">
        <f>BL10+1</f>
        <v>7</v>
      </c>
      <c r="BQ30">
        <v>6</v>
      </c>
      <c r="BR30" s="107">
        <f t="shared" si="14"/>
        <v>1.6899771869074782E-6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0.31022163454006108</v>
      </c>
      <c r="C31" s="61">
        <f>(C25*E25)+(C26*E26)+(C27*E27)+(C28*E28)+(C29*E29)+(C30*E30)/(C25+C26+C27+C28+C29+C30)</f>
        <v>0.10936869654166616</v>
      </c>
      <c r="G31" s="87">
        <v>6</v>
      </c>
      <c r="H31" s="128">
        <f>J31*L25+J30*L26+J29*L27+J28*L28</f>
        <v>1.1421171393554154E-2</v>
      </c>
      <c r="I31" s="93">
        <v>6</v>
      </c>
      <c r="J31" s="86">
        <f t="shared" si="15"/>
        <v>3.0465463127022996E-3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0.24663388970860836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0.24626038436137831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2.1949621906880429E-4</v>
      </c>
      <c r="AL31" s="28">
        <v>6</v>
      </c>
      <c r="AM31" s="79">
        <f>((($W$25)^Q31)*((1-($W$25))^($U$32-Q31))*HLOOKUP($U$32,$AV$24:$BF$34,Q31+1))*V32</f>
        <v>8.1227581680166276E-4</v>
      </c>
      <c r="AN31" s="28">
        <v>6</v>
      </c>
      <c r="AO31" s="79">
        <f>((($W$25)^Q31)*((1-($W$25))^($U$33-Q31))*HLOOKUP($U$33,$AV$24:$BF$34,Q31+1))*V33</f>
        <v>1.1318080533212541E-3</v>
      </c>
      <c r="AP31" s="28">
        <v>6</v>
      </c>
      <c r="AQ31" s="79">
        <f>((($W$25)^Q31)*((1-($W$25))^($U$34-Q31))*HLOOKUP($U$34,$AV$24:$BF$34,Q31+1))*V34</f>
        <v>7.079508097356307E-4</v>
      </c>
      <c r="AR31" s="28">
        <v>6</v>
      </c>
      <c r="AS31" s="79">
        <f>((($W$25)^Q31)*((1-($W$25))^($U$35-Q31))*HLOOKUP($U$35,$AV$24:$BF$34,Q31+1))*V35</f>
        <v>1.7501541377494792E-4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7.5771504303900955E-3</v>
      </c>
      <c r="BP31">
        <f t="shared" ref="BP31:BP37" si="21">BP24+1</f>
        <v>8</v>
      </c>
      <c r="BQ31">
        <v>0</v>
      </c>
      <c r="BR31" s="107">
        <f t="shared" ref="BR31:BR38" si="22">$H$33*H39</f>
        <v>8.2844865307171261E-5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2.4124977854479883E-3</v>
      </c>
      <c r="I32" s="93">
        <v>7</v>
      </c>
      <c r="J32" s="86">
        <f t="shared" si="15"/>
        <v>3.7905497824514925E-4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0.18786448014012513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0.18873977108856937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5.218768069023218E-5</v>
      </c>
      <c r="AN32" s="28">
        <v>7</v>
      </c>
      <c r="AO32" s="79">
        <f>((($W$25)^Q32)*((1-($W$25))^($U$33-Q32))*HLOOKUP($U$33,$AV$24:$BF$34,Q32+1))*V33</f>
        <v>1.4543443512066398E-4</v>
      </c>
      <c r="AP32" s="28">
        <v>7</v>
      </c>
      <c r="AQ32" s="79">
        <f>((($W$25)^Q32)*((1-($W$25))^($U$34-Q32))*HLOOKUP($U$34,$AV$24:$BF$34,Q32+1))*V34</f>
        <v>1.3645479788509734E-4</v>
      </c>
      <c r="AR32" s="28">
        <v>7</v>
      </c>
      <c r="AS32" s="79">
        <f>((($W$25)^Q32)*((1-($W$25))^($U$35-Q32))*HLOOKUP($U$35,$AV$24:$BF$34,Q32+1))*V35</f>
        <v>4.4978064549155729E-5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1.3142658155551516E-3</v>
      </c>
      <c r="BP32">
        <f t="shared" si="21"/>
        <v>8</v>
      </c>
      <c r="BQ32">
        <v>1</v>
      </c>
      <c r="BR32" s="107">
        <f t="shared" si="22"/>
        <v>1.3711410225173779E-4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3.8786424251582884E-4</v>
      </c>
      <c r="I33" s="93">
        <v>8</v>
      </c>
      <c r="J33" s="86">
        <f t="shared" si="15"/>
        <v>3.1103990021717862E-5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9.3908718523583165E-2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9.5315409947571567E-2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8.1759791334313674E-6</v>
      </c>
      <c r="AP33" s="28">
        <v>8</v>
      </c>
      <c r="AQ33" s="79">
        <f>((($W$25)^Q33)*((1-($W$25))^($U$34-Q33))*HLOOKUP($U$34,$AV$24:$BF$34,Q33+1))*V34</f>
        <v>1.5342330435560421E-5</v>
      </c>
      <c r="AR33" s="28">
        <v>8</v>
      </c>
      <c r="AS33" s="79">
        <f>((($W$25)^Q33)*((1-($W$25))^($U$35-Q33))*HLOOKUP($U$35,$AV$24:$BF$34,Q33+1))*V35</f>
        <v>7.5856804527260723E-6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1.5127528090430538E-4</v>
      </c>
      <c r="BP33">
        <f t="shared" si="21"/>
        <v>8</v>
      </c>
      <c r="BQ33">
        <v>2</v>
      </c>
      <c r="BR33" s="107">
        <f t="shared" si="22"/>
        <v>1.0280212573991836E-4</v>
      </c>
    </row>
    <row r="34" spans="1:70" x14ac:dyDescent="0.25">
      <c r="A34" s="40" t="s">
        <v>86</v>
      </c>
      <c r="B34" s="56">
        <f>B23*2</f>
        <v>5.7136723782146026</v>
      </c>
      <c r="C34" s="57">
        <f>C23*2</f>
        <v>4.2863276217853974</v>
      </c>
      <c r="G34" s="87">
        <v>9</v>
      </c>
      <c r="H34" s="128">
        <f>J34*L25+J33*L26+J32*L27+J31*L28</f>
        <v>4.6961219545075282E-5</v>
      </c>
      <c r="I34" s="93">
        <v>9</v>
      </c>
      <c r="J34" s="86">
        <f t="shared" si="15"/>
        <v>1.5248065622978872E-6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2.7817837886556378E-2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2.8811283080781118E-2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7.6667505965238039E-7</v>
      </c>
      <c r="AR34" s="28">
        <v>9</v>
      </c>
      <c r="AS34" s="79">
        <f>((($W$25)^Q34)*((1-($W$25))^($U$35-Q34))*HLOOKUP($U$35,$AV$24:$BF$34,Q34+1))*V35</f>
        <v>7.5813150264550668E-7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1.2043008162717806E-5</v>
      </c>
      <c r="BP34">
        <f t="shared" si="21"/>
        <v>8</v>
      </c>
      <c r="BQ34">
        <v>3</v>
      </c>
      <c r="BR34" s="107">
        <f t="shared" si="22"/>
        <v>4.8838855331646651E-5</v>
      </c>
    </row>
    <row r="35" spans="1:70" ht="15.75" thickBot="1" x14ac:dyDescent="0.3">
      <c r="G35" s="88">
        <v>10</v>
      </c>
      <c r="H35" s="129">
        <f>J35*L25+J34*L26+J33*L27+J32*L28</f>
        <v>4.1682033746891205E-6</v>
      </c>
      <c r="I35" s="94">
        <v>10</v>
      </c>
      <c r="J35" s="89">
        <f t="shared" si="15"/>
        <v>3.4096284505846979E-8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3.7081162705865272E-3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4.1303441380424744E-3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3.4096284505846979E-8</v>
      </c>
      <c r="BH35">
        <f t="shared" si="19"/>
        <v>3</v>
      </c>
      <c r="BI35">
        <v>8</v>
      </c>
      <c r="BJ35" s="107">
        <f t="shared" si="20"/>
        <v>6.7696347389007121E-7</v>
      </c>
      <c r="BP35">
        <f t="shared" si="21"/>
        <v>8</v>
      </c>
      <c r="BQ35">
        <v>4</v>
      </c>
      <c r="BR35" s="107">
        <f t="shared" si="22"/>
        <v>1.3609168888416979E-5</v>
      </c>
    </row>
    <row r="36" spans="1:70" x14ac:dyDescent="0.25">
      <c r="A36" s="1"/>
      <c r="B36" s="108">
        <f>SUM(B37:B39)</f>
        <v>0.9999955645078169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2.6939769540228995E-8</v>
      </c>
      <c r="BP36">
        <f t="shared" si="21"/>
        <v>8</v>
      </c>
      <c r="BQ36">
        <v>5</v>
      </c>
      <c r="BR36" s="107">
        <f t="shared" si="22"/>
        <v>2.3605266402560133E-6</v>
      </c>
    </row>
    <row r="37" spans="1:70" ht="15.75" thickBot="1" x14ac:dyDescent="0.3">
      <c r="A37" s="109" t="s">
        <v>104</v>
      </c>
      <c r="B37" s="107">
        <f>SUM(BN4:BN14)</f>
        <v>0.21157308891331225</v>
      </c>
      <c r="G37" s="13"/>
      <c r="H37" s="59">
        <f>SUM(H39:H49)</f>
        <v>0.99999999993545763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0.99974775194049981</v>
      </c>
      <c r="W37" s="13"/>
      <c r="X37" s="13"/>
      <c r="Y37" s="80">
        <f>SUM(Y39:Y49)</f>
        <v>3.6527721717334893E-3</v>
      </c>
      <c r="Z37" s="81"/>
      <c r="AA37" s="80">
        <f>SUM(AA39:AA49)</f>
        <v>2.7457720096031601E-2</v>
      </c>
      <c r="AB37" s="81"/>
      <c r="AC37" s="80">
        <f>SUM(AC39:AC49)</f>
        <v>9.2920501203510128E-2</v>
      </c>
      <c r="AD37" s="81"/>
      <c r="AE37" s="80">
        <f>SUM(AE39:AE49)</f>
        <v>0.18645723534648523</v>
      </c>
      <c r="AF37" s="81"/>
      <c r="AG37" s="80">
        <f>SUM(AG39:AG49)</f>
        <v>0.24574971747008162</v>
      </c>
      <c r="AH37" s="81"/>
      <c r="AI37" s="80">
        <f>SUM(AI39:AI49)</f>
        <v>0.22238896783805051</v>
      </c>
      <c r="AJ37" s="81"/>
      <c r="AK37" s="80">
        <f>SUM(AK39:AK49)</f>
        <v>0.14004504459022094</v>
      </c>
      <c r="AL37" s="81"/>
      <c r="AM37" s="80">
        <f>SUM(AM39:AM49)</f>
        <v>6.0690858384898662E-2</v>
      </c>
      <c r="AN37" s="81"/>
      <c r="AO37" s="80">
        <f>SUM(AO39:AO49)</f>
        <v>1.7383037355689523E-2</v>
      </c>
      <c r="AP37" s="81"/>
      <c r="AQ37" s="80">
        <f>SUM(AQ39:AQ49)</f>
        <v>3.0018974837981529E-3</v>
      </c>
      <c r="AR37" s="81"/>
      <c r="AS37" s="80">
        <f>SUM(AS39:AS49)</f>
        <v>2.5224805950019291E-4</v>
      </c>
      <c r="BH37">
        <f t="shared" si="19"/>
        <v>3</v>
      </c>
      <c r="BI37">
        <v>10</v>
      </c>
      <c r="BJ37" s="107">
        <f t="shared" si="20"/>
        <v>7.4647013540383339E-10</v>
      </c>
      <c r="BP37">
        <f t="shared" si="21"/>
        <v>8</v>
      </c>
      <c r="BQ37">
        <v>6</v>
      </c>
      <c r="BR37" s="107">
        <f t="shared" si="22"/>
        <v>2.7170251737544323E-7</v>
      </c>
    </row>
    <row r="38" spans="1:70" ht="15.75" thickBot="1" x14ac:dyDescent="0.3">
      <c r="A38" s="110" t="s">
        <v>105</v>
      </c>
      <c r="B38" s="107">
        <f>SUM(BJ4:BJ59)</f>
        <v>0.23521920244672417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6.7268460207987847E-4</v>
      </c>
      <c r="BP38">
        <f>BL11+1</f>
        <v>8</v>
      </c>
      <c r="BQ38">
        <v>7</v>
      </c>
      <c r="BR38" s="107">
        <f t="shared" si="22"/>
        <v>2.1630206964569008E-8</v>
      </c>
    </row>
    <row r="39" spans="1:70" x14ac:dyDescent="0.25">
      <c r="A39" s="111" t="s">
        <v>0</v>
      </c>
      <c r="B39" s="107">
        <f>SUM(BR4:BR47)</f>
        <v>0.55320327314778051</v>
      </c>
      <c r="G39" s="130">
        <v>0</v>
      </c>
      <c r="H39" s="131">
        <f>L39*J39</f>
        <v>0.21359242803566852</v>
      </c>
      <c r="I39" s="97">
        <v>0</v>
      </c>
      <c r="J39" s="98">
        <f t="shared" ref="J39:J49" si="37">Y39+AA39+AC39+AE39+AG39+AI39+AK39+AM39+AO39+AQ39+AS39</f>
        <v>0.6176860129882108</v>
      </c>
      <c r="K39" s="102">
        <v>0</v>
      </c>
      <c r="L39" s="98">
        <f>AC20</f>
        <v>0.34579450326608768</v>
      </c>
      <c r="M39" s="84">
        <v>0</v>
      </c>
      <c r="N39" s="71">
        <f>(1-$C$24)^$B$21</f>
        <v>6.0894304089845114E-2</v>
      </c>
      <c r="O39" s="70">
        <v>0</v>
      </c>
      <c r="P39" s="71">
        <f>N39</f>
        <v>6.0894304089845114E-2</v>
      </c>
      <c r="Q39" s="12">
        <v>0</v>
      </c>
      <c r="R39" s="73">
        <f>P39*N39</f>
        <v>3.7081162705865272E-3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3.6527721717334893E-3</v>
      </c>
      <c r="W39" s="136">
        <f>C31</f>
        <v>0.10936869654166616</v>
      </c>
      <c r="X39" s="12">
        <v>0</v>
      </c>
      <c r="Y39" s="79">
        <f>V39</f>
        <v>3.6527721717334893E-3</v>
      </c>
      <c r="Z39" s="12">
        <v>0</v>
      </c>
      <c r="AA39" s="78">
        <f>((1-W39)^Z40)*V40</f>
        <v>2.4454705039122712E-2</v>
      </c>
      <c r="AB39" s="12">
        <v>0</v>
      </c>
      <c r="AC39" s="79">
        <f>(((1-$W$39)^AB41))*V41</f>
        <v>7.3706782676306454E-2</v>
      </c>
      <c r="AD39" s="12">
        <v>0</v>
      </c>
      <c r="AE39" s="79">
        <f>(((1-$W$39)^AB42))*V42</f>
        <v>0.13172648608439122</v>
      </c>
      <c r="AF39" s="12">
        <v>0</v>
      </c>
      <c r="AG39" s="79">
        <f>(((1-$W$39)^AB43))*V43</f>
        <v>0.1546268287171372</v>
      </c>
      <c r="AH39" s="12">
        <v>0</v>
      </c>
      <c r="AI39" s="79">
        <f>(((1-$W$39)^AB44))*V44</f>
        <v>0.12462438160041245</v>
      </c>
      <c r="AJ39" s="12">
        <v>0</v>
      </c>
      <c r="AK39" s="79">
        <f>(((1-$W$39)^AB45))*V45</f>
        <v>6.9896507938840918E-2</v>
      </c>
      <c r="AL39" s="12">
        <v>0</v>
      </c>
      <c r="AM39" s="79">
        <f>(((1-$W$39)^AB46))*V46</f>
        <v>2.6977951401377175E-2</v>
      </c>
      <c r="AN39" s="12">
        <v>0</v>
      </c>
      <c r="AO39" s="79">
        <f>(((1-$W$39)^AB47))*V47</f>
        <v>6.8819150413863177E-3</v>
      </c>
      <c r="AP39" s="12">
        <v>0</v>
      </c>
      <c r="AQ39" s="79">
        <f>(((1-$W$39)^AB48))*V48</f>
        <v>1.0584673244908682E-3</v>
      </c>
      <c r="AR39" s="12">
        <v>0</v>
      </c>
      <c r="AS39" s="79">
        <f>(((1-$W$39)^AB49))*V49</f>
        <v>7.9214993011939662E-5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7.7427679344037719E-5</v>
      </c>
      <c r="BP39">
        <f t="shared" ref="BP39:BP46" si="38">BP31+1</f>
        <v>9</v>
      </c>
      <c r="BQ39">
        <v>0</v>
      </c>
      <c r="BR39" s="107">
        <f t="shared" ref="BR39:BR47" si="39">$H$34*H39</f>
        <v>1.0030560906148722E-5</v>
      </c>
    </row>
    <row r="40" spans="1:70" x14ac:dyDescent="0.25">
      <c r="G40" s="91">
        <v>1</v>
      </c>
      <c r="H40" s="132">
        <f>L39*J40+L40*J39</f>
        <v>0.35351055142996873</v>
      </c>
      <c r="I40" s="93">
        <v>1</v>
      </c>
      <c r="J40" s="86">
        <f t="shared" si="37"/>
        <v>0.30482110476871638</v>
      </c>
      <c r="K40" s="95">
        <v>1</v>
      </c>
      <c r="L40" s="86">
        <f>AD20</f>
        <v>0.40166862079518345</v>
      </c>
      <c r="M40" s="85">
        <v>1</v>
      </c>
      <c r="N40" s="71">
        <f>(($C$24)^M26)*((1-($C$24))^($B$21-M26))*HLOOKUP($B$21,$AV$24:$BF$34,M26+1)</f>
        <v>0.2284108366318891</v>
      </c>
      <c r="O40" s="72">
        <v>1</v>
      </c>
      <c r="P40" s="71">
        <f t="shared" ref="P40:P44" si="40">N40</f>
        <v>0.2284108366318891</v>
      </c>
      <c r="Q40" s="28">
        <v>1</v>
      </c>
      <c r="R40" s="37">
        <f>P40*N39+P39*N40</f>
        <v>2.7817837886556378E-2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2.7457720096031601E-2</v>
      </c>
      <c r="W40" s="137"/>
      <c r="X40" s="28">
        <v>1</v>
      </c>
      <c r="Y40" s="73"/>
      <c r="Z40" s="28">
        <v>1</v>
      </c>
      <c r="AA40" s="79">
        <f>(1-((1-W39)^Z40))*V40</f>
        <v>3.0030150569088881E-3</v>
      </c>
      <c r="AB40" s="28">
        <v>1</v>
      </c>
      <c r="AC40" s="79">
        <f>((($W$39)^M40)*((1-($W$39))^($U$27-M40))*HLOOKUP($U$27,$AV$24:$BF$34,M40+1))*V41</f>
        <v>1.810224885715489E-2</v>
      </c>
      <c r="AD40" s="28">
        <v>1</v>
      </c>
      <c r="AE40" s="79">
        <f>((($W$39)^M40)*((1-($W$39))^($U$28-M40))*HLOOKUP($U$28,$AV$24:$BF$34,M40+1))*V42</f>
        <v>4.8527670295627934E-2</v>
      </c>
      <c r="AF40" s="28">
        <v>1</v>
      </c>
      <c r="AG40" s="79">
        <f>((($W$39)^M40)*((1-($W$39))^($U$29-M40))*HLOOKUP($U$29,$AV$24:$BF$34,M40+1))*V43</f>
        <v>7.5952123584687933E-2</v>
      </c>
      <c r="AH40" s="28">
        <v>1</v>
      </c>
      <c r="AI40" s="79">
        <f>((($W$39)^M40)*((1-($W$39))^($U$30-M40))*HLOOKUP($U$30,$AV$24:$BF$34,M40+1))*V44</f>
        <v>7.6518791333870739E-2</v>
      </c>
      <c r="AJ40" s="28">
        <v>1</v>
      </c>
      <c r="AK40" s="79">
        <f>((($W$39)^M40)*((1-($W$39))^($U$31-M40))*HLOOKUP($U$31,$AV$24:$BF$34,M40+1))*V45</f>
        <v>5.1499357386619517E-2</v>
      </c>
      <c r="AL40" s="28">
        <v>1</v>
      </c>
      <c r="AM40" s="79">
        <f>((($W$39)^Q40)*((1-($W$39))^($U$32-Q40))*HLOOKUP($U$32,$AV$24:$BF$34,Q40+1))*V46</f>
        <v>2.3190071560175638E-2</v>
      </c>
      <c r="AN40" s="28">
        <v>1</v>
      </c>
      <c r="AO40" s="79">
        <f>((($W$39)^Q40)*((1-($W$39))^($U$33-Q40))*HLOOKUP($U$33,$AV$24:$BF$34,Q40+1))*V47</f>
        <v>6.7607421824433531E-3</v>
      </c>
      <c r="AP40" s="28">
        <v>1</v>
      </c>
      <c r="AQ40" s="79">
        <f>((($W$39)^Q40)*((1-($W$39))^($U$34-Q40))*HLOOKUP($U$34,$AV$24:$BF$34,Q40+1))*V48</f>
        <v>1.1698092358285732E-3</v>
      </c>
      <c r="AR40" s="28">
        <v>1</v>
      </c>
      <c r="AS40" s="79">
        <f>((($W$39)^Q40)*((1-($W$39))^($U$35-Q40))*HLOOKUP($U$35,$AV$24:$BF$34,Q40+1))*V49</f>
        <v>9.7275275398832218E-5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6.1640088769718138E-6</v>
      </c>
      <c r="BP40">
        <f t="shared" si="38"/>
        <v>9</v>
      </c>
      <c r="BQ40">
        <v>1</v>
      </c>
      <c r="BR40" s="107">
        <f t="shared" si="39"/>
        <v>1.6601286617203389E-5</v>
      </c>
    </row>
    <row r="41" spans="1:70" x14ac:dyDescent="0.25">
      <c r="G41" s="91">
        <v>2</v>
      </c>
      <c r="H41" s="132">
        <f>L39*J41+J40*L40+J39*L41</f>
        <v>0.26504666961075429</v>
      </c>
      <c r="I41" s="93">
        <v>2</v>
      </c>
      <c r="J41" s="86">
        <f t="shared" si="37"/>
        <v>6.7741216437846058E-2</v>
      </c>
      <c r="K41" s="95">
        <v>2</v>
      </c>
      <c r="L41" s="86">
        <f>AE20</f>
        <v>0.19295411272741439</v>
      </c>
      <c r="M41" s="85">
        <v>2</v>
      </c>
      <c r="N41" s="71">
        <f>(($C$24)^M27)*((1-($C$24))^($B$21-M27))*HLOOKUP($B$21,$AV$24:$BF$34,M27+1)</f>
        <v>0.34270207087943255</v>
      </c>
      <c r="O41" s="72">
        <v>2</v>
      </c>
      <c r="P41" s="71">
        <f t="shared" si="40"/>
        <v>0.34270207087943255</v>
      </c>
      <c r="Q41" s="28">
        <v>2</v>
      </c>
      <c r="R41" s="37">
        <f>P41*N39+P40*N40+P39*N41</f>
        <v>9.3908718523583165E-2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9.2920501203510128E-2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1.1114696700487787E-3</v>
      </c>
      <c r="AD41" s="28">
        <v>2</v>
      </c>
      <c r="AE41" s="79">
        <f>((($W$39)^M41)*((1-($W$39))^($U$28-M41))*HLOOKUP($U$28,$AV$24:$BF$34,M41+1))*V42</f>
        <v>5.9591528232028441E-3</v>
      </c>
      <c r="AF41" s="28">
        <v>2</v>
      </c>
      <c r="AG41" s="79">
        <f>((($W$39)^M41)*((1-($W$39))^($U$29-M41))*HLOOKUP($U$29,$AV$24:$BF$34,M41+1))*V43</f>
        <v>1.3990275308828969E-2</v>
      </c>
      <c r="AH41" s="28">
        <v>2</v>
      </c>
      <c r="AI41" s="79">
        <f>((($W$39)^M41)*((1-($W$39))^($U$30-M41))*HLOOKUP($U$30,$AV$24:$BF$34,M41+1))*V44</f>
        <v>1.8792872957941558E-2</v>
      </c>
      <c r="AJ41" s="28">
        <v>2</v>
      </c>
      <c r="AK41" s="79">
        <f>((($W$39)^M41)*((1-($W$39))^($U$31-M41))*HLOOKUP($U$31,$AV$24:$BF$34,M41+1))*V45</f>
        <v>1.581018309214275E-2</v>
      </c>
      <c r="AL41" s="28">
        <v>2</v>
      </c>
      <c r="AM41" s="79">
        <f>((($W$39)^Q41)*((1-($W$39))^($U$32-Q41))*HLOOKUP($U$32,$AV$24:$BF$34,Q41+1))*V46</f>
        <v>8.5431577221550883E-3</v>
      </c>
      <c r="AN41" s="28">
        <v>2</v>
      </c>
      <c r="AO41" s="79">
        <f>((($W$39)^Q41)*((1-($W$39))^($U$33-Q41))*HLOOKUP($U$33,$AV$24:$BF$34,Q41+1))*V47</f>
        <v>2.9057450040990865E-3</v>
      </c>
      <c r="AP41" s="28">
        <v>2</v>
      </c>
      <c r="AQ41" s="79">
        <f>((($W$39)^Q41)*((1-($W$39))^($U$34-Q41))*HLOOKUP($U$34,$AV$24:$BF$34,Q41+1))*V48</f>
        <v>5.7460594896307268E-4</v>
      </c>
      <c r="AR41" s="28">
        <v>2</v>
      </c>
      <c r="AS41" s="79">
        <f>((($W$39)^Q41)*((1-($W$39))^($U$35-Q41))*HLOOKUP($U$35,$AV$24:$BF$34,Q41+1))*V49</f>
        <v>5.37539104639142E-5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3.4649223898743723E-7</v>
      </c>
      <c r="BP41">
        <f t="shared" si="38"/>
        <v>9</v>
      </c>
      <c r="BQ41">
        <v>2</v>
      </c>
      <c r="BR41" s="107">
        <f t="shared" si="39"/>
        <v>1.2446914841281666E-5</v>
      </c>
    </row>
    <row r="42" spans="1:70" ht="15" customHeight="1" x14ac:dyDescent="0.25">
      <c r="G42" s="91">
        <v>3</v>
      </c>
      <c r="H42" s="132">
        <f>J42*L39+J41*L40+L42*J39+L41*J40</f>
        <v>0.1259173957745113</v>
      </c>
      <c r="I42" s="93">
        <v>3</v>
      </c>
      <c r="J42" s="86">
        <f t="shared" si="37"/>
        <v>8.9300133625956121E-3</v>
      </c>
      <c r="K42" s="95">
        <v>3</v>
      </c>
      <c r="L42" s="86">
        <f>AF20</f>
        <v>5.9582763211314532E-2</v>
      </c>
      <c r="M42" s="85">
        <v>3</v>
      </c>
      <c r="N42" s="71">
        <f>(($C$24)^M28)*((1-($C$24))^($B$21-M28))*HLOOKUP($B$21,$AV$24:$BF$34,M28+1)</f>
        <v>0.25709093122916826</v>
      </c>
      <c r="O42" s="72">
        <v>3</v>
      </c>
      <c r="P42" s="71">
        <f t="shared" si="40"/>
        <v>0.25709093122916826</v>
      </c>
      <c r="Q42" s="28">
        <v>3</v>
      </c>
      <c r="R42" s="37">
        <f>P42*N39+P41*N40+P40*N41+P39*N42</f>
        <v>0.18786448014012513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0.18645723534648523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2.4392614326323021E-4</v>
      </c>
      <c r="AF42" s="28">
        <v>3</v>
      </c>
      <c r="AG42" s="79">
        <f>((($W$39)^M42)*((1-($W$39))^($U$29-M42))*HLOOKUP($U$29,$AV$24:$BF$34,M42+1))*V43</f>
        <v>1.1453285393138461E-3</v>
      </c>
      <c r="AH42" s="28">
        <v>3</v>
      </c>
      <c r="AI42" s="79">
        <f>((($W$39)^M42)*((1-($W$39))^($U$30-M42))*HLOOKUP($U$30,$AV$24:$BF$34,M42+1))*V44</f>
        <v>2.3077473379862511E-3</v>
      </c>
      <c r="AJ42" s="28">
        <v>3</v>
      </c>
      <c r="AK42" s="79">
        <f>((($W$39)^M42)*((1-($W$39))^($U$31-M42))*HLOOKUP($U$31,$AV$24:$BF$34,M42+1))*V45</f>
        <v>2.5886343917450767E-3</v>
      </c>
      <c r="AL42" s="28">
        <v>3</v>
      </c>
      <c r="AM42" s="79">
        <f>((($W$39)^Q42)*((1-($W$39))^($U$32-Q42))*HLOOKUP($U$32,$AV$24:$BF$34,Q42+1))*V46</f>
        <v>1.7484863841222547E-3</v>
      </c>
      <c r="AN42" s="28">
        <v>3</v>
      </c>
      <c r="AO42" s="79">
        <f>((($W$39)^Q42)*((1-($W$39))^($U$33-Q42))*HLOOKUP($U$33,$AV$24:$BF$34,Q42+1))*V47</f>
        <v>7.1364557330685148E-4</v>
      </c>
      <c r="AP42" s="28">
        <v>3</v>
      </c>
      <c r="AQ42" s="79">
        <f>((($W$39)^Q42)*((1-($W$39))^($U$34-Q42))*HLOOKUP($U$34,$AV$24:$BF$34,Q42+1))*V48</f>
        <v>1.6464251216490394E-4</v>
      </c>
      <c r="AR42" s="28">
        <v>3</v>
      </c>
      <c r="AS42" s="79">
        <f>((($W$39)^Q42)*((1-($W$39))^($U$35-Q42))*HLOOKUP($U$35,$AV$24:$BF$34,Q42+1))*V49</f>
        <v>1.7602480693196702E-5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1.3788662794700913E-8</v>
      </c>
      <c r="BP42">
        <f t="shared" si="38"/>
        <v>9</v>
      </c>
      <c r="BQ42">
        <v>3</v>
      </c>
      <c r="BR42" s="107">
        <f t="shared" si="39"/>
        <v>5.9132344675109601E-6</v>
      </c>
    </row>
    <row r="43" spans="1:70" ht="15" customHeight="1" x14ac:dyDescent="0.25">
      <c r="G43" s="91">
        <v>4</v>
      </c>
      <c r="H43" s="132">
        <f>J43*L39+J42*L40+J41*L41+J40*L42</f>
        <v>3.5087454311701821E-2</v>
      </c>
      <c r="I43" s="93">
        <v>4</v>
      </c>
      <c r="J43" s="86">
        <f t="shared" si="37"/>
        <v>7.7363329391494883E-4</v>
      </c>
      <c r="K43" s="95">
        <v>4</v>
      </c>
      <c r="L43" s="86"/>
      <c r="M43" s="85">
        <v>4</v>
      </c>
      <c r="N43" s="71">
        <f>(($C$24)^M29)*((1-($C$24))^($B$21-M29))*HLOOKUP($B$21,$AV$24:$BF$34,M29+1)</f>
        <v>9.6433247033885519E-2</v>
      </c>
      <c r="O43" s="72">
        <v>4</v>
      </c>
      <c r="P43" s="71">
        <f t="shared" si="40"/>
        <v>9.6433247033885519E-2</v>
      </c>
      <c r="Q43" s="28">
        <v>4</v>
      </c>
      <c r="R43" s="37">
        <f>P43*N39+P42*N40+P41*N41+P40*N42+P39*N43</f>
        <v>0.24663388970860836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0.24574971747008165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3.5161320113701217E-5</v>
      </c>
      <c r="AH43" s="28">
        <v>4</v>
      </c>
      <c r="AI43" s="79">
        <f>((($W$39)^M43)*((1-($W$39))^($U$30-M43))*HLOOKUP($U$30,$AV$24:$BF$34,M43+1))*V44</f>
        <v>1.4169461443978084E-4</v>
      </c>
      <c r="AJ43" s="28">
        <v>4</v>
      </c>
      <c r="AK43" s="79">
        <f>((($W$39)^M43)*((1-($W$39))^($U$31-M43))*HLOOKUP($U$31,$AV$24:$BF$34,M43+1))*V45</f>
        <v>2.3841142357287415E-4</v>
      </c>
      <c r="AL43" s="28">
        <v>4</v>
      </c>
      <c r="AM43" s="79">
        <f>((($W$39)^Q43)*((1-($W$39))^($U$32-Q43))*HLOOKUP($U$32,$AV$24:$BF$34,Q43+1))*V46</f>
        <v>2.1471250337794603E-4</v>
      </c>
      <c r="AN43" s="28">
        <v>4</v>
      </c>
      <c r="AO43" s="79">
        <f>((($W$39)^Q43)*((1-($W$39))^($U$33-Q43))*HLOOKUP($U$33,$AV$24:$BF$34,Q43+1))*V47</f>
        <v>1.095437666549408E-4</v>
      </c>
      <c r="AP43" s="28">
        <v>4</v>
      </c>
      <c r="AQ43" s="79">
        <f>((($W$39)^Q43)*((1-($W$39))^($U$34-Q43))*HLOOKUP($U$34,$AV$24:$BF$34,Q43+1))*V48</f>
        <v>3.0326921276347254E-5</v>
      </c>
      <c r="AR43" s="28">
        <v>4</v>
      </c>
      <c r="AS43" s="79">
        <f>((($W$39)^Q43)*((1-($W$39))^($U$35-Q43))*HLOOKUP($U$35,$AV$24:$BF$34,Q43+1))*V49</f>
        <v>3.7827444793584613E-6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3.8206804137756174E-10</v>
      </c>
      <c r="BP43">
        <f t="shared" si="38"/>
        <v>9</v>
      </c>
      <c r="BQ43">
        <v>4</v>
      </c>
      <c r="BR43" s="107">
        <f t="shared" si="39"/>
        <v>1.6477496452096276E-6</v>
      </c>
    </row>
    <row r="44" spans="1:70" ht="15" customHeight="1" thickBot="1" x14ac:dyDescent="0.3">
      <c r="G44" s="91">
        <v>5</v>
      </c>
      <c r="H44" s="132">
        <f>J44*L39+J43*L40+J42*L41+J41*L42</f>
        <v>6.0859609665092542E-3</v>
      </c>
      <c r="I44" s="93">
        <v>5</v>
      </c>
      <c r="J44" s="86">
        <f t="shared" si="37"/>
        <v>4.6053608442605558E-5</v>
      </c>
      <c r="K44" s="95">
        <v>5</v>
      </c>
      <c r="L44" s="86"/>
      <c r="M44" s="85">
        <v>5</v>
      </c>
      <c r="N44" s="71">
        <f>(($C$24)^M30)*((1-($C$24))^($B$21-M30))*HLOOKUP($B$21,$AV$24:$BF$34,M30+1)</f>
        <v>1.4468610135779585E-2</v>
      </c>
      <c r="O44" s="72">
        <v>5</v>
      </c>
      <c r="P44" s="71">
        <f t="shared" si="40"/>
        <v>1.4468610135779585E-2</v>
      </c>
      <c r="Q44" s="28">
        <v>5</v>
      </c>
      <c r="R44" s="37">
        <f>P44*N39+P43*N40+P42*N41+P41*N42+P40*N43+P39*N44</f>
        <v>0.22202609823212552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0.22238896783805054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3.4799933997554056E-6</v>
      </c>
      <c r="AJ44" s="28">
        <v>5</v>
      </c>
      <c r="AK44" s="79">
        <f>((($W$39)^M44)*((1-($W$39))^($U$31-M44))*HLOOKUP($U$31,$AV$24:$BF$34,M44+1))*V45</f>
        <v>1.171068051866567E-5</v>
      </c>
      <c r="AL44" s="28">
        <v>5</v>
      </c>
      <c r="AM44" s="79">
        <f>((($W$39)^Q44)*((1-($W$39))^($U$32-Q44))*HLOOKUP($U$32,$AV$24:$BF$34,Q44+1))*V46</f>
        <v>1.581989754983453E-5</v>
      </c>
      <c r="AN44" s="28">
        <v>5</v>
      </c>
      <c r="AO44" s="79">
        <f>((($W$39)^Q44)*((1-($W$39))^($U$33-Q44))*HLOOKUP($U$33,$AV$24:$BF$34,Q44+1))*V47</f>
        <v>1.0761498210803271E-5</v>
      </c>
      <c r="AP44" s="28">
        <v>5</v>
      </c>
      <c r="AQ44" s="79">
        <f>((($W$39)^Q44)*((1-($W$39))^($U$34-Q44))*HLOOKUP($U$34,$AV$24:$BF$34,Q44+1))*V48</f>
        <v>3.7241177547168832E-6</v>
      </c>
      <c r="AR44" s="28">
        <v>5</v>
      </c>
      <c r="AS44" s="79">
        <f>((($W$39)^Q44)*((1-($W$39))^($U$35-Q44))*HLOOKUP($U$35,$AV$24:$BF$34,Q44+1))*V49</f>
        <v>5.5742100882979787E-7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2.8768503678136386E-5</v>
      </c>
      <c r="BP44">
        <f t="shared" si="38"/>
        <v>9</v>
      </c>
      <c r="BQ44">
        <v>5</v>
      </c>
      <c r="BR44" s="107">
        <f t="shared" si="39"/>
        <v>2.8580414909099966E-7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7.0050932154271724E-4</v>
      </c>
      <c r="I45" s="93">
        <v>6</v>
      </c>
      <c r="J45" s="86">
        <f t="shared" si="37"/>
        <v>1.9099051301903519E-6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0.13880106853258997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0.14004504459022094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2.3967678113435818E-7</v>
      </c>
      <c r="AL45" s="28">
        <v>6</v>
      </c>
      <c r="AM45" s="79">
        <f>((($W$39)^Q45)*((1-($W$39))^($U$32-Q45))*HLOOKUP($U$32,$AV$24:$BF$34,Q45+1))*V46</f>
        <v>6.4755624006241545E-7</v>
      </c>
      <c r="AN45" s="28">
        <v>6</v>
      </c>
      <c r="AO45" s="79">
        <f>((($W$39)^Q45)*((1-($W$39))^($U$33-Q45))*HLOOKUP($U$33,$AV$24:$BF$34,Q45+1))*V47</f>
        <v>6.6075099066293275E-7</v>
      </c>
      <c r="AP45" s="28">
        <v>6</v>
      </c>
      <c r="AQ45" s="79">
        <f>((($W$39)^Q45)*((1-($W$39))^($U$34-Q45))*HLOOKUP($U$34,$AV$24:$BF$34,Q45+1))*V48</f>
        <v>3.0487880002982377E-7</v>
      </c>
      <c r="AR45" s="28">
        <v>6</v>
      </c>
      <c r="AS45" s="79">
        <f>((($W$39)^Q45)*((1-($W$39))^($U$35-Q45))*HLOOKUP($U$35,$AV$24:$BF$34,Q45+1))*V49</f>
        <v>5.7042318300822048E-8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2.2902573543666992E-6</v>
      </c>
      <c r="BP45">
        <f t="shared" si="38"/>
        <v>9</v>
      </c>
      <c r="BQ45">
        <v>6</v>
      </c>
      <c r="BR45" s="107">
        <f t="shared" si="39"/>
        <v>3.289677204233928E-8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5.5767468597433991E-5</v>
      </c>
      <c r="I46" s="93">
        <v>7</v>
      </c>
      <c r="J46" s="86">
        <f t="shared" si="37"/>
        <v>5.4590570700450856E-8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5.9501071875345729E-2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6.0690858384898655E-2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1.1359900658273735E-8</v>
      </c>
      <c r="AN46" s="28">
        <v>7</v>
      </c>
      <c r="AO46" s="79">
        <f>((($W$39)^Q46)*((1-($W$39))^($U$33-Q46))*HLOOKUP($U$33,$AV$24:$BF$34,Q46+1))*V47</f>
        <v>2.3182745063389062E-8</v>
      </c>
      <c r="AP46" s="28">
        <v>7</v>
      </c>
      <c r="AQ46" s="79">
        <f>((($W$39)^Q46)*((1-($W$39))^($U$34-Q46))*HLOOKUP($U$34,$AV$24:$BF$34,Q46+1))*V48</f>
        <v>1.6045214300546366E-8</v>
      </c>
      <c r="AR46" s="28">
        <v>7</v>
      </c>
      <c r="AS46" s="79">
        <f>((($W$39)^Q46)*((1-($W$39))^($U$35-Q46))*HLOOKUP($U$35,$AV$24:$BF$34,Q46+1))*V49</f>
        <v>4.0027106782416939E-9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1.2874030755157052E-7</v>
      </c>
      <c r="BP46">
        <f t="shared" si="38"/>
        <v>9</v>
      </c>
      <c r="BQ46">
        <v>7</v>
      </c>
      <c r="BR46" s="107">
        <f t="shared" si="39"/>
        <v>2.6189083362771893E-9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3.1348097387035706E-6</v>
      </c>
      <c r="I47" s="93">
        <v>8</v>
      </c>
      <c r="J47" s="86">
        <f t="shared" si="37"/>
        <v>1.0327602282463283E-9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1.6738868040297103E-2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1.7383037355689523E-2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3.5585244421504091E-10</v>
      </c>
      <c r="AP47" s="28">
        <v>8</v>
      </c>
      <c r="AQ47" s="79">
        <f>((($W$39)^Q47)*((1-($W$39))^($U$34-Q47))*HLOOKUP($U$34,$AV$24:$BF$34,Q47+1))*V48</f>
        <v>4.9258435195584665E-10</v>
      </c>
      <c r="AR47" s="28">
        <v>8</v>
      </c>
      <c r="AS47" s="79">
        <f>((($W$39)^Q47)*((1-($W$39))^($U$35-Q47))*HLOOKUP($U$35,$AV$24:$BF$34,Q47+1))*V49</f>
        <v>1.8432343207544077E-10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5.1232220788040662E-9</v>
      </c>
      <c r="BP47">
        <f>BL12+1</f>
        <v>9</v>
      </c>
      <c r="BQ47">
        <v>8</v>
      </c>
      <c r="BR47" s="107">
        <f t="shared" si="39"/>
        <v>1.4721448837129846E-10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1.2474979104537811E-7</v>
      </c>
      <c r="I48" s="93">
        <v>9</v>
      </c>
      <c r="J48" s="86">
        <f t="shared" si="37"/>
        <v>1.1750932570194127E-11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2.7905101109212253E-3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3.0018974837981533E-3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6.7209889710367937E-12</v>
      </c>
      <c r="AR48" s="28">
        <v>9</v>
      </c>
      <c r="AS48" s="79">
        <f>((($W$39)^Q48)*((1-($W$39))^($U$35-Q48))*HLOOKUP($U$35,$AV$24:$BF$34,Q48+1))*V49</f>
        <v>5.0299435991573339E-12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1.4195861152998832E-10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3.456673720767537E-9</v>
      </c>
      <c r="I49" s="94">
        <v>10</v>
      </c>
      <c r="J49" s="89">
        <f t="shared" si="37"/>
        <v>6.1767240044428826E-14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2.0934067926118376E-4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2.5224805950019302E-4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6.1767240044428826E-14</v>
      </c>
      <c r="BH49">
        <f>BP14+1</f>
        <v>6</v>
      </c>
      <c r="BI49">
        <v>0</v>
      </c>
      <c r="BJ49" s="107">
        <f>$H$31*H39</f>
        <v>2.4394757289607515E-3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6.3692981703594273E-7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3.5803199311916191E-8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1.4247887448393306E-9</v>
      </c>
    </row>
    <row r="53" spans="1:62" x14ac:dyDescent="0.25">
      <c r="BH53">
        <f>BH48+1</f>
        <v>6</v>
      </c>
      <c r="BI53">
        <v>10</v>
      </c>
      <c r="BJ53" s="107">
        <f>$H$31*H49</f>
        <v>3.9479263016480595E-11</v>
      </c>
    </row>
    <row r="54" spans="1:62" x14ac:dyDescent="0.25">
      <c r="BH54">
        <f>BH51+1</f>
        <v>7</v>
      </c>
      <c r="BI54">
        <v>8</v>
      </c>
      <c r="BJ54" s="107">
        <f>$H$32*H47</f>
        <v>7.5627215524231505E-9</v>
      </c>
    </row>
    <row r="55" spans="1:62" x14ac:dyDescent="0.25">
      <c r="BH55">
        <f>BH52+1</f>
        <v>7</v>
      </c>
      <c r="BI55">
        <v>9</v>
      </c>
      <c r="BJ55" s="107">
        <f>$H$32*H48</f>
        <v>3.0095859463207395E-10</v>
      </c>
    </row>
    <row r="56" spans="1:62" x14ac:dyDescent="0.25">
      <c r="BH56">
        <f>BH53+1</f>
        <v>7</v>
      </c>
      <c r="BI56">
        <v>10</v>
      </c>
      <c r="BJ56" s="107">
        <f>$H$32*H49</f>
        <v>8.3392176963679416E-12</v>
      </c>
    </row>
    <row r="57" spans="1:62" x14ac:dyDescent="0.25">
      <c r="BH57">
        <f>BH55+1</f>
        <v>8</v>
      </c>
      <c r="BI57">
        <v>9</v>
      </c>
      <c r="BJ57" s="107">
        <f>$H$33*H48</f>
        <v>4.8385983207823508E-11</v>
      </c>
    </row>
    <row r="58" spans="1:62" x14ac:dyDescent="0.25">
      <c r="BH58">
        <f>BH56+1</f>
        <v>8</v>
      </c>
      <c r="BI58">
        <v>10</v>
      </c>
      <c r="BJ58" s="107">
        <f>$H$33*H49</f>
        <v>1.3407201343298724E-12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1.6232961349665657E-13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7"/>
      <c r="Q1" s="21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9" t="s">
        <v>23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0" t="s">
        <v>130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Xantia-OBIWAN (2)</vt:lpstr>
      <vt:lpstr>Xantia-OBIWAN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2019-08-23T12:53:05Z</dcterms:modified>
</cp:coreProperties>
</file>