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2" activeTab="4"/>
  </bookViews>
  <sheets>
    <sheet name="Resistencia" sheetId="6" r:id="rId1"/>
    <sheet name="TL_v1" sheetId="7" r:id="rId2"/>
    <sheet name="CA_v1" sheetId="14"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Gomis" sheetId="15" r:id="rId10"/>
    <sheet name="Peñuela" sheetId="16" r:id="rId11"/>
    <sheet name="Minaya" sheetId="17" r:id="rId12"/>
    <sheet name="Cubas" sheetId="18" r:id="rId13"/>
    <sheet name="Riquelme" sheetId="20" r:id="rId14"/>
    <sheet name="Duffill" sheetId="19" r:id="rId15"/>
    <sheet name="Calculador de Sueldo" sheetId="2" r:id="rId16"/>
    <sheet name="Empleados" sheetId="4" r:id="rId17"/>
  </sheets>
  <calcPr calcId="152511"/>
</workbook>
</file>

<file path=xl/calcChain.xml><?xml version="1.0" encoding="utf-8"?>
<calcChain xmlns="http://schemas.openxmlformats.org/spreadsheetml/2006/main">
  <c r="AB23" i="1" l="1"/>
  <c r="AB21" i="1"/>
  <c r="AB17" i="1"/>
  <c r="AB14" i="1"/>
  <c r="AB20" i="1"/>
  <c r="AB19" i="1"/>
  <c r="AB5" i="1"/>
  <c r="AB9" i="1"/>
  <c r="AB11" i="1"/>
  <c r="AB13" i="1"/>
  <c r="AB8" i="1"/>
  <c r="AB7" i="1"/>
  <c r="AB4" i="1"/>
  <c r="N11" i="1" l="1"/>
  <c r="AI11" i="1" s="1"/>
  <c r="AR11" i="1"/>
  <c r="U11" i="1"/>
  <c r="W11" i="1"/>
  <c r="R11" i="1"/>
  <c r="S11" i="1"/>
  <c r="P11" i="1"/>
  <c r="J11" i="1"/>
  <c r="K11" i="1"/>
  <c r="L11" i="1"/>
  <c r="AM11" i="1" l="1"/>
  <c r="AL11" i="1"/>
  <c r="AK11" i="1"/>
  <c r="AN11" i="1"/>
  <c r="AH11" i="1"/>
  <c r="AG11" i="1"/>
  <c r="AJ11" i="1"/>
  <c r="AC23" i="1"/>
  <c r="AC22" i="1"/>
  <c r="AC21" i="1"/>
  <c r="AC17" i="1"/>
  <c r="AC16" i="1"/>
  <c r="AC15" i="1"/>
  <c r="AC14" i="1"/>
  <c r="AC20" i="1"/>
  <c r="AC7" i="1"/>
  <c r="AC19" i="1"/>
  <c r="AC18" i="1"/>
  <c r="AC5" i="1"/>
  <c r="AC6" i="1"/>
  <c r="AC10" i="1"/>
  <c r="AC9" i="1"/>
  <c r="AC13" i="1"/>
  <c r="AC8" i="1"/>
  <c r="AC12" i="1"/>
  <c r="AC4" i="1"/>
  <c r="A11" i="10" l="1"/>
  <c r="B11" i="10"/>
  <c r="D11" i="10"/>
  <c r="E11" i="10"/>
  <c r="G11" i="10"/>
  <c r="H11" i="10"/>
  <c r="I11" i="10"/>
  <c r="L11" i="10" s="1"/>
  <c r="J11" i="10"/>
  <c r="M11" i="10"/>
  <c r="N11" i="10"/>
  <c r="O11" i="10"/>
  <c r="P11" i="10"/>
  <c r="Q11" i="10"/>
  <c r="AH11" i="10" s="1"/>
  <c r="R11" i="10"/>
  <c r="S11" i="10"/>
  <c r="Y11" i="10"/>
  <c r="AD11" i="10"/>
  <c r="AE11" i="10"/>
  <c r="AF11" i="10"/>
  <c r="AG11" i="10"/>
  <c r="AI11" i="10"/>
  <c r="AJ11" i="10"/>
  <c r="U12" i="1"/>
  <c r="AR12" i="1"/>
  <c r="W12" i="1"/>
  <c r="R12" i="1"/>
  <c r="S12" i="1"/>
  <c r="P12" i="1"/>
  <c r="N12" i="1"/>
  <c r="AI12" i="1" s="1"/>
  <c r="J12" i="1"/>
  <c r="K12" i="1"/>
  <c r="L12" i="1"/>
  <c r="AC11" i="10" l="1"/>
  <c r="K11" i="10"/>
  <c r="AM12" i="1"/>
  <c r="AL12" i="1"/>
  <c r="AK12" i="1"/>
  <c r="AN12" i="1"/>
  <c r="AH12" i="1"/>
  <c r="AG12" i="1"/>
  <c r="AJ12" i="1"/>
  <c r="U17" i="1" l="1"/>
  <c r="AR17" i="1"/>
  <c r="W17" i="1"/>
  <c r="R17" i="1"/>
  <c r="S17" i="1"/>
  <c r="P17" i="1"/>
  <c r="AI17" i="1"/>
  <c r="J17" i="1"/>
  <c r="K17" i="1"/>
  <c r="L17" i="1"/>
  <c r="AM17" i="1" l="1"/>
  <c r="AL17" i="1"/>
  <c r="AK17" i="1"/>
  <c r="AN17" i="1"/>
  <c r="AH17" i="1"/>
  <c r="AG17" i="1"/>
  <c r="AJ17" i="1"/>
  <c r="C1" i="20"/>
  <c r="C1" i="19"/>
  <c r="C1" i="18"/>
  <c r="C1" i="17"/>
  <c r="I1" i="15"/>
  <c r="C1" i="16"/>
  <c r="E20" i="10" l="1"/>
  <c r="H20" i="10"/>
  <c r="I20" i="10"/>
  <c r="L20" i="10" s="1"/>
  <c r="J20" i="10"/>
  <c r="M20" i="10"/>
  <c r="N20" i="10"/>
  <c r="AE20" i="10" s="1"/>
  <c r="O20" i="10"/>
  <c r="AF20" i="10" s="1"/>
  <c r="P20" i="10"/>
  <c r="R20" i="10"/>
  <c r="S20" i="10"/>
  <c r="AJ20" i="10" s="1"/>
  <c r="AD20" i="10"/>
  <c r="E21" i="10"/>
  <c r="H21" i="10"/>
  <c r="I21" i="10"/>
  <c r="J21" i="10"/>
  <c r="M21" i="10"/>
  <c r="AD21" i="10" s="1"/>
  <c r="N21" i="10"/>
  <c r="AE21" i="10" s="1"/>
  <c r="O21" i="10"/>
  <c r="AF21" i="10" s="1"/>
  <c r="P21" i="10"/>
  <c r="R21" i="10"/>
  <c r="S21" i="10"/>
  <c r="AJ21" i="10" s="1"/>
  <c r="K20" i="10" l="1"/>
  <c r="L21" i="10"/>
  <c r="K21" i="10"/>
  <c r="AC21" i="10"/>
  <c r="AC20" i="10"/>
  <c r="AR23" i="1" l="1"/>
  <c r="Q21" i="10"/>
  <c r="AH21" i="10" s="1"/>
  <c r="W23" i="1"/>
  <c r="U23" i="1"/>
  <c r="S23" i="1"/>
  <c r="R23" i="1"/>
  <c r="P23" i="1"/>
  <c r="N23" i="1"/>
  <c r="AK23" i="1" s="1"/>
  <c r="L23" i="1"/>
  <c r="K23" i="1"/>
  <c r="J23" i="1"/>
  <c r="AR22" i="1"/>
  <c r="Q20" i="10"/>
  <c r="AH20" i="10" s="1"/>
  <c r="W22" i="1"/>
  <c r="U22" i="1"/>
  <c r="S22" i="1"/>
  <c r="R22" i="1"/>
  <c r="P22" i="1"/>
  <c r="N22" i="1"/>
  <c r="AI22" i="1" s="1"/>
  <c r="L22" i="1"/>
  <c r="K22" i="1"/>
  <c r="J22" i="1"/>
  <c r="AR21" i="1"/>
  <c r="W21" i="1"/>
  <c r="U21" i="1"/>
  <c r="S21" i="1"/>
  <c r="R21" i="1"/>
  <c r="P21" i="1"/>
  <c r="N21" i="1"/>
  <c r="L21" i="1"/>
  <c r="K21" i="1"/>
  <c r="J21" i="1"/>
  <c r="AR20" i="1"/>
  <c r="W20" i="1"/>
  <c r="U20" i="1"/>
  <c r="S20" i="1"/>
  <c r="R20" i="1"/>
  <c r="P20" i="1"/>
  <c r="N20" i="1"/>
  <c r="AI20" i="1" s="1"/>
  <c r="L20" i="1"/>
  <c r="K20" i="1"/>
  <c r="J20" i="1"/>
  <c r="AR19" i="1"/>
  <c r="W19" i="1"/>
  <c r="U19" i="1"/>
  <c r="S19" i="1"/>
  <c r="R19" i="1"/>
  <c r="P19" i="1"/>
  <c r="N19" i="1"/>
  <c r="AK19" i="1" s="1"/>
  <c r="L19" i="1"/>
  <c r="K19" i="1"/>
  <c r="J19" i="1"/>
  <c r="AR18" i="1"/>
  <c r="AN18" i="1"/>
  <c r="AM18" i="1"/>
  <c r="AL18" i="1"/>
  <c r="AJ18" i="1"/>
  <c r="AI18" i="1"/>
  <c r="AH18" i="1"/>
  <c r="AG18" i="1"/>
  <c r="AB18" i="1"/>
  <c r="AK18" i="1" s="1"/>
  <c r="W18" i="1"/>
  <c r="U18" i="1"/>
  <c r="S18" i="1"/>
  <c r="R18" i="1"/>
  <c r="P18" i="1"/>
  <c r="L18" i="1"/>
  <c r="K18" i="1"/>
  <c r="J18" i="1"/>
  <c r="AR16" i="1"/>
  <c r="AB16" i="1"/>
  <c r="W16" i="1"/>
  <c r="U16" i="1"/>
  <c r="S16" i="1"/>
  <c r="R16" i="1"/>
  <c r="P16" i="1"/>
  <c r="N16" i="1"/>
  <c r="AI16" i="1" s="1"/>
  <c r="L16" i="1"/>
  <c r="K16" i="1"/>
  <c r="J16" i="1"/>
  <c r="AR15" i="1"/>
  <c r="W15" i="1"/>
  <c r="U15" i="1"/>
  <c r="S15" i="1"/>
  <c r="R15" i="1"/>
  <c r="P15" i="1"/>
  <c r="N15" i="1"/>
  <c r="AK15" i="1" s="1"/>
  <c r="L15" i="1"/>
  <c r="K15" i="1"/>
  <c r="J15" i="1"/>
  <c r="AR14" i="1"/>
  <c r="W14" i="1"/>
  <c r="U14" i="1"/>
  <c r="S14" i="1"/>
  <c r="R14" i="1"/>
  <c r="P14" i="1"/>
  <c r="N14" i="1"/>
  <c r="AI14" i="1" s="1"/>
  <c r="L14" i="1"/>
  <c r="K14" i="1"/>
  <c r="J14" i="1"/>
  <c r="AR13" i="1"/>
  <c r="W13" i="1"/>
  <c r="U13" i="1"/>
  <c r="S13" i="1"/>
  <c r="R13" i="1"/>
  <c r="P13" i="1"/>
  <c r="N13" i="1"/>
  <c r="AK13" i="1" s="1"/>
  <c r="L13" i="1"/>
  <c r="K13" i="1"/>
  <c r="J13" i="1"/>
  <c r="AR10" i="1"/>
  <c r="W10" i="1"/>
  <c r="U10" i="1"/>
  <c r="S10" i="1"/>
  <c r="R10" i="1"/>
  <c r="P10" i="1"/>
  <c r="N10" i="1"/>
  <c r="AL10" i="1" s="1"/>
  <c r="L10" i="1"/>
  <c r="K10" i="1"/>
  <c r="J10" i="1"/>
  <c r="AR9" i="1"/>
  <c r="W9" i="1"/>
  <c r="U9" i="1"/>
  <c r="S9" i="1"/>
  <c r="R9" i="1"/>
  <c r="P9" i="1"/>
  <c r="N9" i="1"/>
  <c r="AI9" i="1" s="1"/>
  <c r="L9" i="1"/>
  <c r="K9" i="1"/>
  <c r="J9" i="1"/>
  <c r="AR8" i="1"/>
  <c r="W8" i="1"/>
  <c r="U8" i="1"/>
  <c r="S8" i="1"/>
  <c r="R8" i="1"/>
  <c r="P8" i="1"/>
  <c r="N8" i="1"/>
  <c r="L8" i="1"/>
  <c r="K8" i="1"/>
  <c r="J8" i="1"/>
  <c r="AR7" i="1"/>
  <c r="W7" i="1"/>
  <c r="U7" i="1"/>
  <c r="S7" i="1"/>
  <c r="R7" i="1"/>
  <c r="P7" i="1"/>
  <c r="N7" i="1"/>
  <c r="L7" i="1"/>
  <c r="K7" i="1"/>
  <c r="J7" i="1"/>
  <c r="AR6" i="1"/>
  <c r="AN6" i="1"/>
  <c r="AM6" i="1"/>
  <c r="AL6" i="1"/>
  <c r="AK6" i="1"/>
  <c r="AJ6" i="1"/>
  <c r="AI6" i="1"/>
  <c r="AH6" i="1"/>
  <c r="AG6" i="1"/>
  <c r="W6" i="1"/>
  <c r="U6" i="1"/>
  <c r="S6" i="1"/>
  <c r="R6" i="1"/>
  <c r="P6" i="1"/>
  <c r="L6" i="1"/>
  <c r="K6" i="1"/>
  <c r="J6" i="1"/>
  <c r="AR5" i="1"/>
  <c r="W5" i="1"/>
  <c r="U5" i="1"/>
  <c r="S5" i="1"/>
  <c r="R5" i="1"/>
  <c r="P5" i="1"/>
  <c r="N5" i="1"/>
  <c r="AI5" i="1" s="1"/>
  <c r="L5" i="1"/>
  <c r="K5" i="1"/>
  <c r="J5" i="1"/>
  <c r="AR4" i="1"/>
  <c r="W4" i="1"/>
  <c r="U4" i="1"/>
  <c r="S4" i="1"/>
  <c r="R4" i="1"/>
  <c r="P4" i="1"/>
  <c r="N4" i="1"/>
  <c r="AK4" i="1" s="1"/>
  <c r="L4" i="1"/>
  <c r="K4" i="1"/>
  <c r="J4" i="1"/>
  <c r="AR24" i="1"/>
  <c r="AK21" i="1" l="1"/>
  <c r="AK8" i="1"/>
  <c r="AM10" i="1"/>
  <c r="AM14" i="1"/>
  <c r="AM16" i="1"/>
  <c r="AM19" i="1"/>
  <c r="AM23" i="1"/>
  <c r="AM7" i="1"/>
  <c r="AN9" i="1"/>
  <c r="AL23" i="1"/>
  <c r="AJ9" i="1"/>
  <c r="AN13" i="1"/>
  <c r="AM5" i="1"/>
  <c r="AJ10" i="1"/>
  <c r="AH13" i="1"/>
  <c r="AL19" i="1"/>
  <c r="AM20" i="1"/>
  <c r="AN22" i="1"/>
  <c r="AN5" i="1"/>
  <c r="AM9" i="1"/>
  <c r="AJ13" i="1"/>
  <c r="AN20" i="1"/>
  <c r="AM21" i="1"/>
  <c r="AM22" i="1"/>
  <c r="AL4" i="1"/>
  <c r="AN15" i="1"/>
  <c r="AL21" i="1"/>
  <c r="AN4" i="1"/>
  <c r="AH14" i="1"/>
  <c r="AH16" i="1"/>
  <c r="AH21" i="1"/>
  <c r="AH23" i="1"/>
  <c r="AN23" i="1"/>
  <c r="AH4" i="1"/>
  <c r="AL7" i="1"/>
  <c r="AK10" i="1"/>
  <c r="AH10" i="1"/>
  <c r="AN10" i="1"/>
  <c r="AJ14" i="1"/>
  <c r="AJ15" i="1"/>
  <c r="AJ16" i="1"/>
  <c r="AI19" i="1"/>
  <c r="AH20" i="1"/>
  <c r="AI21" i="1"/>
  <c r="AH22" i="1"/>
  <c r="AI23" i="1"/>
  <c r="AH15" i="1"/>
  <c r="AI15" i="1"/>
  <c r="AH19" i="1"/>
  <c r="AN19" i="1"/>
  <c r="AN21" i="1"/>
  <c r="AH5" i="1"/>
  <c r="AI7" i="1"/>
  <c r="AJ4" i="1"/>
  <c r="AJ5" i="1"/>
  <c r="AH9" i="1"/>
  <c r="AI10" i="1"/>
  <c r="AL13" i="1"/>
  <c r="AN14" i="1"/>
  <c r="AM15" i="1"/>
  <c r="AL15" i="1"/>
  <c r="AN16" i="1"/>
  <c r="AJ19" i="1"/>
  <c r="AJ20" i="1"/>
  <c r="AJ21" i="1"/>
  <c r="AJ22" i="1"/>
  <c r="AJ23" i="1"/>
  <c r="AL8" i="1"/>
  <c r="AI4" i="1"/>
  <c r="AM4" i="1"/>
  <c r="AG5" i="1"/>
  <c r="AK5" i="1"/>
  <c r="AJ7" i="1"/>
  <c r="AN7" i="1"/>
  <c r="AI8" i="1"/>
  <c r="AM8" i="1"/>
  <c r="AG9" i="1"/>
  <c r="AK9" i="1"/>
  <c r="AI13" i="1"/>
  <c r="AM13" i="1"/>
  <c r="AG14" i="1"/>
  <c r="AK14" i="1"/>
  <c r="AG16" i="1"/>
  <c r="AK16" i="1"/>
  <c r="AG20" i="1"/>
  <c r="AK20" i="1"/>
  <c r="AG22" i="1"/>
  <c r="AK22" i="1"/>
  <c r="AH8" i="1"/>
  <c r="AL5" i="1"/>
  <c r="AG7" i="1"/>
  <c r="AK7" i="1"/>
  <c r="AJ8" i="1"/>
  <c r="AN8" i="1"/>
  <c r="AL9" i="1"/>
  <c r="AL14" i="1"/>
  <c r="AL16" i="1"/>
  <c r="AL20" i="1"/>
  <c r="AL22" i="1"/>
  <c r="AG4" i="1"/>
  <c r="AH7" i="1"/>
  <c r="AG8" i="1"/>
  <c r="AG10" i="1"/>
  <c r="AG13" i="1"/>
  <c r="AG15" i="1"/>
  <c r="AG19" i="1"/>
  <c r="AG21" i="1"/>
  <c r="AG23" i="1"/>
  <c r="AG7" i="10" l="1"/>
  <c r="AI7" i="10"/>
  <c r="A19" i="10"/>
  <c r="B19" i="10"/>
  <c r="D19" i="10"/>
  <c r="E19" i="10"/>
  <c r="H19" i="10"/>
  <c r="I19" i="10"/>
  <c r="AC19" i="10" s="1"/>
  <c r="J19" i="10"/>
  <c r="M19" i="10"/>
  <c r="AD19" i="10" s="1"/>
  <c r="N19" i="10"/>
  <c r="AE19" i="10" s="1"/>
  <c r="O19" i="10"/>
  <c r="AF19" i="10" s="1"/>
  <c r="P19" i="10"/>
  <c r="Q19" i="10"/>
  <c r="AH19" i="10" s="1"/>
  <c r="R19" i="10"/>
  <c r="S19" i="10"/>
  <c r="AJ19" i="10" s="1"/>
  <c r="L19" i="10" l="1"/>
  <c r="K19" i="10"/>
  <c r="J3" i="3" l="1"/>
  <c r="K3" i="3"/>
  <c r="Q3" i="3"/>
  <c r="AG18" i="10" l="1"/>
  <c r="AI18" i="10"/>
  <c r="AG17" i="10"/>
  <c r="AI17" i="10"/>
  <c r="AG16" i="10"/>
  <c r="AI16" i="10"/>
  <c r="AG15" i="10"/>
  <c r="AI15" i="10"/>
  <c r="AG14" i="10"/>
  <c r="AI14" i="10"/>
  <c r="AG13" i="10"/>
  <c r="AI13" i="10"/>
  <c r="AG12" i="10"/>
  <c r="AI12" i="10"/>
  <c r="AG10" i="10"/>
  <c r="AI10" i="10"/>
  <c r="AG8" i="10"/>
  <c r="AI8" i="10"/>
  <c r="AG6" i="10"/>
  <c r="AG5" i="10"/>
  <c r="AI4" i="10"/>
  <c r="Y18" i="10"/>
  <c r="Y17" i="10"/>
  <c r="Y16" i="10"/>
  <c r="Y15" i="10"/>
  <c r="Y12"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8" i="10"/>
  <c r="B18" i="10"/>
  <c r="D18" i="10"/>
  <c r="E18" i="10"/>
  <c r="G18" i="10"/>
  <c r="H18" i="10"/>
  <c r="I18" i="10"/>
  <c r="J18" i="10"/>
  <c r="M18" i="10"/>
  <c r="N18" i="10"/>
  <c r="AE18" i="10" s="1"/>
  <c r="O18" i="10"/>
  <c r="AF18" i="10" s="1"/>
  <c r="P18" i="10"/>
  <c r="Q18" i="10"/>
  <c r="R18" i="10"/>
  <c r="S18" i="10"/>
  <c r="A20" i="10"/>
  <c r="B20" i="10"/>
  <c r="D20" i="10"/>
  <c r="A21" i="10"/>
  <c r="B21" i="10"/>
  <c r="D21" i="10"/>
  <c r="A23" i="10"/>
  <c r="B23" i="10"/>
  <c r="C23" i="10"/>
  <c r="D23"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I10" i="3" s="1"/>
  <c r="F10" i="3"/>
  <c r="G10" i="3" s="1"/>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K18" i="3" l="1"/>
  <c r="AG18" i="3"/>
  <c r="R18" i="3"/>
  <c r="AO18" i="3" s="1"/>
  <c r="H16" i="3"/>
  <c r="K8" i="10"/>
  <c r="BA19" i="3"/>
  <c r="BC19" i="3" s="1"/>
  <c r="H9" i="3"/>
  <c r="L14" i="10"/>
  <c r="L5" i="10"/>
  <c r="S19" i="3"/>
  <c r="T19" i="3"/>
  <c r="R19" i="3"/>
  <c r="AO19" i="3" s="1"/>
  <c r="S18" i="3"/>
  <c r="T18" i="3"/>
  <c r="H12" i="3"/>
  <c r="F7" i="12"/>
  <c r="Q12" i="12" s="1"/>
  <c r="W18" i="3"/>
  <c r="Y18" i="3" s="1"/>
  <c r="BZ18" i="3"/>
  <c r="G5" i="3"/>
  <c r="K15" i="10"/>
  <c r="K6" i="10"/>
  <c r="H17" i="3"/>
  <c r="H8" i="3"/>
  <c r="L12"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7" i="10"/>
  <c r="L13" i="10"/>
  <c r="L7" i="10"/>
  <c r="K5" i="10"/>
  <c r="J15" i="12"/>
  <c r="K17"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4" i="10"/>
  <c r="K12" i="10"/>
  <c r="K18" i="10"/>
  <c r="K16" i="10"/>
  <c r="K13" i="10"/>
  <c r="L18" i="10"/>
  <c r="L16" i="10"/>
  <c r="K10" i="10"/>
  <c r="L9" i="10"/>
  <c r="K7" i="10"/>
  <c r="L15"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J18" i="12" s="1"/>
  <c r="I10" i="12"/>
  <c r="F10" i="12"/>
  <c r="J10" i="12" s="1"/>
  <c r="I12" i="12"/>
  <c r="F12" i="12"/>
  <c r="J12" i="12" s="1"/>
  <c r="I16" i="12"/>
  <c r="F16" i="12"/>
  <c r="J16" i="12" s="1"/>
  <c r="I8" i="12"/>
  <c r="F8" i="12"/>
  <c r="J8" i="12" s="1"/>
  <c r="I20" i="12"/>
  <c r="F20" i="12"/>
  <c r="J20" i="12" s="1"/>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V14" i="3"/>
  <c r="S13" i="3"/>
  <c r="BU12" i="3"/>
  <c r="AZ12" i="3"/>
  <c r="AK12" i="3"/>
  <c r="U12" i="3"/>
  <c r="V12" i="3" s="1"/>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AE13" i="3"/>
  <c r="W13" i="3"/>
  <c r="Y13" i="3" s="1"/>
  <c r="AJ13"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V10" i="3"/>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2" i="10"/>
  <c r="AJ12" i="10"/>
  <c r="AD13" i="10"/>
  <c r="AJ13" i="10"/>
  <c r="AD14" i="10"/>
  <c r="AJ14" i="10"/>
  <c r="AD15" i="10"/>
  <c r="AJ15" i="10"/>
  <c r="AD16" i="10"/>
  <c r="AD17" i="10"/>
  <c r="AD18" i="10"/>
  <c r="AC5" i="10"/>
  <c r="AC6" i="10"/>
  <c r="AC9" i="10"/>
  <c r="AC10" i="10"/>
  <c r="AC15" i="10"/>
  <c r="AC16" i="10"/>
  <c r="AC17" i="10"/>
  <c r="Y10" i="10"/>
  <c r="Y8" i="10"/>
  <c r="Y4" i="10"/>
  <c r="D2" i="10"/>
  <c r="Z1" i="10"/>
  <c r="AA1" i="10" s="1"/>
  <c r="K4" i="10" l="1"/>
  <c r="L4" i="10"/>
  <c r="AC4" i="10"/>
  <c r="AC7" i="10"/>
  <c r="AC8" i="10"/>
  <c r="AC12" i="10"/>
  <c r="AC13" i="10"/>
  <c r="AC14" i="10"/>
  <c r="AC18" i="10"/>
  <c r="AJ18" i="10" l="1"/>
  <c r="AH18" i="10"/>
  <c r="AH17" i="10"/>
  <c r="AJ16" i="10"/>
  <c r="AH15" i="10"/>
  <c r="AH10" i="10"/>
  <c r="AJ10" i="10"/>
  <c r="AH14" i="10"/>
  <c r="AH13" i="10"/>
  <c r="AH12" i="10"/>
  <c r="AH8" i="10"/>
  <c r="AH6" i="10"/>
  <c r="AH9" i="10"/>
  <c r="AH7" i="10"/>
  <c r="AJ7" i="10"/>
  <c r="AJ5" i="10"/>
  <c r="AJ4" i="10"/>
  <c r="AJ17" i="10" l="1"/>
  <c r="AH16" i="10"/>
  <c r="AH5" i="10"/>
  <c r="N2" i="1" l="1"/>
  <c r="AD2" i="1" l="1"/>
  <c r="AO2" i="1" l="1"/>
  <c r="AQ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AE2" i="1" l="1"/>
  <c r="D2" i="1" l="1"/>
  <c r="F11" i="1" l="1"/>
  <c r="C11" i="1" s="1"/>
  <c r="F8" i="1"/>
  <c r="C8" i="1" s="1"/>
  <c r="F12" i="1"/>
  <c r="F15" i="1"/>
  <c r="C15" i="1" s="1"/>
  <c r="F17" i="1"/>
  <c r="C17" i="1" s="1"/>
  <c r="F22" i="1"/>
  <c r="F9" i="1"/>
  <c r="C9" i="1" s="1"/>
  <c r="F14" i="1"/>
  <c r="C14" i="1" s="1"/>
  <c r="F23" i="1"/>
  <c r="F21" i="1"/>
  <c r="C21" i="1" s="1"/>
  <c r="C19" i="10" s="1"/>
  <c r="F19" i="1"/>
  <c r="C19" i="1" s="1"/>
  <c r="F18" i="1"/>
  <c r="C18" i="1" s="1"/>
  <c r="F10" i="1"/>
  <c r="C10" i="1" s="1"/>
  <c r="F6" i="1"/>
  <c r="C6" i="1" s="1"/>
  <c r="F7" i="1"/>
  <c r="C7" i="1" s="1"/>
  <c r="F20" i="1"/>
  <c r="C20" i="1" s="1"/>
  <c r="F16" i="1"/>
  <c r="C16" i="1" s="1"/>
  <c r="F13" i="1"/>
  <c r="C13" i="1" s="1"/>
  <c r="F5" i="1"/>
  <c r="C5" i="1" s="1"/>
  <c r="F4" i="1"/>
  <c r="C4" i="1" s="1"/>
  <c r="C12" i="1" l="1"/>
  <c r="C11" i="10" s="1"/>
  <c r="F11" i="10"/>
  <c r="C22" i="1"/>
  <c r="C20" i="10" s="1"/>
  <c r="F20" i="10"/>
  <c r="C23" i="1"/>
  <c r="F21" i="10"/>
  <c r="F19" i="10"/>
  <c r="F6" i="10"/>
  <c r="C8" i="3"/>
  <c r="F9" i="10"/>
  <c r="C12" i="3"/>
  <c r="F14" i="10"/>
  <c r="C11" i="3"/>
  <c r="F13" i="10"/>
  <c r="C9" i="3"/>
  <c r="F10" i="10"/>
  <c r="C15" i="3"/>
  <c r="F17" i="10"/>
  <c r="C17" i="3"/>
  <c r="C6" i="3"/>
  <c r="F7" i="10"/>
  <c r="C7" i="3"/>
  <c r="F8" i="10"/>
  <c r="C10" i="3"/>
  <c r="F12" i="10"/>
  <c r="C19" i="3"/>
  <c r="C16" i="3"/>
  <c r="F18" i="10"/>
  <c r="C18" i="3"/>
  <c r="C14" i="3"/>
  <c r="F16" i="10"/>
  <c r="C13" i="3"/>
  <c r="F15" i="10"/>
  <c r="C4" i="3"/>
  <c r="F5" i="10"/>
  <c r="C3" i="3"/>
  <c r="F4" i="10"/>
  <c r="C6" i="10"/>
  <c r="C5" i="3"/>
  <c r="C12" i="10"/>
  <c r="C4" i="10"/>
  <c r="C18" i="10"/>
  <c r="C8" i="10"/>
  <c r="C10" i="10"/>
  <c r="C16" i="10"/>
  <c r="C13" i="10"/>
  <c r="C5" i="10"/>
  <c r="C9" i="10"/>
  <c r="C7" i="10"/>
  <c r="C15" i="10"/>
  <c r="C14" i="10"/>
  <c r="C17" i="10"/>
  <c r="C21"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<sst xmlns="http://schemas.openxmlformats.org/spreadsheetml/2006/main" count="1465" uniqueCount="577">
  <si>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</si>
  <si>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</si>
  <si>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</si>
  <si>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</si>
  <si>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</si>
  <si>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</si>
  <si>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</si>
  <si>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</si>
  <si>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</si>
  <si>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</si>
  <si>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</si>
  <si>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</si>
  <si>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</si>
  <si>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</si>
  <si>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</si>
  <si>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</si>
  <si>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</si>
  <si>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</si>
  <si>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</si>
  <si>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</si>
  <si>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</si>
  <si>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</si>
  <si>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</si>
  <si>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</si>
  <si>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</si>
  <si>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</si>
  <si>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</si>
  <si>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</si>
  <si>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</si>
  <si>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</si>
  <si>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</si>
  <si>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</si>
  <si>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</si>
  <si>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</si>
  <si>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</si>
  <si>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</si>
  <si>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</si>
  <si>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</si>
  <si>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</si>
  <si>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</si>
  <si>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</si>
  <si>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</si>
  <si>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</si>
  <si>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</si>
  <si>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</si>
  <si>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</si>
  <si>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</si>
  <si>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</si>
  <si>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</si>
  <si>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</si>
  <si>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</si>
  <si>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</si>
  <si>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</si>
  <si>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</si>
  <si>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</si>
  <si>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</si>
  <si>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</si>
  <si>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</si>
  <si>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</si>
  <si>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</si>
  <si>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</si>
  <si>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</si>
  <si>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</si>
  <si>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</si>
  <si>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</si>
  <si>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</si>
  <si>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</si>
  <si>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</si>
  <si>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</si>
  <si>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</si>
  <si>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</si>
  <si>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</si>
  <si>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</si>
  <si>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</si>
  <si>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</si>
  <si>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</si>
  <si>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</si>
  <si>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</si>
  <si>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</si>
  <si>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</si>
  <si>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</si>
  <si>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</si>
  <si>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</si>
  <si>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</si>
  <si>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</si>
  <si>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</si>
  <si>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</si>
  <si>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</si>
  <si>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</si>
  <si>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</si>
  <si>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</si>
  <si>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</si>
  <si>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</si>
  <si>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</si>
  <si>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</si>
  <si>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</si>
  <si>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</si>
  <si>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</si>
  <si>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</si>
  <si>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</si>
  <si>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</si>
  <si>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</si>
  <si>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</si>
  <si>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</si>
  <si>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</si>
  <si>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</si>
  <si>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</si>
  <si>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</si>
  <si>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</si>
  <si>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</si>
  <si>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</si>
  <si>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</si>
  <si>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</si>
  <si>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</si>
  <si>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</si>
  <si>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</si>
  <si>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</si>
  <si>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</si>
  <si>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</si>
  <si>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</si>
  <si>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</si>
  <si>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</si>
  <si>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</si>
  <si>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</si>
  <si>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</si>
  <si>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</si>
  <si>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</si>
  <si>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</si>
  <si>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</si>
  <si>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</si>
  <si>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</si>
  <si>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</si>
  <si>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</si>
  <si>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</si>
  <si>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</si>
  <si>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</si>
  <si>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</si>
  <si>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</si>
  <si>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</si>
  <si>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</si>
  <si>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</si>
  <si>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</si>
  <si>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</si>
  <si>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</si>
  <si>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</si>
  <si>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</si>
  <si>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</si>
  <si>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</si>
  <si>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</si>
  <si>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</si>
  <si>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</si>
  <si>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</si>
  <si>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</si>
  <si>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</si>
  <si>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</si>
  <si>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</si>
  <si>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</si>
  <si>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</si>
  <si>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</si>
  <si>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</si>
  <si>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</si>
  <si>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</si>
  <si>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</si>
  <si>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</si>
  <si>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</si>
  <si>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</si>
  <si>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</si>
  <si>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</si>
  <si>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</si>
  <si>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</si>
  <si>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</si>
  <si>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</si>
  <si>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</si>
  <si>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</si>
  <si>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</si>
  <si>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</si>
  <si>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</si>
  <si>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</si>
  <si>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</si>
  <si>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</si>
  <si>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</si>
  <si>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</si>
  <si>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</si>
  <si>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</si>
  <si>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</si>
  <si>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</si>
  <si>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</si>
  <si>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</si>
  <si>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</si>
  <si>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</si>
  <si>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</si>
  <si>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</si>
  <si>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</si>
  <si>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</si>
  <si>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</si>
  <si>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</si>
  <si>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</si>
  <si>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</si>
  <si>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</si>
  <si>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</si>
  <si>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</si>
  <si>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</si>
  <si>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</si>
  <si>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</si>
  <si>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</si>
  <si>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</si>
  <si>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</si>
  <si>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</si>
  <si>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</si>
  <si>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</si>
  <si>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</si>
  <si>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</si>
  <si>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</si>
  <si>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</si>
  <si>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</si>
  <si>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</si>
  <si>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</si>
  <si>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</si>
  <si>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</si>
  <si>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</si>
  <si>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</si>
  <si>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</si>
  <si>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</si>
  <si>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</si>
  <si>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</si>
  <si>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</si>
  <si>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</si>
  <si>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</si>
  <si>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</si>
  <si>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</si>
  <si>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</si>
  <si>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</si>
  <si>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</si>
  <si>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</si>
  <si>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</si>
  <si>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</si>
  <si>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</si>
  <si>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</si>
  <si>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</si>
  <si>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</si>
  <si>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</si>
  <si>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</si>
  <si>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</si>
  <si>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</si>
  <si>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</si>
  <si>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</si>
  <si>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</si>
  <si>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</si>
  <si>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</si>
  <si>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</si>
  <si>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</si>
  <si>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</si>
  <si>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</si>
  <si>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</si>
  <si>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</si>
  <si>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</si>
  <si>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</si>
  <si>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</si>
  <si>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</si>
  <si>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</si>
  <si>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</si>
  <si>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</si>
  <si>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</si>
  <si>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</si>
  <si>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</si>
  <si>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</si>
  <si>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</si>
  <si>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</si>
  <si>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</si>
  <si>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</si>
  <si>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</si>
  <si>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</si>
  <si>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</si>
  <si>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</si>
  <si>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</si>
  <si>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</si>
  <si>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</si>
  <si>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</si>
  <si>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</si>
  <si>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</si>
  <si>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</si>
  <si>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</si>
  <si>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</si>
  <si>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</si>
  <si>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</si>
  <si>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</si>
  <si>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</si>
  <si>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</si>
  <si>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</si>
  <si>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</si>
  <si>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</si>
  <si>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</si>
  <si>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</si>
  <si>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</si>
  <si>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</si>
  <si>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</si>
  <si>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</si>
  <si>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</si>
  <si>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</si>
  <si>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</si>
  <si>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</si>
  <si>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</si>
  <si>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</si>
  <si>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</si>
  <si>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</si>
  <si>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</si>
  <si>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</si>
  <si>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</si>
  <si>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</si>
  <si>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</si>
  <si>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</si>
  <si>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</si>
  <si>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</si>
  <si>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</si>
  <si>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</si>
  <si>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</si>
  <si>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</si>
  <si>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</si>
  <si>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</si>
  <si>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</si>
  <si>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</si>
  <si>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</si>
  <si>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</si>
  <si>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</si>
  <si>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</si>
  <si>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</si>
  <si>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</si>
  <si>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</si>
  <si>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</si>
  <si>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</si>
  <si>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</si>
  <si>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</si>
  <si>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</si>
  <si>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</si>
  <si>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</si>
  <si>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</si>
  <si>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</si>
  <si>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</si>
  <si>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</si>
  <si>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</si>
  <si>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</si>
  <si>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</si>
  <si>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</si>
  <si>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</si>
  <si>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</si>
  <si>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</si>
  <si>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</si>
  <si>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</si>
  <si>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</si>
  <si>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</si>
  <si>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</si>
  <si>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</si>
  <si>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</si>
  <si>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</si>
  <si>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</si>
  <si>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</si>
  <si>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</si>
  <si>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</si>
  <si>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</si>
  <si>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</si>
  <si>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</si>
  <si>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</si>
  <si>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</si>
  <si>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</si>
  <si>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</si>
  <si>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</si>
  <si>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</si>
  <si>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</si>
  <si>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</si>
  <si>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</si>
  <si>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</si>
  <si>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</si>
  <si>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</si>
  <si>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</si>
  <si>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</si>
  <si>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</si>
  <si>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</si>
  <si>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</si>
  <si>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</si>
  <si>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</si>
  <si>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</si>
  <si>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</si>
  <si>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</si>
  <si>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</si>
  <si>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</si>
  <si>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</si>
  <si>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</si>
  <si>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</si>
  <si>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</si>
  <si>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</si>
  <si>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</si>
  <si>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</si>
  <si>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</si>
  <si>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</si>
  <si>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</si>
  <si>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</si>
  <si>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</si>
  <si>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</si>
  <si>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</si>
  <si>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</si>
  <si>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</si>
  <si>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</si>
  <si>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</si>
  <si>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</si>
  <si>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</si>
  <si>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</si>
  <si>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</si>
  <si>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</si>
  <si>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</si>
  <si>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</si>
  <si>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</si>
  <si>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</si>
  <si>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</si>
  <si>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</si>
  <si>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</si>
  <si>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</si>
  <si>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</si>
  <si>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</si>
  <si>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</si>
  <si>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</si>
  <si>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</si>
  <si>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</si>
  <si>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</si>
  <si>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</si>
  <si>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</si>
  <si>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</si>
  <si>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</si>
  <si>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</si>
  <si>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</si>
  <si>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</si>
  <si>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</si>
  <si>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</si>
  <si>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</si>
  <si>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</si>
  <si>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</si>
  <si>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</si>
  <si>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</si>
  <si>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</si>
  <si>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</si>
  <si>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</si>
  <si>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</si>
  <si>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</si>
  <si>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</si>
  <si>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</si>
  <si>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</si>
  <si>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</si>
  <si>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</si>
  <si>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</si>
  <si>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</si>
  <si>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</si>
  <si>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</si>
  <si>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</si>
  <si>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</si>
  <si>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</si>
  <si>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</si>
  <si>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</si>
  <si>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</si>
  <si>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</si>
  <si>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</si>
  <si>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</si>
  <si>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</si>
  <si>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</si>
  <si>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</si>
  <si>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</si>
  <si>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</si>
  <si>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</si>
  <si>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</si>
  <si>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</si>
  <si>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</si>
  <si>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</si>
  <si>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</si>
  <si>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</si>
  <si>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</si>
  <si>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</si>
  <si>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</si>
  <si>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</si>
  <si>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</si>
  <si>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</si>
  <si>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</si>
  <si>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</si>
  <si>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</si>
  <si>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</si>
  <si>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</si>
  <si>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</si>
  <si>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</si>
  <si>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</si>
  <si>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</si>
  <si>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</si>
  <si>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</si>
  <si>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</si>
  <si>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</si>
  <si>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</si>
  <si>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</si>
  <si>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</si>
  <si>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</si>
  <si>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</si>
  <si>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</si>
  <si>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</si>
  <si>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</si>
  <si>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</si>
  <si>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</si>
  <si>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</si>
  <si>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</si>
  <si>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</si>
  <si>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</si>
  <si>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</si>
  <si>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</si>
  <si>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</si>
  <si>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</si>
  <si>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</si>
  <si>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</si>
  <si>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</si>
  <si>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</si>
  <si>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</si>
  <si>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</si>
  <si>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</si>
  <si>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</si>
  <si>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</si>
  <si>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</si>
  <si>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</si>
  <si>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</si>
  <si>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</si>
  <si>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</si>
  <si>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</si>
  <si>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</si>
  <si>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</si>
  <si>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</si>
  <si>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</si>
  <si>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</si>
  <si>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</si>
  <si>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</si>
  <si>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</si>
  <si>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</si>
  <si>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</si>
  <si>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</si>
  <si>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</si>
  <si>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</si>
  <si>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</si>
  <si>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</si>
  <si>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</si>
  <si>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</si>
  <si>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</si>
  <si>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</si>
  <si>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</si>
  <si>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</si>
  <si>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</si>
  <si>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</si>
  <si>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</si>
  <si>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</si>
  <si>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</si>
  <si>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 xml:space="preserve">12 (57) </t>
  </si>
  <si>
    <t>18 (86)</t>
  </si>
  <si>
    <t xml:space="preserve">15 (56) </t>
  </si>
  <si>
    <t>19 (16)</t>
  </si>
  <si>
    <t>19 (72)</t>
  </si>
  <si>
    <t>20 (17)</t>
  </si>
  <si>
    <t>20 (87)</t>
  </si>
  <si>
    <t xml:space="preserve">4 (59) </t>
  </si>
  <si>
    <t>21 (51)</t>
  </si>
  <si>
    <t>22 (37)</t>
  </si>
  <si>
    <t>23 (45)</t>
  </si>
  <si>
    <t xml:space="preserve">9 (62) </t>
  </si>
  <si>
    <t>24 (86)</t>
  </si>
  <si>
    <t>27 (10)</t>
  </si>
  <si>
    <t>#30</t>
  </si>
  <si>
    <t>Mauro Vaz</t>
  </si>
  <si>
    <t>Will Duffill</t>
  </si>
  <si>
    <t>17 (66)</t>
  </si>
  <si>
    <t>17 (87)</t>
  </si>
  <si>
    <t xml:space="preserve">15 (55) </t>
  </si>
  <si>
    <t>18 (2)</t>
  </si>
  <si>
    <t>18 (30)</t>
  </si>
  <si>
    <t>19 (37)</t>
  </si>
  <si>
    <t>20 (38)</t>
  </si>
  <si>
    <t>21 (72)</t>
  </si>
  <si>
    <t>24 (107)</t>
  </si>
  <si>
    <t>Francesc Añigas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</si>
</sst>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8"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rgb="FF0070C0"/>
      <name val="Calibri"/>
      <family val="2"/>
    </font>
    <font>
      <b/>
      <sz val="8"/>
      <color theme="9" tint="-0.249977111117893"/>
      <name val="Verdana"/>
      <family val="2"/>
    </font>
    <font>
      <sz val="8"/>
      <color rgb="FFFF0000"/>
      <name val="Verdana"/>
      <family val="2"/>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39">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xf numFmtId="0" fontId="45" fillId="34" borderId="1" xfId="3" applyFont="1" applyFill="1" applyBorder="1" applyAlignment="1">
      <alignment horizontal="right"/>
    </xf>
    <xf numFmtId="0" fontId="46" fillId="0" borderId="1" xfId="0" applyFont="1" applyFill="1" applyBorder="1" applyAlignment="1">
      <alignment horizontal="left" vertical="center"/>
    </xf>
    <xf numFmtId="0" fontId="47" fillId="4" borderId="1" xfId="0" applyFont="1" applyFill="1" applyBorder="1" applyAlignment="1">
      <alignment horizontal="right" vertical="center"/>
    </xf>
    <xf numFmtId="0" fontId="24" fillId="21"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4" fillId="24" borderId="0" xfId="0" applyFont="1" applyFill="1" applyAlignment="1">
      <alignment horizontal="center" wrapText="1"/>
    </xf>
    <xf numFmtId="0" fontId="27" fillId="17" borderId="0" xfId="0" applyFont="1" applyFill="1" applyAlignment="1">
      <alignment horizontal="center" wrapText="1"/>
    </xf>
    <xf numFmtId="0" fontId="24" fillId="25"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29">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R26" sqref="AR26"/>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29" t="s">
        <v>106</v>
      </c>
      <c r="C59" s="96" t="s">
        <v>105</v>
      </c>
      <c r="D59" s="230" t="s">
        <v>137</v>
      </c>
      <c r="E59" s="230" t="s">
        <v>137</v>
      </c>
      <c r="F59" s="97" t="s">
        <v>103</v>
      </c>
      <c r="H59" s="98" t="s">
        <v>138</v>
      </c>
      <c r="X59" s="89"/>
    </row>
    <row r="60" spans="1:24" ht="15.75" x14ac:dyDescent="0.25">
      <c r="A60" s="99">
        <v>18</v>
      </c>
      <c r="B60" s="229"/>
      <c r="C60" s="96" t="s">
        <v>139</v>
      </c>
      <c r="D60" s="230"/>
      <c r="E60" s="230"/>
      <c r="F60" s="97" t="s">
        <v>140</v>
      </c>
      <c r="H60" s="92" t="s">
        <v>141</v>
      </c>
      <c r="X60" s="89"/>
    </row>
    <row r="61" spans="1:24" ht="15.75" x14ac:dyDescent="0.25">
      <c r="A61" s="95">
        <v>19</v>
      </c>
      <c r="B61" s="229"/>
      <c r="C61" s="100"/>
      <c r="D61" s="230"/>
      <c r="E61" s="230"/>
      <c r="F61" s="101"/>
      <c r="H61" s="92" t="s">
        <v>142</v>
      </c>
      <c r="I61" s="91"/>
      <c r="X61" s="89"/>
    </row>
    <row r="62" spans="1:24" ht="15.75" x14ac:dyDescent="0.25">
      <c r="A62" s="99">
        <v>20</v>
      </c>
      <c r="B62" s="229"/>
      <c r="C62" s="97" t="s">
        <v>137</v>
      </c>
      <c r="D62" s="231" t="s">
        <v>103</v>
      </c>
      <c r="E62" s="97" t="s">
        <v>103</v>
      </c>
      <c r="F62" s="101"/>
      <c r="H62" s="92" t="s">
        <v>143</v>
      </c>
      <c r="X62" s="89"/>
    </row>
    <row r="63" spans="1:24" ht="15.75" x14ac:dyDescent="0.25">
      <c r="A63" s="95">
        <v>21</v>
      </c>
      <c r="B63" s="232" t="s">
        <v>105</v>
      </c>
      <c r="C63" s="97" t="s">
        <v>144</v>
      </c>
      <c r="D63" s="231"/>
      <c r="E63" s="97" t="s">
        <v>140</v>
      </c>
      <c r="F63" s="101"/>
      <c r="H63" s="92" t="s">
        <v>145</v>
      </c>
      <c r="X63" s="89"/>
    </row>
    <row r="64" spans="1:24" ht="15.75" x14ac:dyDescent="0.25">
      <c r="A64" s="99">
        <v>22</v>
      </c>
      <c r="B64" s="232"/>
      <c r="C64" s="101"/>
      <c r="D64" s="231"/>
      <c r="E64" s="101"/>
      <c r="F64" s="101"/>
      <c r="H64" s="92" t="s">
        <v>146</v>
      </c>
      <c r="X64" s="89"/>
    </row>
    <row r="65" spans="1:24" ht="15.75" x14ac:dyDescent="0.25">
      <c r="A65" s="95">
        <v>23</v>
      </c>
      <c r="B65" s="232"/>
      <c r="C65" s="101"/>
      <c r="D65" s="231"/>
      <c r="E65" s="101"/>
      <c r="F65" s="101"/>
      <c r="H65" s="92"/>
      <c r="X65" s="89"/>
    </row>
    <row r="66" spans="1:24" ht="15.75" x14ac:dyDescent="0.25">
      <c r="A66" s="99">
        <v>24</v>
      </c>
      <c r="B66" s="232"/>
      <c r="C66" s="101"/>
      <c r="D66" s="231"/>
      <c r="E66" s="101"/>
      <c r="F66" s="101"/>
      <c r="H66" s="92" t="s">
        <v>147</v>
      </c>
      <c r="X66" s="89"/>
    </row>
    <row r="67" spans="1:24" ht="15.75" x14ac:dyDescent="0.25">
      <c r="A67" s="95">
        <v>25</v>
      </c>
      <c r="B67" s="232"/>
      <c r="C67" s="101"/>
      <c r="D67" s="230" t="s">
        <v>137</v>
      </c>
      <c r="E67" s="101"/>
      <c r="F67" s="101"/>
      <c r="H67" s="92" t="s">
        <v>148</v>
      </c>
      <c r="X67" s="89"/>
    </row>
    <row r="68" spans="1:24" ht="15.75" x14ac:dyDescent="0.25">
      <c r="A68" s="99">
        <v>26</v>
      </c>
      <c r="B68" s="232"/>
      <c r="C68" s="230" t="s">
        <v>137</v>
      </c>
      <c r="D68" s="230"/>
      <c r="E68" s="101"/>
      <c r="F68" s="101"/>
      <c r="H68" s="92"/>
      <c r="X68" s="89"/>
    </row>
    <row r="69" spans="1:24" ht="15.75" x14ac:dyDescent="0.25">
      <c r="A69" s="95">
        <v>27</v>
      </c>
      <c r="B69" s="229" t="s">
        <v>106</v>
      </c>
      <c r="C69" s="230"/>
      <c r="D69" s="230"/>
      <c r="E69" s="101"/>
      <c r="F69" s="101"/>
      <c r="H69" s="92"/>
      <c r="X69" s="89"/>
    </row>
    <row r="70" spans="1:24" ht="15.75" x14ac:dyDescent="0.25">
      <c r="A70" s="99">
        <v>28</v>
      </c>
      <c r="B70" s="229"/>
      <c r="C70" s="232" t="s">
        <v>105</v>
      </c>
      <c r="D70" s="230"/>
      <c r="E70" s="101"/>
      <c r="F70" s="101"/>
      <c r="H70" s="92" t="s">
        <v>149</v>
      </c>
      <c r="X70" s="89"/>
    </row>
    <row r="71" spans="1:24" ht="15.75" x14ac:dyDescent="0.25">
      <c r="A71" s="95">
        <v>29</v>
      </c>
      <c r="B71" s="229"/>
      <c r="C71" s="232"/>
      <c r="D71" s="230"/>
      <c r="E71" s="101"/>
      <c r="F71" s="101"/>
      <c r="H71" s="92"/>
      <c r="X71" s="89"/>
    </row>
    <row r="72" spans="1:24" ht="15.75" x14ac:dyDescent="0.25">
      <c r="A72" s="99">
        <v>30</v>
      </c>
      <c r="B72" s="229"/>
      <c r="C72" s="232"/>
      <c r="D72" s="232" t="s">
        <v>105</v>
      </c>
      <c r="E72" s="101"/>
      <c r="F72" s="101"/>
      <c r="H72" s="92" t="s">
        <v>150</v>
      </c>
      <c r="X72" s="89"/>
    </row>
    <row r="73" spans="1:24" ht="15.75" x14ac:dyDescent="0.25">
      <c r="A73" s="95">
        <v>31</v>
      </c>
      <c r="B73" s="229"/>
      <c r="C73" s="232"/>
      <c r="D73" s="232"/>
      <c r="E73" s="97" t="s">
        <v>137</v>
      </c>
      <c r="F73" s="101"/>
      <c r="H73" s="92"/>
      <c r="X73" s="89"/>
    </row>
    <row r="74" spans="1:24" ht="15.75" x14ac:dyDescent="0.25">
      <c r="A74" s="99">
        <v>32</v>
      </c>
      <c r="B74" s="229"/>
      <c r="C74" s="232"/>
      <c r="D74" s="232"/>
      <c r="E74" s="97" t="s">
        <v>144</v>
      </c>
      <c r="F74" s="101"/>
      <c r="H74" s="92" t="s">
        <v>151</v>
      </c>
      <c r="X74" s="89"/>
    </row>
    <row r="75" spans="1:24" ht="15.75" x14ac:dyDescent="0.25">
      <c r="A75" s="95">
        <v>33</v>
      </c>
      <c r="B75" s="229"/>
      <c r="C75" s="229" t="s">
        <v>106</v>
      </c>
      <c r="D75" s="232"/>
      <c r="E75" s="96" t="s">
        <v>105</v>
      </c>
      <c r="F75" s="96" t="s">
        <v>105</v>
      </c>
      <c r="H75" s="92"/>
      <c r="X75" s="89"/>
    </row>
    <row r="76" spans="1:24" ht="15.75" x14ac:dyDescent="0.25">
      <c r="A76" s="99">
        <v>34</v>
      </c>
      <c r="B76" s="234" t="s">
        <v>152</v>
      </c>
      <c r="C76" s="229"/>
      <c r="D76" s="232"/>
      <c r="E76" s="96" t="s">
        <v>139</v>
      </c>
      <c r="F76" s="96" t="s">
        <v>139</v>
      </c>
      <c r="H76" s="92" t="s">
        <v>153</v>
      </c>
      <c r="X76" s="89"/>
    </row>
    <row r="77" spans="1:24" ht="15.75" x14ac:dyDescent="0.25">
      <c r="A77" s="95">
        <v>35</v>
      </c>
      <c r="B77" s="234"/>
      <c r="C77" s="234" t="s">
        <v>152</v>
      </c>
      <c r="D77" s="229" t="s">
        <v>106</v>
      </c>
      <c r="E77" s="229" t="s">
        <v>106</v>
      </c>
      <c r="F77" s="100"/>
      <c r="H77" s="92"/>
      <c r="X77" s="89"/>
    </row>
    <row r="78" spans="1:24" ht="15.75" x14ac:dyDescent="0.25">
      <c r="A78" s="99">
        <v>36</v>
      </c>
      <c r="B78" s="234"/>
      <c r="C78" s="234"/>
      <c r="D78" s="229"/>
      <c r="E78" s="229"/>
      <c r="F78" s="102" t="s">
        <v>106</v>
      </c>
      <c r="H78" s="92" t="s">
        <v>154</v>
      </c>
      <c r="X78" s="89"/>
    </row>
    <row r="79" spans="1:24" ht="15.75" x14ac:dyDescent="0.25">
      <c r="A79" s="233" t="s">
        <v>155</v>
      </c>
      <c r="B79" s="233"/>
      <c r="C79" s="233"/>
      <c r="D79" s="233"/>
      <c r="E79" s="233"/>
      <c r="F79" s="233"/>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8" priority="4" operator="lessThan">
      <formula>6</formula>
    </cfRule>
    <cfRule type="cellIs" dxfId="27" priority="5" operator="greaterThan">
      <formula>7</formula>
    </cfRule>
  </conditionalFormatting>
  <conditionalFormatting sqref="B23:W23">
    <cfRule type="cellIs" dxfId="26" priority="1" operator="lessThan">
      <formula>6</formula>
    </cfRule>
    <cfRule type="cellIs" dxfId="25"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workbookViewId="0"/>
  </sheetViews>
  <sheetFormatPr baseColWidth="10"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2" bestFit="1" customWidth="1"/>
    <col min="8" max="8" width="12.28515625" style="222" bestFit="1" customWidth="1"/>
    <col min="9" max="9" width="9.5703125" style="222" bestFit="1" customWidth="1"/>
    <col min="10" max="10" width="13.5703125" style="222" bestFit="1" customWidth="1"/>
    <col min="11" max="11" width="7.85546875" style="222" bestFit="1" customWidth="1"/>
  </cols>
  <sheetData>
    <row r="1" spans="1:11" x14ac:dyDescent="0.25">
      <c r="A1" s="221">
        <v>43088</v>
      </c>
      <c r="B1" s="220" t="s">
        <v>308</v>
      </c>
      <c r="C1" s="220"/>
      <c r="D1" s="220"/>
      <c r="E1" s="220"/>
      <c r="G1" s="221">
        <v>43110</v>
      </c>
      <c r="H1" s="222" t="s">
        <v>308</v>
      </c>
      <c r="I1" s="47">
        <f>Rendimiento_ENTRENAMIENTO!Y2</f>
        <v>12</v>
      </c>
    </row>
    <row r="2" spans="1:11" s="52" customFormat="1" x14ac:dyDescent="0.25">
      <c r="A2" s="225" t="s">
        <v>385</v>
      </c>
      <c r="B2" s="224" t="s">
        <v>483</v>
      </c>
      <c r="C2" s="224" t="s">
        <v>481</v>
      </c>
      <c r="D2" s="224" t="s">
        <v>482</v>
      </c>
      <c r="E2" s="224" t="s">
        <v>389</v>
      </c>
      <c r="G2" s="225" t="s">
        <v>385</v>
      </c>
      <c r="H2" s="224" t="s">
        <v>483</v>
      </c>
      <c r="I2" s="224" t="s">
        <v>481</v>
      </c>
      <c r="J2" s="224" t="s">
        <v>482</v>
      </c>
      <c r="K2" s="224" t="s">
        <v>389</v>
      </c>
    </row>
    <row r="3" spans="1:11" x14ac:dyDescent="0.25">
      <c r="A3" s="223" t="s">
        <v>390</v>
      </c>
      <c r="B3" s="105" t="s">
        <v>391</v>
      </c>
      <c r="C3" s="105">
        <v>3</v>
      </c>
      <c r="D3" s="105">
        <v>3</v>
      </c>
      <c r="E3" s="105" t="s">
        <v>392</v>
      </c>
      <c r="G3" s="105"/>
      <c r="H3" s="105"/>
      <c r="I3" s="105"/>
      <c r="J3" s="105"/>
      <c r="K3" s="105"/>
    </row>
    <row r="4" spans="1:11" x14ac:dyDescent="0.25">
      <c r="A4" s="105" t="s">
        <v>393</v>
      </c>
      <c r="B4" s="105" t="s">
        <v>394</v>
      </c>
      <c r="C4" s="105">
        <v>5</v>
      </c>
      <c r="D4" s="105">
        <v>2</v>
      </c>
      <c r="E4" s="105" t="s">
        <v>395</v>
      </c>
      <c r="G4" s="223" t="s">
        <v>393</v>
      </c>
      <c r="H4" s="105" t="s">
        <v>441</v>
      </c>
      <c r="I4" s="105">
        <v>1</v>
      </c>
      <c r="J4" s="105">
        <v>1</v>
      </c>
      <c r="K4" s="105" t="s">
        <v>453</v>
      </c>
    </row>
    <row r="5" spans="1:11" x14ac:dyDescent="0.25">
      <c r="A5" s="105" t="s">
        <v>396</v>
      </c>
      <c r="B5" s="105" t="s">
        <v>397</v>
      </c>
      <c r="C5" s="105">
        <v>8</v>
      </c>
      <c r="D5" s="105">
        <v>3</v>
      </c>
      <c r="E5" s="105" t="s">
        <v>398</v>
      </c>
      <c r="G5" s="105" t="s">
        <v>396</v>
      </c>
      <c r="H5" s="105" t="s">
        <v>442</v>
      </c>
      <c r="I5" s="105">
        <v>3</v>
      </c>
      <c r="J5" s="105">
        <v>2</v>
      </c>
      <c r="K5" s="105" t="s">
        <v>454</v>
      </c>
    </row>
    <row r="6" spans="1:11" x14ac:dyDescent="0.25">
      <c r="A6" s="105" t="s">
        <v>399</v>
      </c>
      <c r="B6" s="105" t="s">
        <v>400</v>
      </c>
      <c r="C6" s="105">
        <v>11</v>
      </c>
      <c r="D6" s="105">
        <v>3</v>
      </c>
      <c r="E6" s="105" t="s">
        <v>401</v>
      </c>
      <c r="G6" s="105" t="s">
        <v>399</v>
      </c>
      <c r="H6" s="105" t="s">
        <v>455</v>
      </c>
      <c r="I6" s="105">
        <v>7</v>
      </c>
      <c r="J6" s="105">
        <v>4</v>
      </c>
      <c r="K6" s="105" t="s">
        <v>456</v>
      </c>
    </row>
    <row r="7" spans="1:11" x14ac:dyDescent="0.25">
      <c r="A7" s="105" t="s">
        <v>402</v>
      </c>
      <c r="B7" s="105" t="s">
        <v>403</v>
      </c>
      <c r="C7" s="105">
        <v>14</v>
      </c>
      <c r="D7" s="105">
        <v>3</v>
      </c>
      <c r="E7" s="105" t="s">
        <v>404</v>
      </c>
      <c r="G7" s="105" t="s">
        <v>402</v>
      </c>
      <c r="H7" s="105" t="s">
        <v>457</v>
      </c>
      <c r="I7" s="105">
        <v>10</v>
      </c>
      <c r="J7" s="105">
        <v>3</v>
      </c>
      <c r="K7" s="105" t="s">
        <v>458</v>
      </c>
    </row>
    <row r="8" spans="1:11" s="52" customFormat="1" x14ac:dyDescent="0.25">
      <c r="A8" s="223" t="s">
        <v>405</v>
      </c>
      <c r="B8" s="223" t="s">
        <v>406</v>
      </c>
      <c r="C8" s="223">
        <v>19</v>
      </c>
      <c r="D8" s="223">
        <v>5</v>
      </c>
      <c r="E8" s="223" t="s">
        <v>407</v>
      </c>
      <c r="G8" s="223" t="s">
        <v>405</v>
      </c>
      <c r="H8" s="223" t="s">
        <v>459</v>
      </c>
      <c r="I8" s="223">
        <v>14</v>
      </c>
      <c r="J8" s="223">
        <v>4</v>
      </c>
      <c r="K8" s="223" t="s">
        <v>460</v>
      </c>
    </row>
    <row r="9" spans="1:11" x14ac:dyDescent="0.25">
      <c r="A9" s="105" t="s">
        <v>408</v>
      </c>
      <c r="B9" s="105" t="s">
        <v>409</v>
      </c>
      <c r="C9" s="105">
        <v>23</v>
      </c>
      <c r="D9" s="105">
        <v>4</v>
      </c>
      <c r="E9" s="105" t="s">
        <v>410</v>
      </c>
      <c r="G9" s="153" t="s">
        <v>408</v>
      </c>
      <c r="H9" s="153" t="s">
        <v>461</v>
      </c>
      <c r="I9" s="153">
        <v>19</v>
      </c>
      <c r="J9" s="153">
        <v>5</v>
      </c>
      <c r="K9" s="153" t="s">
        <v>462</v>
      </c>
    </row>
    <row r="10" spans="1:11" x14ac:dyDescent="0.25">
      <c r="A10" s="105" t="s">
        <v>411</v>
      </c>
      <c r="B10" s="105" t="s">
        <v>412</v>
      </c>
      <c r="C10" s="105">
        <v>29</v>
      </c>
      <c r="D10" s="105">
        <v>6</v>
      </c>
      <c r="E10" s="105" t="s">
        <v>413</v>
      </c>
      <c r="G10" s="105" t="s">
        <v>411</v>
      </c>
      <c r="H10" s="105" t="s">
        <v>444</v>
      </c>
      <c r="I10" s="105">
        <v>25</v>
      </c>
      <c r="J10" s="105">
        <v>6</v>
      </c>
      <c r="K10" s="105" t="s">
        <v>445</v>
      </c>
    </row>
    <row r="11" spans="1:11" x14ac:dyDescent="0.25">
      <c r="A11" s="105" t="s">
        <v>414</v>
      </c>
      <c r="B11" s="105" t="s">
        <v>415</v>
      </c>
      <c r="C11" s="105">
        <v>36</v>
      </c>
      <c r="D11" s="105">
        <v>7</v>
      </c>
      <c r="E11" s="105" t="s">
        <v>416</v>
      </c>
      <c r="G11" s="105" t="s">
        <v>414</v>
      </c>
      <c r="H11" s="105" t="s">
        <v>463</v>
      </c>
      <c r="I11" s="105">
        <v>32</v>
      </c>
      <c r="J11" s="105">
        <v>7</v>
      </c>
      <c r="K11" s="105" t="s">
        <v>464</v>
      </c>
    </row>
    <row r="12" spans="1:11" x14ac:dyDescent="0.25">
      <c r="A12" s="105" t="s">
        <v>417</v>
      </c>
      <c r="B12" s="105" t="s">
        <v>418</v>
      </c>
      <c r="C12" s="105">
        <v>43</v>
      </c>
      <c r="D12" s="105">
        <v>7</v>
      </c>
      <c r="E12" s="105" t="s">
        <v>419</v>
      </c>
      <c r="G12" s="105" t="s">
        <v>417</v>
      </c>
      <c r="H12" s="105" t="s">
        <v>465</v>
      </c>
      <c r="I12" s="105">
        <v>39</v>
      </c>
      <c r="J12" s="105">
        <v>7</v>
      </c>
      <c r="K12" s="105" t="s">
        <v>466</v>
      </c>
    </row>
    <row r="13" spans="1:11" x14ac:dyDescent="0.25">
      <c r="A13" s="105" t="s">
        <v>420</v>
      </c>
      <c r="B13" s="105" t="s">
        <v>421</v>
      </c>
      <c r="C13" s="105">
        <v>52</v>
      </c>
      <c r="D13" s="105">
        <v>9</v>
      </c>
      <c r="E13" s="105" t="s">
        <v>422</v>
      </c>
      <c r="G13" s="105" t="s">
        <v>420</v>
      </c>
      <c r="H13" s="105" t="s">
        <v>467</v>
      </c>
      <c r="I13" s="105">
        <v>48</v>
      </c>
      <c r="J13" s="105">
        <v>9</v>
      </c>
      <c r="K13" s="105" t="s">
        <v>468</v>
      </c>
    </row>
    <row r="14" spans="1:11" x14ac:dyDescent="0.25">
      <c r="A14" s="105" t="s">
        <v>423</v>
      </c>
      <c r="B14" s="105" t="s">
        <v>424</v>
      </c>
      <c r="C14" s="105">
        <v>62</v>
      </c>
      <c r="D14" s="105">
        <v>10</v>
      </c>
      <c r="E14" s="105" t="s">
        <v>425</v>
      </c>
      <c r="G14" s="105" t="s">
        <v>423</v>
      </c>
      <c r="H14" s="105" t="s">
        <v>469</v>
      </c>
      <c r="I14" s="105">
        <v>57</v>
      </c>
      <c r="J14" s="105">
        <v>9</v>
      </c>
      <c r="K14" s="105" t="s">
        <v>470</v>
      </c>
    </row>
    <row r="15" spans="1:11" x14ac:dyDescent="0.25">
      <c r="A15" s="105" t="s">
        <v>426</v>
      </c>
      <c r="B15" s="105" t="s">
        <v>427</v>
      </c>
      <c r="C15" s="105">
        <v>73</v>
      </c>
      <c r="D15" s="105">
        <v>11</v>
      </c>
      <c r="E15" s="105" t="s">
        <v>428</v>
      </c>
      <c r="G15" s="105" t="s">
        <v>426</v>
      </c>
      <c r="H15" s="105" t="s">
        <v>471</v>
      </c>
      <c r="I15" s="105">
        <v>69</v>
      </c>
      <c r="J15" s="105">
        <v>12</v>
      </c>
      <c r="K15" s="105" t="s">
        <v>472</v>
      </c>
    </row>
    <row r="16" spans="1:11" x14ac:dyDescent="0.25">
      <c r="A16" s="105" t="s">
        <v>429</v>
      </c>
      <c r="B16" s="105" t="s">
        <v>430</v>
      </c>
      <c r="C16" s="105">
        <v>87</v>
      </c>
      <c r="D16" s="105">
        <v>14</v>
      </c>
      <c r="E16" s="105" t="s">
        <v>431</v>
      </c>
      <c r="G16" s="105" t="s">
        <v>429</v>
      </c>
      <c r="H16" s="105" t="s">
        <v>473</v>
      </c>
      <c r="I16" s="105">
        <v>83</v>
      </c>
      <c r="J16" s="105">
        <v>14</v>
      </c>
      <c r="K16" s="105" t="s">
        <v>474</v>
      </c>
    </row>
    <row r="17" spans="1:11" x14ac:dyDescent="0.25">
      <c r="A17" s="105" t="s">
        <v>432</v>
      </c>
      <c r="B17" s="105" t="s">
        <v>433</v>
      </c>
      <c r="C17" s="105">
        <v>104</v>
      </c>
      <c r="D17" s="105">
        <v>17</v>
      </c>
      <c r="E17" s="105" t="s">
        <v>434</v>
      </c>
      <c r="G17" s="105" t="s">
        <v>432</v>
      </c>
      <c r="H17" s="105" t="s">
        <v>475</v>
      </c>
      <c r="I17" s="105">
        <v>99</v>
      </c>
      <c r="J17" s="105">
        <v>16</v>
      </c>
      <c r="K17" s="105" t="s">
        <v>476</v>
      </c>
    </row>
    <row r="18" spans="1:11" x14ac:dyDescent="0.25">
      <c r="A18" s="105" t="s">
        <v>435</v>
      </c>
      <c r="B18" s="105" t="s">
        <v>436</v>
      </c>
      <c r="C18" s="105">
        <v>126</v>
      </c>
      <c r="D18" s="105">
        <v>22</v>
      </c>
      <c r="E18" s="105" t="s">
        <v>437</v>
      </c>
      <c r="G18" s="105" t="s">
        <v>435</v>
      </c>
      <c r="H18" s="105" t="s">
        <v>477</v>
      </c>
      <c r="I18" s="105">
        <v>122</v>
      </c>
      <c r="J18" s="105">
        <v>23</v>
      </c>
      <c r="K18" s="105" t="s">
        <v>478</v>
      </c>
    </row>
    <row r="19" spans="1:11" x14ac:dyDescent="0.25">
      <c r="A19" s="105" t="s">
        <v>438</v>
      </c>
      <c r="B19" s="105" t="s">
        <v>439</v>
      </c>
      <c r="C19" s="105">
        <v>164</v>
      </c>
      <c r="D19" s="105">
        <v>38</v>
      </c>
      <c r="E19" s="105" t="s">
        <v>440</v>
      </c>
      <c r="G19" s="105" t="s">
        <v>438</v>
      </c>
      <c r="H19" s="105" t="s">
        <v>479</v>
      </c>
      <c r="I19" s="105">
        <v>160</v>
      </c>
      <c r="J19" s="105">
        <v>38</v>
      </c>
      <c r="K19" s="105" t="s">
        <v>480</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9"/>
  <sheetViews>
    <sheetView workbookViewId="0">
      <selection activeCell="D22" sqref="D22"/>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510</v>
      </c>
      <c r="C1" s="47">
        <f>Rendimiento_ENTRENAMIENTO!Y2</f>
        <v>12</v>
      </c>
    </row>
    <row r="2" spans="1:5" s="52" customFormat="1" x14ac:dyDescent="0.25">
      <c r="A2" s="225" t="s">
        <v>385</v>
      </c>
      <c r="B2" s="224" t="s">
        <v>386</v>
      </c>
      <c r="C2" s="224" t="s">
        <v>387</v>
      </c>
      <c r="D2" s="224" t="s">
        <v>388</v>
      </c>
      <c r="E2" s="224" t="s">
        <v>389</v>
      </c>
    </row>
    <row r="3" spans="1:5" x14ac:dyDescent="0.25">
      <c r="A3" s="223" t="s">
        <v>396</v>
      </c>
      <c r="B3" s="105" t="s">
        <v>441</v>
      </c>
      <c r="C3" s="105">
        <v>1</v>
      </c>
      <c r="D3" s="105">
        <v>1</v>
      </c>
      <c r="E3" s="105" t="s">
        <v>484</v>
      </c>
    </row>
    <row r="4" spans="1:5" x14ac:dyDescent="0.25">
      <c r="A4" s="105" t="s">
        <v>399</v>
      </c>
      <c r="B4" s="105" t="s">
        <v>485</v>
      </c>
      <c r="C4" s="105">
        <v>4</v>
      </c>
      <c r="D4" s="105">
        <v>3</v>
      </c>
      <c r="E4" s="105" t="s">
        <v>486</v>
      </c>
    </row>
    <row r="5" spans="1:5" x14ac:dyDescent="0.25">
      <c r="A5" s="105" t="s">
        <v>402</v>
      </c>
      <c r="B5" s="105" t="s">
        <v>455</v>
      </c>
      <c r="C5" s="105">
        <v>7</v>
      </c>
      <c r="D5" s="105">
        <v>3</v>
      </c>
      <c r="E5" s="105" t="s">
        <v>487</v>
      </c>
    </row>
    <row r="6" spans="1:5" x14ac:dyDescent="0.25">
      <c r="A6" s="105" t="s">
        <v>405</v>
      </c>
      <c r="B6" s="105" t="s">
        <v>403</v>
      </c>
      <c r="C6" s="105">
        <v>11</v>
      </c>
      <c r="D6" s="105">
        <v>4</v>
      </c>
      <c r="E6" s="105" t="s">
        <v>488</v>
      </c>
    </row>
    <row r="7" spans="1:5" x14ac:dyDescent="0.25">
      <c r="A7" s="223" t="s">
        <v>408</v>
      </c>
      <c r="B7" s="223" t="s">
        <v>406</v>
      </c>
      <c r="C7" s="223">
        <v>16</v>
      </c>
      <c r="D7" s="223">
        <v>5</v>
      </c>
      <c r="E7" s="223" t="s">
        <v>489</v>
      </c>
    </row>
    <row r="8" spans="1:5" x14ac:dyDescent="0.25">
      <c r="A8" s="153" t="s">
        <v>411</v>
      </c>
      <c r="B8" s="153" t="s">
        <v>490</v>
      </c>
      <c r="C8" s="153">
        <v>22</v>
      </c>
      <c r="D8" s="153">
        <v>6</v>
      </c>
      <c r="E8" s="153" t="s">
        <v>491</v>
      </c>
    </row>
    <row r="9" spans="1:5" x14ac:dyDescent="0.25">
      <c r="A9" s="105" t="s">
        <v>414</v>
      </c>
      <c r="B9" s="105" t="s">
        <v>492</v>
      </c>
      <c r="C9" s="105">
        <v>29</v>
      </c>
      <c r="D9" s="105">
        <v>7</v>
      </c>
      <c r="E9" s="105" t="s">
        <v>493</v>
      </c>
    </row>
    <row r="10" spans="1:5" x14ac:dyDescent="0.25">
      <c r="A10" s="105" t="s">
        <v>417</v>
      </c>
      <c r="B10" s="105" t="s">
        <v>494</v>
      </c>
      <c r="C10" s="105">
        <v>36</v>
      </c>
      <c r="D10" s="105">
        <v>7</v>
      </c>
      <c r="E10" s="105" t="s">
        <v>495</v>
      </c>
    </row>
    <row r="11" spans="1:5" x14ac:dyDescent="0.25">
      <c r="A11" s="105" t="s">
        <v>420</v>
      </c>
      <c r="B11" s="105" t="s">
        <v>496</v>
      </c>
      <c r="C11" s="105">
        <v>45</v>
      </c>
      <c r="D11" s="105">
        <v>9</v>
      </c>
      <c r="E11" s="105" t="s">
        <v>497</v>
      </c>
    </row>
    <row r="12" spans="1:5" x14ac:dyDescent="0.25">
      <c r="A12" s="105" t="s">
        <v>423</v>
      </c>
      <c r="B12" s="105" t="s">
        <v>498</v>
      </c>
      <c r="C12" s="105">
        <v>54</v>
      </c>
      <c r="D12" s="105">
        <v>9</v>
      </c>
      <c r="E12" s="105" t="s">
        <v>499</v>
      </c>
    </row>
    <row r="13" spans="1:5" x14ac:dyDescent="0.25">
      <c r="A13" s="105" t="s">
        <v>426</v>
      </c>
      <c r="B13" s="105" t="s">
        <v>500</v>
      </c>
      <c r="C13" s="105">
        <v>66</v>
      </c>
      <c r="D13" s="105">
        <v>12</v>
      </c>
      <c r="E13" s="105" t="s">
        <v>501</v>
      </c>
    </row>
    <row r="14" spans="1:5" x14ac:dyDescent="0.25">
      <c r="A14" s="105" t="s">
        <v>429</v>
      </c>
      <c r="B14" s="105" t="s">
        <v>502</v>
      </c>
      <c r="C14" s="105">
        <v>79</v>
      </c>
      <c r="D14" s="105">
        <v>13</v>
      </c>
      <c r="E14" s="105" t="s">
        <v>503</v>
      </c>
    </row>
    <row r="15" spans="1:5" x14ac:dyDescent="0.25">
      <c r="A15" s="105" t="s">
        <v>432</v>
      </c>
      <c r="B15" s="105" t="s">
        <v>504</v>
      </c>
      <c r="C15" s="105">
        <v>96</v>
      </c>
      <c r="D15" s="105">
        <v>17</v>
      </c>
      <c r="E15" s="105" t="s">
        <v>505</v>
      </c>
    </row>
    <row r="16" spans="1:5" x14ac:dyDescent="0.25">
      <c r="A16" s="105" t="s">
        <v>435</v>
      </c>
      <c r="B16" s="105" t="s">
        <v>506</v>
      </c>
      <c r="C16" s="105">
        <v>119</v>
      </c>
      <c r="D16" s="105">
        <v>23</v>
      </c>
      <c r="E16" s="105" t="s">
        <v>507</v>
      </c>
    </row>
    <row r="17" spans="1:5" x14ac:dyDescent="0.25">
      <c r="A17" s="105" t="s">
        <v>438</v>
      </c>
      <c r="B17" s="105" t="s">
        <v>508</v>
      </c>
      <c r="C17" s="105">
        <v>156</v>
      </c>
      <c r="D17" s="105">
        <v>37</v>
      </c>
      <c r="E17" s="105" t="s">
        <v>509</v>
      </c>
    </row>
    <row r="18" spans="1:5" x14ac:dyDescent="0.25">
      <c r="A18" s="105"/>
      <c r="B18" s="105"/>
      <c r="C18" s="105"/>
      <c r="D18" s="105"/>
      <c r="E18" s="105"/>
    </row>
    <row r="19" spans="1:5" x14ac:dyDescent="0.25">
      <c r="A19" s="105"/>
      <c r="B19" s="105"/>
      <c r="C19" s="105"/>
      <c r="D19" s="105"/>
      <c r="E19" s="10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C7" sqref="C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511</v>
      </c>
      <c r="C1" s="47">
        <f>Rendimiento_ENTRENAMIENTO!Y2</f>
        <v>12</v>
      </c>
    </row>
    <row r="2" spans="1:5" s="52" customFormat="1" x14ac:dyDescent="0.25">
      <c r="A2" s="225" t="s">
        <v>385</v>
      </c>
      <c r="B2" s="224" t="s">
        <v>386</v>
      </c>
      <c r="C2" s="224" t="s">
        <v>387</v>
      </c>
      <c r="D2" s="224" t="s">
        <v>388</v>
      </c>
      <c r="E2" s="224" t="s">
        <v>389</v>
      </c>
    </row>
    <row r="3" spans="1:5" x14ac:dyDescent="0.25">
      <c r="A3" s="223" t="s">
        <v>399</v>
      </c>
      <c r="B3" s="105" t="s">
        <v>394</v>
      </c>
      <c r="C3" s="105">
        <v>2</v>
      </c>
      <c r="D3" s="105">
        <v>2</v>
      </c>
      <c r="E3" s="105" t="s">
        <v>486</v>
      </c>
    </row>
    <row r="4" spans="1:5" x14ac:dyDescent="0.25">
      <c r="A4" s="105" t="s">
        <v>402</v>
      </c>
      <c r="B4" s="105" t="s">
        <v>512</v>
      </c>
      <c r="C4" s="105">
        <v>6</v>
      </c>
      <c r="D4" s="105">
        <v>4</v>
      </c>
      <c r="E4" s="105" t="s">
        <v>513</v>
      </c>
    </row>
    <row r="5" spans="1:5" x14ac:dyDescent="0.25">
      <c r="A5" s="105" t="s">
        <v>405</v>
      </c>
      <c r="B5" s="105" t="s">
        <v>457</v>
      </c>
      <c r="C5" s="105">
        <v>10</v>
      </c>
      <c r="D5" s="105">
        <v>4</v>
      </c>
      <c r="E5" s="105" t="s">
        <v>514</v>
      </c>
    </row>
    <row r="6" spans="1:5" x14ac:dyDescent="0.25">
      <c r="A6" s="223" t="s">
        <v>408</v>
      </c>
      <c r="B6" s="223" t="s">
        <v>443</v>
      </c>
      <c r="C6" s="223">
        <v>15</v>
      </c>
      <c r="D6" s="223">
        <v>5</v>
      </c>
      <c r="E6" s="223" t="s">
        <v>515</v>
      </c>
    </row>
    <row r="7" spans="1:5" x14ac:dyDescent="0.25">
      <c r="A7" s="153" t="s">
        <v>411</v>
      </c>
      <c r="B7" s="153" t="s">
        <v>516</v>
      </c>
      <c r="C7" s="153">
        <v>21</v>
      </c>
      <c r="D7" s="153">
        <v>6</v>
      </c>
      <c r="E7" s="153" t="s">
        <v>517</v>
      </c>
    </row>
    <row r="8" spans="1:5" x14ac:dyDescent="0.25">
      <c r="A8" s="153" t="s">
        <v>414</v>
      </c>
      <c r="B8" s="153" t="s">
        <v>518</v>
      </c>
      <c r="C8" s="153">
        <v>27</v>
      </c>
      <c r="D8" s="153">
        <v>6</v>
      </c>
      <c r="E8" s="153" t="s">
        <v>493</v>
      </c>
    </row>
    <row r="9" spans="1:5" x14ac:dyDescent="0.25">
      <c r="A9" s="105" t="s">
        <v>417</v>
      </c>
      <c r="B9" s="105" t="s">
        <v>519</v>
      </c>
      <c r="C9" s="105">
        <v>35</v>
      </c>
      <c r="D9" s="105">
        <v>8</v>
      </c>
      <c r="E9" s="105" t="s">
        <v>520</v>
      </c>
    </row>
    <row r="10" spans="1:5" x14ac:dyDescent="0.25">
      <c r="A10" s="105" t="s">
        <v>420</v>
      </c>
      <c r="B10" s="105" t="s">
        <v>521</v>
      </c>
      <c r="C10" s="105">
        <v>43</v>
      </c>
      <c r="D10" s="105">
        <v>8</v>
      </c>
      <c r="E10" s="105" t="s">
        <v>497</v>
      </c>
    </row>
    <row r="11" spans="1:5" x14ac:dyDescent="0.25">
      <c r="A11" s="105" t="s">
        <v>423</v>
      </c>
      <c r="B11" s="105" t="s">
        <v>449</v>
      </c>
      <c r="C11" s="105">
        <v>53</v>
      </c>
      <c r="D11" s="105">
        <v>10</v>
      </c>
      <c r="E11" s="105" t="s">
        <v>522</v>
      </c>
    </row>
    <row r="12" spans="1:5" x14ac:dyDescent="0.25">
      <c r="A12" s="105" t="s">
        <v>426</v>
      </c>
      <c r="B12" s="105" t="s">
        <v>523</v>
      </c>
      <c r="C12" s="105">
        <v>64</v>
      </c>
      <c r="D12" s="105">
        <v>11</v>
      </c>
      <c r="E12" s="105" t="s">
        <v>524</v>
      </c>
    </row>
    <row r="13" spans="1:5" x14ac:dyDescent="0.25">
      <c r="A13" s="105" t="s">
        <v>429</v>
      </c>
      <c r="B13" s="105" t="s">
        <v>525</v>
      </c>
      <c r="C13" s="105">
        <v>78</v>
      </c>
      <c r="D13" s="105">
        <v>14</v>
      </c>
      <c r="E13" s="105" t="s">
        <v>526</v>
      </c>
    </row>
    <row r="14" spans="1:5" x14ac:dyDescent="0.25">
      <c r="A14" s="105" t="s">
        <v>432</v>
      </c>
      <c r="B14" s="105" t="s">
        <v>527</v>
      </c>
      <c r="C14" s="105">
        <v>95</v>
      </c>
      <c r="D14" s="105">
        <v>17</v>
      </c>
      <c r="E14" s="105" t="s">
        <v>528</v>
      </c>
    </row>
    <row r="15" spans="1:5" x14ac:dyDescent="0.25">
      <c r="A15" s="105" t="s">
        <v>435</v>
      </c>
      <c r="B15" s="105" t="s">
        <v>529</v>
      </c>
      <c r="C15" s="105">
        <v>117</v>
      </c>
      <c r="D15" s="105">
        <v>22</v>
      </c>
      <c r="E15" s="105" t="s">
        <v>507</v>
      </c>
    </row>
    <row r="16" spans="1:5" x14ac:dyDescent="0.25">
      <c r="A16" s="105" t="s">
        <v>438</v>
      </c>
      <c r="B16" s="105" t="s">
        <v>530</v>
      </c>
      <c r="C16" s="105">
        <v>155</v>
      </c>
      <c r="D16" s="105">
        <v>38</v>
      </c>
      <c r="E16" s="105" t="s">
        <v>531</v>
      </c>
    </row>
    <row r="17" spans="1:5" x14ac:dyDescent="0.25">
      <c r="A17" s="105"/>
      <c r="B17" s="105"/>
      <c r="C17" s="105"/>
      <c r="D17" s="105"/>
      <c r="E17" s="105"/>
    </row>
    <row r="18" spans="1:5" x14ac:dyDescent="0.25">
      <c r="A18" s="105"/>
      <c r="B18" s="105"/>
      <c r="C18" s="105"/>
      <c r="D18" s="105"/>
      <c r="E18" s="10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D7" sqref="D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294</v>
      </c>
      <c r="C1" s="47">
        <f>Rendimiento_ENTRENAMIENTO!Y2</f>
        <v>12</v>
      </c>
    </row>
    <row r="2" spans="1:5" s="52" customFormat="1" x14ac:dyDescent="0.25">
      <c r="A2" s="225" t="s">
        <v>385</v>
      </c>
      <c r="B2" s="224" t="s">
        <v>386</v>
      </c>
      <c r="C2" s="224" t="s">
        <v>387</v>
      </c>
      <c r="D2" s="224" t="s">
        <v>388</v>
      </c>
      <c r="E2" s="224" t="s">
        <v>389</v>
      </c>
    </row>
    <row r="3" spans="1:5" x14ac:dyDescent="0.25">
      <c r="A3" s="223" t="s">
        <v>396</v>
      </c>
      <c r="B3" s="105" t="s">
        <v>394</v>
      </c>
      <c r="C3" s="105">
        <v>2</v>
      </c>
      <c r="D3" s="105">
        <v>2</v>
      </c>
      <c r="E3" s="105" t="s">
        <v>532</v>
      </c>
    </row>
    <row r="4" spans="1:5" x14ac:dyDescent="0.25">
      <c r="A4" s="105" t="s">
        <v>399</v>
      </c>
      <c r="B4" s="105" t="s">
        <v>397</v>
      </c>
      <c r="C4" s="105">
        <v>5</v>
      </c>
      <c r="D4" s="105">
        <v>3</v>
      </c>
      <c r="E4" s="105" t="s">
        <v>533</v>
      </c>
    </row>
    <row r="5" spans="1:5" x14ac:dyDescent="0.25">
      <c r="A5" s="105" t="s">
        <v>402</v>
      </c>
      <c r="B5" s="105" t="s">
        <v>400</v>
      </c>
      <c r="C5" s="105">
        <v>8</v>
      </c>
      <c r="D5" s="105">
        <v>3</v>
      </c>
      <c r="E5" s="105" t="s">
        <v>513</v>
      </c>
    </row>
    <row r="6" spans="1:5" x14ac:dyDescent="0.25">
      <c r="A6" s="223" t="s">
        <v>405</v>
      </c>
      <c r="B6" s="223" t="s">
        <v>534</v>
      </c>
      <c r="C6" s="223">
        <v>13</v>
      </c>
      <c r="D6" s="223">
        <v>5</v>
      </c>
      <c r="E6" s="223" t="s">
        <v>535</v>
      </c>
    </row>
    <row r="7" spans="1:5" x14ac:dyDescent="0.25">
      <c r="A7" s="153" t="s">
        <v>408</v>
      </c>
      <c r="B7" s="153" t="s">
        <v>536</v>
      </c>
      <c r="C7" s="153">
        <v>17</v>
      </c>
      <c r="D7" s="153">
        <v>4</v>
      </c>
      <c r="E7" s="153" t="s">
        <v>515</v>
      </c>
    </row>
    <row r="8" spans="1:5" x14ac:dyDescent="0.25">
      <c r="A8" s="153" t="s">
        <v>411</v>
      </c>
      <c r="B8" s="153" t="s">
        <v>537</v>
      </c>
      <c r="C8" s="153">
        <v>23</v>
      </c>
      <c r="D8" s="153">
        <v>6</v>
      </c>
      <c r="E8" s="153" t="s">
        <v>517</v>
      </c>
    </row>
    <row r="9" spans="1:5" x14ac:dyDescent="0.25">
      <c r="A9" s="105" t="s">
        <v>414</v>
      </c>
      <c r="B9" s="105" t="s">
        <v>446</v>
      </c>
      <c r="C9" s="105">
        <v>30</v>
      </c>
      <c r="D9" s="105">
        <v>7</v>
      </c>
      <c r="E9" s="105" t="s">
        <v>538</v>
      </c>
    </row>
    <row r="10" spans="1:5" x14ac:dyDescent="0.25">
      <c r="A10" s="105" t="s">
        <v>417</v>
      </c>
      <c r="B10" s="105" t="s">
        <v>447</v>
      </c>
      <c r="C10" s="105">
        <v>37</v>
      </c>
      <c r="D10" s="105">
        <v>7</v>
      </c>
      <c r="E10" s="105" t="s">
        <v>520</v>
      </c>
    </row>
    <row r="11" spans="1:5" x14ac:dyDescent="0.25">
      <c r="A11" s="105" t="s">
        <v>420</v>
      </c>
      <c r="B11" s="105" t="s">
        <v>539</v>
      </c>
      <c r="C11" s="105">
        <v>46</v>
      </c>
      <c r="D11" s="105">
        <v>9</v>
      </c>
      <c r="E11" s="105" t="s">
        <v>540</v>
      </c>
    </row>
    <row r="12" spans="1:5" x14ac:dyDescent="0.25">
      <c r="A12" s="105" t="s">
        <v>423</v>
      </c>
      <c r="B12" s="105" t="s">
        <v>541</v>
      </c>
      <c r="C12" s="105">
        <v>55</v>
      </c>
      <c r="D12" s="105">
        <v>9</v>
      </c>
      <c r="E12" s="105" t="s">
        <v>522</v>
      </c>
    </row>
    <row r="13" spans="1:5" x14ac:dyDescent="0.25">
      <c r="A13" s="105" t="s">
        <v>426</v>
      </c>
      <c r="B13" s="105" t="s">
        <v>542</v>
      </c>
      <c r="C13" s="105">
        <v>67</v>
      </c>
      <c r="D13" s="105">
        <v>12</v>
      </c>
      <c r="E13" s="105" t="s">
        <v>543</v>
      </c>
    </row>
    <row r="14" spans="1:5" x14ac:dyDescent="0.25">
      <c r="A14" s="105" t="s">
        <v>429</v>
      </c>
      <c r="B14" s="105" t="s">
        <v>544</v>
      </c>
      <c r="C14" s="105">
        <v>80</v>
      </c>
      <c r="D14" s="105">
        <v>13</v>
      </c>
      <c r="E14" s="105" t="s">
        <v>526</v>
      </c>
    </row>
    <row r="15" spans="1:5" x14ac:dyDescent="0.25">
      <c r="A15" s="105" t="s">
        <v>432</v>
      </c>
      <c r="B15" s="105" t="s">
        <v>545</v>
      </c>
      <c r="C15" s="105">
        <v>97</v>
      </c>
      <c r="D15" s="105">
        <v>17</v>
      </c>
      <c r="E15" s="105" t="s">
        <v>528</v>
      </c>
    </row>
    <row r="16" spans="1:5" x14ac:dyDescent="0.25">
      <c r="A16" s="105" t="s">
        <v>435</v>
      </c>
      <c r="B16" s="105" t="s">
        <v>546</v>
      </c>
      <c r="C16" s="105">
        <v>120</v>
      </c>
      <c r="D16" s="105">
        <v>23</v>
      </c>
      <c r="E16" s="105" t="s">
        <v>547</v>
      </c>
    </row>
    <row r="17" spans="1:5" x14ac:dyDescent="0.25">
      <c r="A17" s="105" t="s">
        <v>438</v>
      </c>
      <c r="B17" s="105" t="s">
        <v>548</v>
      </c>
      <c r="C17" s="105">
        <v>158</v>
      </c>
      <c r="D17" s="105">
        <v>38</v>
      </c>
      <c r="E17" s="105" t="s">
        <v>549</v>
      </c>
    </row>
    <row r="18" spans="1:5" x14ac:dyDescent="0.25">
      <c r="A18" s="105"/>
      <c r="B18" s="105"/>
      <c r="C18" s="105"/>
      <c r="D18" s="105"/>
      <c r="E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452</v>
      </c>
      <c r="C1" s="47">
        <f>Rendimiento_ENTRENAMIENTO!Y2</f>
        <v>12</v>
      </c>
    </row>
    <row r="2" spans="1:5" s="52" customFormat="1" x14ac:dyDescent="0.25">
      <c r="A2" s="225" t="s">
        <v>385</v>
      </c>
      <c r="B2" s="224" t="s">
        <v>386</v>
      </c>
      <c r="C2" s="224" t="s">
        <v>387</v>
      </c>
      <c r="D2" s="224" t="s">
        <v>388</v>
      </c>
      <c r="E2" s="224" t="s">
        <v>389</v>
      </c>
    </row>
    <row r="3" spans="1:5" x14ac:dyDescent="0.25">
      <c r="A3" s="223" t="s">
        <v>399</v>
      </c>
      <c r="B3" s="105" t="s">
        <v>485</v>
      </c>
      <c r="C3" s="105">
        <v>4</v>
      </c>
      <c r="D3" s="105">
        <v>4</v>
      </c>
      <c r="E3" s="105" t="s">
        <v>484</v>
      </c>
    </row>
    <row r="4" spans="1:5" x14ac:dyDescent="0.25">
      <c r="A4" s="105" t="s">
        <v>402</v>
      </c>
      <c r="B4" s="105" t="s">
        <v>455</v>
      </c>
      <c r="C4" s="105">
        <v>7</v>
      </c>
      <c r="D4" s="105">
        <v>3</v>
      </c>
      <c r="E4" s="105" t="s">
        <v>486</v>
      </c>
    </row>
    <row r="5" spans="1:5" x14ac:dyDescent="0.25">
      <c r="A5" s="153" t="s">
        <v>405</v>
      </c>
      <c r="B5" s="153" t="s">
        <v>403</v>
      </c>
      <c r="C5" s="153">
        <v>11</v>
      </c>
      <c r="D5" s="153">
        <v>4</v>
      </c>
      <c r="E5" s="153" t="s">
        <v>513</v>
      </c>
    </row>
    <row r="6" spans="1:5" x14ac:dyDescent="0.25">
      <c r="A6" s="223" t="s">
        <v>408</v>
      </c>
      <c r="B6" s="223" t="s">
        <v>406</v>
      </c>
      <c r="C6" s="223">
        <v>16</v>
      </c>
      <c r="D6" s="223">
        <v>5</v>
      </c>
      <c r="E6" s="223" t="s">
        <v>535</v>
      </c>
    </row>
    <row r="7" spans="1:5" x14ac:dyDescent="0.25">
      <c r="A7" s="153" t="s">
        <v>411</v>
      </c>
      <c r="B7" s="153" t="s">
        <v>490</v>
      </c>
      <c r="C7" s="153">
        <v>22</v>
      </c>
      <c r="D7" s="153">
        <v>6</v>
      </c>
      <c r="E7" s="153" t="s">
        <v>551</v>
      </c>
    </row>
    <row r="8" spans="1:5" x14ac:dyDescent="0.25">
      <c r="A8" s="153" t="s">
        <v>414</v>
      </c>
      <c r="B8" s="153" t="s">
        <v>552</v>
      </c>
      <c r="C8" s="153">
        <v>28</v>
      </c>
      <c r="D8" s="153">
        <v>6</v>
      </c>
      <c r="E8" s="153" t="s">
        <v>553</v>
      </c>
    </row>
    <row r="9" spans="1:5" x14ac:dyDescent="0.25">
      <c r="A9" s="105" t="s">
        <v>417</v>
      </c>
      <c r="B9" s="105" t="s">
        <v>494</v>
      </c>
      <c r="C9" s="105">
        <v>36</v>
      </c>
      <c r="D9" s="105">
        <v>8</v>
      </c>
      <c r="E9" s="105" t="s">
        <v>554</v>
      </c>
    </row>
    <row r="10" spans="1:5" x14ac:dyDescent="0.25">
      <c r="A10" s="105" t="s">
        <v>420</v>
      </c>
      <c r="B10" s="105" t="s">
        <v>448</v>
      </c>
      <c r="C10" s="105">
        <v>44</v>
      </c>
      <c r="D10" s="105">
        <v>8</v>
      </c>
      <c r="E10" s="105" t="s">
        <v>555</v>
      </c>
    </row>
    <row r="11" spans="1:5" x14ac:dyDescent="0.25">
      <c r="A11" s="105" t="s">
        <v>423</v>
      </c>
      <c r="B11" s="105" t="s">
        <v>498</v>
      </c>
      <c r="C11" s="105">
        <v>54</v>
      </c>
      <c r="D11" s="105">
        <v>10</v>
      </c>
      <c r="E11" s="105" t="s">
        <v>556</v>
      </c>
    </row>
    <row r="12" spans="1:5" x14ac:dyDescent="0.25">
      <c r="A12" s="105" t="s">
        <v>426</v>
      </c>
      <c r="B12" s="105" t="s">
        <v>557</v>
      </c>
      <c r="C12" s="105">
        <v>65</v>
      </c>
      <c r="D12" s="105">
        <v>11</v>
      </c>
      <c r="E12" s="105" t="s">
        <v>558</v>
      </c>
    </row>
    <row r="13" spans="1:5" x14ac:dyDescent="0.25">
      <c r="A13" s="105" t="s">
        <v>429</v>
      </c>
      <c r="B13" s="105" t="s">
        <v>502</v>
      </c>
      <c r="C13" s="105">
        <v>79</v>
      </c>
      <c r="D13" s="105">
        <v>14</v>
      </c>
      <c r="E13" s="105" t="s">
        <v>559</v>
      </c>
    </row>
    <row r="14" spans="1:5" x14ac:dyDescent="0.25">
      <c r="A14" s="105" t="s">
        <v>432</v>
      </c>
      <c r="B14" s="105" t="s">
        <v>504</v>
      </c>
      <c r="C14" s="105">
        <v>96</v>
      </c>
      <c r="D14" s="105">
        <v>17</v>
      </c>
      <c r="E14" s="105" t="s">
        <v>560</v>
      </c>
    </row>
    <row r="15" spans="1:5" x14ac:dyDescent="0.25">
      <c r="A15" s="105" t="s">
        <v>435</v>
      </c>
      <c r="B15" s="105" t="s">
        <v>561</v>
      </c>
      <c r="C15" s="105">
        <v>118</v>
      </c>
      <c r="D15" s="105">
        <v>22</v>
      </c>
      <c r="E15" s="105" t="s">
        <v>562</v>
      </c>
    </row>
    <row r="16" spans="1:5" x14ac:dyDescent="0.25">
      <c r="A16" s="105" t="s">
        <v>438</v>
      </c>
      <c r="B16" s="105" t="s">
        <v>530</v>
      </c>
      <c r="C16" s="105">
        <v>155</v>
      </c>
      <c r="D16" s="105">
        <v>37</v>
      </c>
      <c r="E16" s="105" t="s">
        <v>563</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7"/>
  <sheetViews>
    <sheetView workbookViewId="0">
      <selection activeCell="B14" sqref="B14"/>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43124</v>
      </c>
      <c r="B1" t="s">
        <v>566</v>
      </c>
      <c r="C1" s="47">
        <f>Rendimiento_ENTRENAMIENTO!Y2</f>
        <v>12</v>
      </c>
    </row>
    <row r="2" spans="1:5" s="52" customFormat="1" x14ac:dyDescent="0.25">
      <c r="A2" s="225" t="s">
        <v>385</v>
      </c>
      <c r="B2" s="224" t="s">
        <v>386</v>
      </c>
      <c r="C2" s="224" t="s">
        <v>387</v>
      </c>
      <c r="D2" s="224" t="s">
        <v>388</v>
      </c>
      <c r="E2" s="224" t="s">
        <v>389</v>
      </c>
    </row>
    <row r="3" spans="1:5" x14ac:dyDescent="0.25">
      <c r="A3" s="223" t="s">
        <v>396</v>
      </c>
      <c r="B3" s="105" t="s">
        <v>397</v>
      </c>
      <c r="C3" s="105">
        <v>3</v>
      </c>
      <c r="D3" s="105">
        <v>3</v>
      </c>
      <c r="E3" s="105" t="s">
        <v>567</v>
      </c>
    </row>
    <row r="4" spans="1:5" x14ac:dyDescent="0.25">
      <c r="A4" s="105" t="s">
        <v>399</v>
      </c>
      <c r="B4" s="105" t="s">
        <v>400</v>
      </c>
      <c r="C4" s="105">
        <v>6</v>
      </c>
      <c r="D4" s="105">
        <v>3</v>
      </c>
      <c r="E4" s="105" t="s">
        <v>568</v>
      </c>
    </row>
    <row r="5" spans="1:5" x14ac:dyDescent="0.25">
      <c r="A5" s="223" t="s">
        <v>402</v>
      </c>
      <c r="B5" s="223" t="s">
        <v>569</v>
      </c>
      <c r="C5" s="223">
        <v>10</v>
      </c>
      <c r="D5" s="223">
        <v>4</v>
      </c>
      <c r="E5" s="223" t="s">
        <v>570</v>
      </c>
    </row>
    <row r="6" spans="1:5" x14ac:dyDescent="0.25">
      <c r="A6" s="153" t="s">
        <v>405</v>
      </c>
      <c r="B6" s="153" t="s">
        <v>406</v>
      </c>
      <c r="C6" s="153">
        <v>14</v>
      </c>
      <c r="D6" s="153">
        <v>4</v>
      </c>
      <c r="E6" s="153" t="s">
        <v>571</v>
      </c>
    </row>
    <row r="7" spans="1:5" x14ac:dyDescent="0.25">
      <c r="A7" s="153" t="s">
        <v>408</v>
      </c>
      <c r="B7" s="153" t="s">
        <v>516</v>
      </c>
      <c r="C7" s="153">
        <v>19</v>
      </c>
      <c r="D7" s="153">
        <v>5</v>
      </c>
      <c r="E7" s="153" t="s">
        <v>489</v>
      </c>
    </row>
    <row r="8" spans="1:5" x14ac:dyDescent="0.25">
      <c r="A8" s="153" t="s">
        <v>411</v>
      </c>
      <c r="B8" s="153" t="s">
        <v>518</v>
      </c>
      <c r="C8" s="153">
        <v>25</v>
      </c>
      <c r="D8" s="153">
        <v>6</v>
      </c>
      <c r="E8" s="153" t="s">
        <v>491</v>
      </c>
    </row>
    <row r="9" spans="1:5" x14ac:dyDescent="0.25">
      <c r="A9" s="105" t="s">
        <v>414</v>
      </c>
      <c r="B9" s="105" t="s">
        <v>415</v>
      </c>
      <c r="C9" s="105">
        <v>31</v>
      </c>
      <c r="D9" s="105">
        <v>6</v>
      </c>
      <c r="E9" s="105" t="s">
        <v>572</v>
      </c>
    </row>
    <row r="10" spans="1:5" x14ac:dyDescent="0.25">
      <c r="A10" s="105" t="s">
        <v>417</v>
      </c>
      <c r="B10" s="105" t="s">
        <v>550</v>
      </c>
      <c r="C10" s="105">
        <v>39</v>
      </c>
      <c r="D10" s="105">
        <v>8</v>
      </c>
      <c r="E10" s="105" t="s">
        <v>495</v>
      </c>
    </row>
    <row r="11" spans="1:5" x14ac:dyDescent="0.25">
      <c r="A11" s="105" t="s">
        <v>420</v>
      </c>
      <c r="B11" s="105" t="s">
        <v>421</v>
      </c>
      <c r="C11" s="105">
        <v>47</v>
      </c>
      <c r="D11" s="105">
        <v>8</v>
      </c>
      <c r="E11" s="105" t="s">
        <v>573</v>
      </c>
    </row>
    <row r="12" spans="1:5" x14ac:dyDescent="0.25">
      <c r="A12" s="105" t="s">
        <v>423</v>
      </c>
      <c r="B12" s="105" t="s">
        <v>424</v>
      </c>
      <c r="C12" s="105">
        <v>57</v>
      </c>
      <c r="D12" s="105">
        <v>10</v>
      </c>
      <c r="E12" s="105" t="s">
        <v>499</v>
      </c>
    </row>
    <row r="13" spans="1:5" x14ac:dyDescent="0.25">
      <c r="A13" s="105" t="s">
        <v>426</v>
      </c>
      <c r="B13" s="105" t="s">
        <v>427</v>
      </c>
      <c r="C13" s="105">
        <v>68</v>
      </c>
      <c r="D13" s="105">
        <v>11</v>
      </c>
      <c r="E13" s="105" t="s">
        <v>574</v>
      </c>
    </row>
    <row r="14" spans="1:5" x14ac:dyDescent="0.25">
      <c r="A14" s="105" t="s">
        <v>429</v>
      </c>
      <c r="B14" s="105" t="s">
        <v>430</v>
      </c>
      <c r="C14" s="105">
        <v>82</v>
      </c>
      <c r="D14" s="105">
        <v>14</v>
      </c>
      <c r="E14" s="105" t="s">
        <v>503</v>
      </c>
    </row>
    <row r="15" spans="1:5" x14ac:dyDescent="0.25">
      <c r="A15" s="105" t="s">
        <v>432</v>
      </c>
      <c r="B15" s="105" t="s">
        <v>433</v>
      </c>
      <c r="C15" s="105">
        <v>99</v>
      </c>
      <c r="D15" s="105">
        <v>17</v>
      </c>
      <c r="E15" s="105" t="s">
        <v>505</v>
      </c>
    </row>
    <row r="16" spans="1:5" x14ac:dyDescent="0.25">
      <c r="A16" s="105" t="s">
        <v>435</v>
      </c>
      <c r="B16" s="105" t="s">
        <v>436</v>
      </c>
      <c r="C16" s="105">
        <v>121</v>
      </c>
      <c r="D16" s="105">
        <v>22</v>
      </c>
      <c r="E16" s="105" t="s">
        <v>575</v>
      </c>
    </row>
    <row r="17" spans="1:5" x14ac:dyDescent="0.25">
      <c r="A17" t="s">
        <v>438</v>
      </c>
      <c r="B17" t="s">
        <v>439</v>
      </c>
      <c r="C17">
        <v>159</v>
      </c>
      <c r="D17">
        <v>38</v>
      </c>
      <c r="E17" t="s">
        <v>509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310</v>
      </c>
      <c r="B1"/>
    </row>
    <row r="2" spans="1:40" x14ac:dyDescent="0.25">
      <c r="A2"/>
      <c r="B2" t="s">
        <v>311</v>
      </c>
    </row>
    <row r="3" spans="1:40" x14ac:dyDescent="0.25">
      <c r="A3" t="s">
        <v>312</v>
      </c>
      <c r="B3"/>
    </row>
    <row r="4" spans="1:40" x14ac:dyDescent="0.25">
      <c r="A4"/>
      <c r="B4" t="s">
        <v>313</v>
      </c>
    </row>
    <row r="5" spans="1:40" x14ac:dyDescent="0.25">
      <c r="A5"/>
      <c r="B5" t="s">
        <v>314</v>
      </c>
    </row>
    <row r="6" spans="1:40" x14ac:dyDescent="0.25">
      <c r="A6" t="s">
        <v>315</v>
      </c>
      <c r="B6"/>
    </row>
    <row r="7" spans="1:40" x14ac:dyDescent="0.25">
      <c r="A7"/>
      <c r="B7" t="s">
        <v>316</v>
      </c>
      <c r="X7">
        <f>X8-112</f>
        <v>80.5</v>
      </c>
    </row>
    <row r="8" spans="1:40" x14ac:dyDescent="0.25">
      <c r="A8" t="s">
        <v>317</v>
      </c>
      <c r="B8"/>
      <c r="X8">
        <f>(X9+X10)*7</f>
        <v>192.5</v>
      </c>
    </row>
    <row r="9" spans="1:40" x14ac:dyDescent="0.25">
      <c r="A9"/>
      <c r="B9" t="s">
        <v>318</v>
      </c>
      <c r="W9" s="198" t="s">
        <v>194</v>
      </c>
      <c r="X9" s="199">
        <v>13.5</v>
      </c>
    </row>
    <row r="10" spans="1:40" x14ac:dyDescent="0.25">
      <c r="A10"/>
      <c r="B10"/>
      <c r="W10" s="198" t="s">
        <v>319</v>
      </c>
      <c r="X10" s="198">
        <v>14</v>
      </c>
    </row>
    <row r="11" spans="1:40" x14ac:dyDescent="0.25">
      <c r="A11"/>
      <c r="B11"/>
      <c r="F11" s="194"/>
      <c r="G11" s="194"/>
      <c r="H11" s="194"/>
      <c r="I11" s="194"/>
      <c r="J11" s="194"/>
      <c r="K11" s="194"/>
      <c r="L11" s="194"/>
      <c r="M11" s="195">
        <f>SUM(M13:M27)</f>
        <v>970</v>
      </c>
      <c r="N11" s="194"/>
      <c r="O11" s="194"/>
      <c r="P11" s="194"/>
      <c r="Q11" s="194"/>
      <c r="R11" s="194"/>
      <c r="S11" s="194"/>
      <c r="T11" s="194"/>
      <c r="U11" s="194"/>
      <c r="Y11" s="194"/>
      <c r="Z11" s="194"/>
      <c r="AA11" s="194"/>
      <c r="AB11" s="194"/>
      <c r="AC11" s="194"/>
      <c r="AD11" s="194"/>
      <c r="AE11" s="194"/>
      <c r="AF11" s="195">
        <f>SUM(AF13:AF27)</f>
        <v>5644.4400000000005</v>
      </c>
      <c r="AG11" s="194"/>
      <c r="AH11" s="194"/>
      <c r="AI11" s="194"/>
      <c r="AJ11" s="194"/>
      <c r="AK11" s="194"/>
      <c r="AL11" s="194"/>
      <c r="AM11" s="194"/>
      <c r="AN11" s="194"/>
    </row>
    <row r="12" spans="1:40" x14ac:dyDescent="0.25">
      <c r="A12" s="10" t="s">
        <v>170</v>
      </c>
      <c r="B12" s="10" t="s">
        <v>320</v>
      </c>
      <c r="C12" s="10" t="s">
        <v>84</v>
      </c>
      <c r="D12" s="10" t="s">
        <v>321</v>
      </c>
      <c r="E12" s="10" t="s">
        <v>322</v>
      </c>
      <c r="F12" s="10" t="s">
        <v>15</v>
      </c>
      <c r="G12" s="10" t="s">
        <v>16</v>
      </c>
      <c r="H12" s="10" t="s">
        <v>17</v>
      </c>
      <c r="I12" s="10" t="s">
        <v>18</v>
      </c>
      <c r="J12" s="10" t="s">
        <v>19</v>
      </c>
      <c r="K12" s="10" t="s">
        <v>20</v>
      </c>
      <c r="L12" s="10" t="s">
        <v>6</v>
      </c>
      <c r="M12" s="10" t="s">
        <v>68</v>
      </c>
      <c r="N12" s="10" t="s">
        <v>323</v>
      </c>
      <c r="O12" s="10" t="s">
        <v>324</v>
      </c>
      <c r="P12" s="10" t="s">
        <v>325</v>
      </c>
      <c r="Q12" s="10" t="s">
        <v>326</v>
      </c>
      <c r="R12" s="10" t="s">
        <v>327</v>
      </c>
      <c r="S12" s="10" t="s">
        <v>328</v>
      </c>
      <c r="T12" s="10" t="s">
        <v>329</v>
      </c>
      <c r="U12" s="10" t="s">
        <v>330</v>
      </c>
      <c r="W12" s="10" t="s">
        <v>321</v>
      </c>
      <c r="X12" s="10" t="s">
        <v>322</v>
      </c>
      <c r="Y12" s="10" t="s">
        <v>15</v>
      </c>
      <c r="Z12" s="10" t="s">
        <v>16</v>
      </c>
      <c r="AA12" s="10" t="s">
        <v>17</v>
      </c>
      <c r="AB12" s="10" t="s">
        <v>18</v>
      </c>
      <c r="AC12" s="10" t="s">
        <v>19</v>
      </c>
      <c r="AD12" s="10" t="s">
        <v>20</v>
      </c>
      <c r="AE12" s="10" t="s">
        <v>6</v>
      </c>
      <c r="AF12" s="10" t="s">
        <v>68</v>
      </c>
      <c r="AG12" s="10" t="s">
        <v>323</v>
      </c>
      <c r="AH12" s="10" t="s">
        <v>324</v>
      </c>
      <c r="AI12" s="10" t="s">
        <v>325</v>
      </c>
      <c r="AJ12" s="10" t="s">
        <v>326</v>
      </c>
      <c r="AK12" s="10" t="s">
        <v>327</v>
      </c>
      <c r="AL12" s="10" t="s">
        <v>328</v>
      </c>
      <c r="AM12" s="10" t="s">
        <v>329</v>
      </c>
      <c r="AN12" s="10" t="s">
        <v>330</v>
      </c>
    </row>
    <row r="13" spans="1:40" x14ac:dyDescent="0.25">
      <c r="A13" t="s">
        <v>29</v>
      </c>
      <c r="B13" s="15"/>
      <c r="C13" s="18"/>
      <c r="D13" s="18"/>
      <c r="E13" s="18"/>
      <c r="F13" s="111">
        <v>2</v>
      </c>
      <c r="G13" s="19">
        <v>2</v>
      </c>
      <c r="H13" s="111">
        <v>0</v>
      </c>
      <c r="I13" s="19">
        <v>0</v>
      </c>
      <c r="J13" s="111">
        <v>0</v>
      </c>
      <c r="K13" s="19">
        <v>0</v>
      </c>
      <c r="L13" s="111">
        <v>2</v>
      </c>
      <c r="M13" s="47"/>
      <c r="N13" s="194">
        <v>0</v>
      </c>
      <c r="O13" s="194">
        <v>0</v>
      </c>
      <c r="P13" s="194">
        <v>0</v>
      </c>
      <c r="Q13" s="196">
        <v>0</v>
      </c>
      <c r="R13" s="196">
        <v>0</v>
      </c>
      <c r="S13" s="196">
        <v>0</v>
      </c>
      <c r="T13" s="196">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4">
        <v>0</v>
      </c>
      <c r="AH13" s="194">
        <v>0</v>
      </c>
      <c r="AI13" s="194">
        <v>0</v>
      </c>
      <c r="AJ13" s="196">
        <v>0</v>
      </c>
      <c r="AK13" s="196">
        <v>0</v>
      </c>
      <c r="AL13" s="196">
        <v>0</v>
      </c>
      <c r="AM13" s="196">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4">
        <v>0</v>
      </c>
      <c r="O14" s="194">
        <v>0</v>
      </c>
      <c r="P14" s="194">
        <v>0</v>
      </c>
      <c r="Q14" s="194">
        <v>0</v>
      </c>
      <c r="R14" s="194">
        <v>0</v>
      </c>
      <c r="S14" s="194">
        <v>0</v>
      </c>
      <c r="T14" s="194">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4">
        <v>0</v>
      </c>
      <c r="AH14" s="194">
        <v>0</v>
      </c>
      <c r="AI14" s="194">
        <v>0</v>
      </c>
      <c r="AJ14" s="194">
        <v>0</v>
      </c>
      <c r="AK14" s="194">
        <v>0</v>
      </c>
      <c r="AL14" s="194">
        <v>0</v>
      </c>
      <c r="AM14" s="194">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4">
        <v>0</v>
      </c>
      <c r="O15" s="194">
        <v>0</v>
      </c>
      <c r="P15" s="194">
        <v>0</v>
      </c>
      <c r="Q15" s="194">
        <v>0</v>
      </c>
      <c r="R15" s="194">
        <v>0</v>
      </c>
      <c r="S15" s="194">
        <v>0</v>
      </c>
      <c r="T15" s="194">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4">
        <v>0</v>
      </c>
      <c r="AH15" s="194">
        <v>0</v>
      </c>
      <c r="AI15" s="194">
        <v>0</v>
      </c>
      <c r="AJ15" s="194">
        <v>0</v>
      </c>
      <c r="AK15" s="194">
        <v>0</v>
      </c>
      <c r="AL15" s="194">
        <v>0</v>
      </c>
      <c r="AM15" s="194">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4">
        <v>0</v>
      </c>
      <c r="O16" s="194">
        <v>0</v>
      </c>
      <c r="P16" s="194">
        <v>0</v>
      </c>
      <c r="Q16" s="194">
        <v>0</v>
      </c>
      <c r="R16" s="194">
        <v>0</v>
      </c>
      <c r="S16" s="194">
        <v>0</v>
      </c>
      <c r="T16" s="194">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4">
        <v>0</v>
      </c>
      <c r="AH16" s="194">
        <v>0</v>
      </c>
      <c r="AI16" s="194">
        <v>0</v>
      </c>
      <c r="AJ16" s="194">
        <v>0</v>
      </c>
      <c r="AK16" s="194">
        <v>0</v>
      </c>
      <c r="AL16" s="194">
        <v>0</v>
      </c>
      <c r="AM16" s="194">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4">
        <v>0</v>
      </c>
      <c r="O17" s="194">
        <v>0</v>
      </c>
      <c r="P17" s="194">
        <v>0</v>
      </c>
      <c r="Q17" s="194">
        <v>0</v>
      </c>
      <c r="R17" s="194">
        <v>0</v>
      </c>
      <c r="S17" s="194">
        <v>0</v>
      </c>
      <c r="T17" s="194">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4">
        <v>0</v>
      </c>
      <c r="AH17" s="194">
        <v>0</v>
      </c>
      <c r="AI17" s="194">
        <v>0</v>
      </c>
      <c r="AJ17" s="194">
        <v>0</v>
      </c>
      <c r="AK17" s="194">
        <v>0</v>
      </c>
      <c r="AL17" s="194">
        <v>0</v>
      </c>
      <c r="AM17" s="194">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4">
        <v>0</v>
      </c>
      <c r="O18" s="194">
        <v>0</v>
      </c>
      <c r="P18" s="194">
        <v>0</v>
      </c>
      <c r="Q18" s="194">
        <v>0</v>
      </c>
      <c r="R18" s="194">
        <v>0</v>
      </c>
      <c r="S18" s="194">
        <v>0</v>
      </c>
      <c r="T18" s="194">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4">
        <v>0</v>
      </c>
      <c r="AH18" s="194">
        <v>0</v>
      </c>
      <c r="AI18" s="194">
        <v>0</v>
      </c>
      <c r="AJ18" s="194">
        <v>0</v>
      </c>
      <c r="AK18" s="194">
        <v>0</v>
      </c>
      <c r="AL18" s="194">
        <v>0</v>
      </c>
      <c r="AM18" s="194">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4">
        <v>0</v>
      </c>
      <c r="O19" s="194">
        <v>0</v>
      </c>
      <c r="P19" s="194">
        <v>0</v>
      </c>
      <c r="Q19" s="194">
        <v>0</v>
      </c>
      <c r="R19" s="194">
        <v>0</v>
      </c>
      <c r="S19" s="194">
        <v>0</v>
      </c>
      <c r="T19" s="194">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4">
        <v>0</v>
      </c>
      <c r="AH19" s="194">
        <v>0</v>
      </c>
      <c r="AI19" s="194">
        <v>0</v>
      </c>
      <c r="AJ19" s="194">
        <v>0</v>
      </c>
      <c r="AK19" s="194">
        <v>0</v>
      </c>
      <c r="AL19" s="194">
        <v>0</v>
      </c>
      <c r="AM19" s="194">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4">
        <v>0</v>
      </c>
      <c r="O20" s="194">
        <v>0</v>
      </c>
      <c r="P20" s="194">
        <v>0</v>
      </c>
      <c r="Q20" s="194">
        <v>0</v>
      </c>
      <c r="R20" s="194">
        <v>0</v>
      </c>
      <c r="S20" s="194">
        <v>0</v>
      </c>
      <c r="T20" s="194">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4">
        <v>0</v>
      </c>
      <c r="AH20" s="194">
        <v>0</v>
      </c>
      <c r="AI20" s="194">
        <v>0</v>
      </c>
      <c r="AJ20" s="194">
        <v>0</v>
      </c>
      <c r="AK20" s="194">
        <v>0</v>
      </c>
      <c r="AL20" s="194">
        <v>0</v>
      </c>
      <c r="AM20" s="194">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4">
        <v>0</v>
      </c>
      <c r="O21" s="194">
        <v>0</v>
      </c>
      <c r="P21" s="194">
        <v>0</v>
      </c>
      <c r="Q21" s="194">
        <v>0</v>
      </c>
      <c r="R21" s="194">
        <v>0</v>
      </c>
      <c r="S21" s="194">
        <v>0</v>
      </c>
      <c r="T21" s="194">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4">
        <v>0</v>
      </c>
      <c r="AH21" s="194">
        <v>0</v>
      </c>
      <c r="AI21" s="194">
        <v>0</v>
      </c>
      <c r="AJ21" s="194">
        <v>0</v>
      </c>
      <c r="AK21" s="194">
        <v>0</v>
      </c>
      <c r="AL21" s="194">
        <v>0</v>
      </c>
      <c r="AM21" s="194">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4">
        <v>0</v>
      </c>
      <c r="O22" s="194">
        <v>0</v>
      </c>
      <c r="P22" s="194">
        <v>0</v>
      </c>
      <c r="Q22" s="194">
        <v>0</v>
      </c>
      <c r="R22" s="194">
        <v>0</v>
      </c>
      <c r="S22" s="194">
        <v>0</v>
      </c>
      <c r="T22" s="194">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4">
        <v>0</v>
      </c>
      <c r="AH22" s="194">
        <v>0</v>
      </c>
      <c r="AI22" s="194">
        <v>0</v>
      </c>
      <c r="AJ22" s="194">
        <v>0</v>
      </c>
      <c r="AK22" s="194">
        <v>0</v>
      </c>
      <c r="AL22" s="194">
        <v>0</v>
      </c>
      <c r="AM22" s="194">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4">
        <v>0</v>
      </c>
      <c r="O23" s="194">
        <v>0</v>
      </c>
      <c r="P23" s="194">
        <v>0</v>
      </c>
      <c r="Q23" s="194">
        <v>0</v>
      </c>
      <c r="R23" s="194">
        <v>0</v>
      </c>
      <c r="S23" s="194">
        <v>0</v>
      </c>
      <c r="T23" s="194">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4">
        <v>0</v>
      </c>
      <c r="AH23" s="194">
        <v>0</v>
      </c>
      <c r="AI23" s="194">
        <v>0</v>
      </c>
      <c r="AJ23" s="194">
        <v>0</v>
      </c>
      <c r="AK23" s="194">
        <v>0</v>
      </c>
      <c r="AL23" s="194">
        <v>0</v>
      </c>
      <c r="AM23" s="194">
        <v>0</v>
      </c>
      <c r="AN23" s="66">
        <f t="shared" si="3"/>
        <v>0</v>
      </c>
    </row>
    <row r="24" spans="1:40" x14ac:dyDescent="0.25">
      <c r="A24" t="s">
        <v>40</v>
      </c>
      <c r="B24" s="15" t="s">
        <v>331</v>
      </c>
      <c r="C24" s="3" t="s">
        <v>45</v>
      </c>
      <c r="D24" s="3">
        <v>17</v>
      </c>
      <c r="E24" s="3">
        <v>15</v>
      </c>
      <c r="F24" s="112">
        <v>0</v>
      </c>
      <c r="G24" s="25">
        <v>2</v>
      </c>
      <c r="H24" s="112">
        <v>5.7</v>
      </c>
      <c r="I24" s="25">
        <v>5.5</v>
      </c>
      <c r="J24" s="112">
        <v>5</v>
      </c>
      <c r="K24" s="25">
        <v>3</v>
      </c>
      <c r="L24" s="112">
        <v>2</v>
      </c>
      <c r="M24" s="47">
        <v>350</v>
      </c>
      <c r="N24" s="194">
        <v>0</v>
      </c>
      <c r="O24" s="194">
        <v>0</v>
      </c>
      <c r="P24" s="194">
        <v>11</v>
      </c>
      <c r="Q24" s="194">
        <f>5.5+1.5</f>
        <v>7</v>
      </c>
      <c r="R24" s="194">
        <v>7</v>
      </c>
      <c r="S24" s="194">
        <v>2</v>
      </c>
      <c r="T24" s="194">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4">
        <f>N24</f>
        <v>0</v>
      </c>
      <c r="AH24" s="194">
        <f t="shared" ref="AH24:AM26" si="4">O24</f>
        <v>0</v>
      </c>
      <c r="AI24" s="194">
        <f t="shared" si="4"/>
        <v>11</v>
      </c>
      <c r="AJ24" s="39">
        <f>Q24+X9</f>
        <v>20.5</v>
      </c>
      <c r="AK24" s="194">
        <f>R24+X10</f>
        <v>21</v>
      </c>
      <c r="AL24" s="194">
        <f t="shared" si="4"/>
        <v>2</v>
      </c>
      <c r="AM24" s="194">
        <f t="shared" si="4"/>
        <v>0</v>
      </c>
      <c r="AN24" s="66">
        <f t="shared" si="3"/>
        <v>54.5</v>
      </c>
    </row>
    <row r="25" spans="1:40" x14ac:dyDescent="0.25">
      <c r="A25" t="s">
        <v>34</v>
      </c>
      <c r="B25" s="15" t="s">
        <v>332</v>
      </c>
      <c r="C25" s="3" t="s">
        <v>296</v>
      </c>
      <c r="D25" s="3">
        <v>17</v>
      </c>
      <c r="E25" s="3">
        <v>19</v>
      </c>
      <c r="F25" s="112">
        <v>0</v>
      </c>
      <c r="G25" s="25">
        <v>6</v>
      </c>
      <c r="H25" s="112">
        <v>3</v>
      </c>
      <c r="I25" s="25">
        <v>3</v>
      </c>
      <c r="J25" s="112">
        <v>5</v>
      </c>
      <c r="K25" s="25">
        <v>2</v>
      </c>
      <c r="L25" s="112">
        <v>0</v>
      </c>
      <c r="M25" s="47">
        <v>330</v>
      </c>
      <c r="N25" s="194">
        <v>0</v>
      </c>
      <c r="O25" s="194">
        <v>14</v>
      </c>
      <c r="P25" s="194">
        <v>3</v>
      </c>
      <c r="Q25" s="194">
        <v>1.5</v>
      </c>
      <c r="R25" s="194">
        <v>7</v>
      </c>
      <c r="S25" s="194">
        <v>0</v>
      </c>
      <c r="T25" s="194">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4">
        <f>N25</f>
        <v>0</v>
      </c>
      <c r="AH25" s="194">
        <f t="shared" si="4"/>
        <v>14</v>
      </c>
      <c r="AI25" s="194">
        <f t="shared" si="4"/>
        <v>3</v>
      </c>
      <c r="AJ25" s="39">
        <f>Q25+X9</f>
        <v>15</v>
      </c>
      <c r="AK25" s="194">
        <f>R25+X10</f>
        <v>21</v>
      </c>
      <c r="AL25" s="194">
        <f t="shared" si="4"/>
        <v>0</v>
      </c>
      <c r="AM25" s="194">
        <f t="shared" si="4"/>
        <v>-2</v>
      </c>
      <c r="AN25" s="66">
        <f>SUM(AG25:AM25)</f>
        <v>51</v>
      </c>
    </row>
    <row r="26" spans="1:40" x14ac:dyDescent="0.25">
      <c r="A26" t="s">
        <v>42</v>
      </c>
      <c r="B26" s="15" t="s">
        <v>333</v>
      </c>
      <c r="C26" s="3" t="s">
        <v>296</v>
      </c>
      <c r="D26" s="3">
        <v>17</v>
      </c>
      <c r="E26" s="3">
        <v>15</v>
      </c>
      <c r="F26" s="112">
        <v>0</v>
      </c>
      <c r="G26" s="25">
        <v>3</v>
      </c>
      <c r="H26" s="112">
        <v>5</v>
      </c>
      <c r="I26" s="25">
        <v>4</v>
      </c>
      <c r="J26" s="112">
        <v>4</v>
      </c>
      <c r="K26" s="25">
        <v>3</v>
      </c>
      <c r="L26" s="112">
        <v>0</v>
      </c>
      <c r="M26" s="47">
        <v>290</v>
      </c>
      <c r="N26" s="194">
        <v>0</v>
      </c>
      <c r="O26" s="194">
        <v>3</v>
      </c>
      <c r="P26" s="194">
        <v>9</v>
      </c>
      <c r="Q26" s="194">
        <v>3.5</v>
      </c>
      <c r="R26" s="194">
        <v>4</v>
      </c>
      <c r="S26" s="194">
        <v>2</v>
      </c>
      <c r="T26" s="194">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4">
        <f>N26</f>
        <v>0</v>
      </c>
      <c r="AH26" s="194">
        <f t="shared" si="4"/>
        <v>3</v>
      </c>
      <c r="AI26" s="194">
        <f t="shared" si="4"/>
        <v>9</v>
      </c>
      <c r="AJ26" s="194">
        <f>Q26+X10</f>
        <v>17.5</v>
      </c>
      <c r="AK26" s="194">
        <f>R26+X10</f>
        <v>18</v>
      </c>
      <c r="AL26" s="194">
        <f t="shared" si="4"/>
        <v>2</v>
      </c>
      <c r="AM26" s="194">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4">
        <v>0</v>
      </c>
      <c r="O27" s="194">
        <v>0</v>
      </c>
      <c r="P27" s="194">
        <v>0</v>
      </c>
      <c r="Q27" s="194">
        <v>0</v>
      </c>
      <c r="R27" s="194">
        <v>0</v>
      </c>
      <c r="S27" s="194">
        <v>0</v>
      </c>
      <c r="T27" s="194">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4">
        <v>0</v>
      </c>
      <c r="AH27" s="194">
        <v>0</v>
      </c>
      <c r="AI27" s="194">
        <v>0</v>
      </c>
      <c r="AJ27" s="194">
        <v>0</v>
      </c>
      <c r="AK27" s="194">
        <v>0</v>
      </c>
      <c r="AL27" s="194">
        <v>0</v>
      </c>
      <c r="AM27" s="194">
        <v>0</v>
      </c>
      <c r="AN27" s="66">
        <f>SUM(AG27:AM27)</f>
        <v>0</v>
      </c>
    </row>
    <row r="28" spans="1:40" x14ac:dyDescent="0.25">
      <c r="A28" t="s">
        <v>334</v>
      </c>
      <c r="B28" s="15"/>
      <c r="C28" s="3"/>
      <c r="D28" s="3"/>
      <c r="E28" s="3"/>
      <c r="F28" s="112">
        <v>0</v>
      </c>
      <c r="G28" s="25">
        <v>2</v>
      </c>
      <c r="H28" s="112">
        <v>2</v>
      </c>
      <c r="I28" s="25">
        <v>2</v>
      </c>
      <c r="J28" s="112">
        <v>2</v>
      </c>
      <c r="K28" s="25">
        <v>2</v>
      </c>
      <c r="L28" s="112">
        <v>2</v>
      </c>
      <c r="M28" s="47"/>
      <c r="N28" s="194">
        <v>0</v>
      </c>
      <c r="O28" s="194">
        <v>0</v>
      </c>
      <c r="P28" s="194">
        <v>0</v>
      </c>
      <c r="Q28" s="194">
        <v>0</v>
      </c>
      <c r="R28" s="194">
        <v>0</v>
      </c>
      <c r="S28" s="194">
        <v>0</v>
      </c>
      <c r="T28" s="194">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4">
        <v>0</v>
      </c>
      <c r="AH28" s="194">
        <v>0</v>
      </c>
      <c r="AI28" s="194">
        <v>0</v>
      </c>
      <c r="AJ28" s="194">
        <v>0</v>
      </c>
      <c r="AK28" s="194">
        <v>0</v>
      </c>
      <c r="AL28" s="194">
        <v>0</v>
      </c>
      <c r="AM28" s="194">
        <v>0</v>
      </c>
      <c r="AN28" s="66">
        <f>SUM(AG28:AM28)</f>
        <v>0</v>
      </c>
    </row>
    <row r="29" spans="1:40" x14ac:dyDescent="0.25">
      <c r="A29"/>
      <c r="B29"/>
      <c r="F29" s="194"/>
      <c r="G29" s="194"/>
      <c r="H29" s="194"/>
      <c r="I29" s="194"/>
      <c r="J29" s="194"/>
      <c r="K29" s="194"/>
      <c r="L29" s="194"/>
      <c r="M29" s="195">
        <f>SUM(M31:M45)</f>
        <v>15124.68</v>
      </c>
      <c r="N29" s="194"/>
      <c r="O29" s="194"/>
      <c r="P29" s="194"/>
      <c r="Q29" s="194"/>
      <c r="R29" s="194"/>
      <c r="S29" s="194"/>
      <c r="T29" s="194"/>
      <c r="U29" s="194"/>
      <c r="Y29" s="194"/>
      <c r="Z29" s="194"/>
      <c r="AA29" s="194"/>
      <c r="AB29" s="194"/>
      <c r="AC29" s="194"/>
      <c r="AD29" s="194"/>
      <c r="AE29" s="194"/>
      <c r="AF29" s="195">
        <f>SUM(AF31:AF45)</f>
        <v>42675.44</v>
      </c>
      <c r="AG29" s="194"/>
      <c r="AH29" s="194"/>
      <c r="AI29" s="194"/>
      <c r="AJ29" s="194"/>
      <c r="AK29" s="194"/>
      <c r="AL29" s="194"/>
      <c r="AM29" s="194"/>
      <c r="AN29" s="194"/>
    </row>
    <row r="30" spans="1:40" x14ac:dyDescent="0.25">
      <c r="A30" s="10" t="s">
        <v>170</v>
      </c>
      <c r="B30" s="10" t="s">
        <v>2</v>
      </c>
      <c r="C30" s="10" t="s">
        <v>84</v>
      </c>
      <c r="D30" s="10" t="s">
        <v>321</v>
      </c>
      <c r="E30" s="10" t="s">
        <v>322</v>
      </c>
      <c r="F30" s="10" t="s">
        <v>15</v>
      </c>
      <c r="G30" s="10" t="s">
        <v>16</v>
      </c>
      <c r="H30" s="10" t="s">
        <v>17</v>
      </c>
      <c r="I30" s="10" t="s">
        <v>18</v>
      </c>
      <c r="J30" s="10" t="s">
        <v>19</v>
      </c>
      <c r="K30" s="10" t="s">
        <v>20</v>
      </c>
      <c r="L30" s="10" t="s">
        <v>6</v>
      </c>
      <c r="M30" s="10" t="s">
        <v>68</v>
      </c>
      <c r="N30" s="10" t="s">
        <v>323</v>
      </c>
      <c r="O30" s="10" t="s">
        <v>324</v>
      </c>
      <c r="P30" s="10" t="s">
        <v>325</v>
      </c>
      <c r="Q30" s="10" t="s">
        <v>326</v>
      </c>
      <c r="R30" s="10" t="s">
        <v>327</v>
      </c>
      <c r="S30" s="10" t="s">
        <v>328</v>
      </c>
      <c r="T30" s="10" t="s">
        <v>329</v>
      </c>
      <c r="U30" s="10" t="s">
        <v>330</v>
      </c>
      <c r="W30" s="10" t="s">
        <v>321</v>
      </c>
      <c r="X30" s="10" t="s">
        <v>322</v>
      </c>
      <c r="Y30" s="10" t="s">
        <v>15</v>
      </c>
      <c r="Z30" s="10" t="s">
        <v>16</v>
      </c>
      <c r="AA30" s="10" t="s">
        <v>17</v>
      </c>
      <c r="AB30" s="10" t="s">
        <v>18</v>
      </c>
      <c r="AC30" s="10" t="s">
        <v>19</v>
      </c>
      <c r="AD30" s="10" t="s">
        <v>20</v>
      </c>
      <c r="AE30" s="10" t="s">
        <v>6</v>
      </c>
      <c r="AF30" s="10" t="s">
        <v>68</v>
      </c>
      <c r="AG30" s="10" t="s">
        <v>323</v>
      </c>
      <c r="AH30" s="10" t="s">
        <v>324</v>
      </c>
      <c r="AI30" s="10" t="s">
        <v>325</v>
      </c>
      <c r="AJ30" s="10" t="s">
        <v>326</v>
      </c>
      <c r="AK30" s="10" t="s">
        <v>327</v>
      </c>
      <c r="AL30" s="10" t="s">
        <v>328</v>
      </c>
      <c r="AM30" s="10" t="s">
        <v>329</v>
      </c>
      <c r="AN30" s="10" t="s">
        <v>330</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4">
        <f>AG13</f>
        <v>0</v>
      </c>
      <c r="O31" s="194">
        <f t="shared" ref="O31:T46" si="6">AH13</f>
        <v>0</v>
      </c>
      <c r="P31" s="194">
        <f t="shared" si="6"/>
        <v>0</v>
      </c>
      <c r="Q31" s="194">
        <f t="shared" si="6"/>
        <v>0</v>
      </c>
      <c r="R31" s="194">
        <f t="shared" si="6"/>
        <v>0</v>
      </c>
      <c r="S31" s="194">
        <f t="shared" si="6"/>
        <v>0</v>
      </c>
      <c r="T31" s="194">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4">
        <f>N31</f>
        <v>0</v>
      </c>
      <c r="AH31" s="194">
        <f t="shared" ref="AH31:AM46" si="8">O31</f>
        <v>0</v>
      </c>
      <c r="AI31" s="194">
        <f t="shared" si="8"/>
        <v>0</v>
      </c>
      <c r="AJ31" s="194">
        <f t="shared" si="8"/>
        <v>0</v>
      </c>
      <c r="AK31" s="194">
        <f t="shared" si="8"/>
        <v>0</v>
      </c>
      <c r="AL31" s="194">
        <f t="shared" si="8"/>
        <v>0</v>
      </c>
      <c r="AM31" s="194">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4">
        <f t="shared" ref="N32:N46" si="10">AG14</f>
        <v>0</v>
      </c>
      <c r="O32" s="194">
        <f t="shared" si="6"/>
        <v>0</v>
      </c>
      <c r="P32" s="194">
        <f t="shared" si="6"/>
        <v>0</v>
      </c>
      <c r="Q32" s="194">
        <f t="shared" si="6"/>
        <v>0</v>
      </c>
      <c r="R32" s="194">
        <f t="shared" si="6"/>
        <v>0</v>
      </c>
      <c r="S32" s="194">
        <f t="shared" si="6"/>
        <v>0</v>
      </c>
      <c r="T32" s="194">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4">
        <f t="shared" ref="AG32:AG46" si="12">N32</f>
        <v>0</v>
      </c>
      <c r="AH32" s="194">
        <f t="shared" si="8"/>
        <v>0</v>
      </c>
      <c r="AI32" s="194">
        <f t="shared" si="8"/>
        <v>0</v>
      </c>
      <c r="AJ32" s="194">
        <f t="shared" si="8"/>
        <v>0</v>
      </c>
      <c r="AK32" s="194">
        <f t="shared" si="8"/>
        <v>0</v>
      </c>
      <c r="AL32" s="194">
        <f t="shared" si="8"/>
        <v>0</v>
      </c>
      <c r="AM32" s="194">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4">
        <f t="shared" si="10"/>
        <v>0</v>
      </c>
      <c r="O33" s="194">
        <f t="shared" si="6"/>
        <v>0</v>
      </c>
      <c r="P33" s="194">
        <f t="shared" si="6"/>
        <v>0</v>
      </c>
      <c r="Q33" s="194">
        <f t="shared" si="6"/>
        <v>0</v>
      </c>
      <c r="R33" s="194">
        <f t="shared" si="6"/>
        <v>0</v>
      </c>
      <c r="S33" s="194">
        <f t="shared" si="6"/>
        <v>0</v>
      </c>
      <c r="T33" s="194">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4">
        <f t="shared" si="12"/>
        <v>0</v>
      </c>
      <c r="AH33" s="194">
        <f t="shared" si="8"/>
        <v>0</v>
      </c>
      <c r="AI33" s="194">
        <f t="shared" si="8"/>
        <v>0</v>
      </c>
      <c r="AJ33" s="194">
        <f t="shared" si="8"/>
        <v>0</v>
      </c>
      <c r="AK33" s="194">
        <f t="shared" si="8"/>
        <v>0</v>
      </c>
      <c r="AL33" s="194">
        <f t="shared" si="8"/>
        <v>0</v>
      </c>
      <c r="AM33" s="194">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4">
        <f t="shared" si="10"/>
        <v>0</v>
      </c>
      <c r="O34" s="194">
        <f t="shared" si="6"/>
        <v>0</v>
      </c>
      <c r="P34" s="194">
        <f t="shared" si="6"/>
        <v>0</v>
      </c>
      <c r="Q34" s="194">
        <f t="shared" si="6"/>
        <v>0</v>
      </c>
      <c r="R34" s="194">
        <f t="shared" si="6"/>
        <v>0</v>
      </c>
      <c r="S34" s="194">
        <f t="shared" si="6"/>
        <v>0</v>
      </c>
      <c r="T34" s="194">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4">
        <f t="shared" si="12"/>
        <v>0</v>
      </c>
      <c r="AH34" s="194">
        <f t="shared" si="8"/>
        <v>0</v>
      </c>
      <c r="AI34" s="194">
        <f t="shared" si="8"/>
        <v>0</v>
      </c>
      <c r="AJ34" s="194">
        <f t="shared" si="8"/>
        <v>0</v>
      </c>
      <c r="AK34" s="194">
        <f t="shared" si="8"/>
        <v>0</v>
      </c>
      <c r="AL34" s="194">
        <f t="shared" si="8"/>
        <v>0</v>
      </c>
      <c r="AM34" s="194">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4">
        <f t="shared" si="10"/>
        <v>0</v>
      </c>
      <c r="O35" s="194">
        <f t="shared" si="6"/>
        <v>0</v>
      </c>
      <c r="P35" s="194">
        <f t="shared" si="6"/>
        <v>0</v>
      </c>
      <c r="Q35" s="194">
        <f t="shared" si="6"/>
        <v>0</v>
      </c>
      <c r="R35" s="194">
        <f t="shared" si="6"/>
        <v>0</v>
      </c>
      <c r="S35" s="194">
        <f t="shared" si="6"/>
        <v>0</v>
      </c>
      <c r="T35" s="194">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4">
        <f t="shared" si="12"/>
        <v>0</v>
      </c>
      <c r="AH35" s="194">
        <f t="shared" si="8"/>
        <v>0</v>
      </c>
      <c r="AI35" s="194">
        <f t="shared" si="8"/>
        <v>0</v>
      </c>
      <c r="AJ35" s="194">
        <f t="shared" si="8"/>
        <v>0</v>
      </c>
      <c r="AK35" s="194">
        <f t="shared" si="8"/>
        <v>0</v>
      </c>
      <c r="AL35" s="194">
        <f t="shared" si="8"/>
        <v>0</v>
      </c>
      <c r="AM35" s="194">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4">
        <f t="shared" si="10"/>
        <v>0</v>
      </c>
      <c r="O36" s="194">
        <f t="shared" si="6"/>
        <v>0</v>
      </c>
      <c r="P36" s="194">
        <f t="shared" si="6"/>
        <v>0</v>
      </c>
      <c r="Q36" s="194">
        <f t="shared" si="6"/>
        <v>0</v>
      </c>
      <c r="R36" s="194">
        <f t="shared" si="6"/>
        <v>0</v>
      </c>
      <c r="S36" s="194">
        <f t="shared" si="6"/>
        <v>0</v>
      </c>
      <c r="T36" s="194">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4">
        <f t="shared" si="12"/>
        <v>0</v>
      </c>
      <c r="AH36" s="194">
        <f t="shared" si="8"/>
        <v>0</v>
      </c>
      <c r="AI36" s="194">
        <f t="shared" si="8"/>
        <v>0</v>
      </c>
      <c r="AJ36" s="194">
        <f t="shared" si="8"/>
        <v>0</v>
      </c>
      <c r="AK36" s="194">
        <f t="shared" si="8"/>
        <v>0</v>
      </c>
      <c r="AL36" s="194">
        <f t="shared" si="8"/>
        <v>0</v>
      </c>
      <c r="AM36" s="194">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4">
        <f t="shared" si="10"/>
        <v>0</v>
      </c>
      <c r="O37" s="194">
        <f t="shared" si="6"/>
        <v>0</v>
      </c>
      <c r="P37" s="194">
        <f t="shared" si="6"/>
        <v>0</v>
      </c>
      <c r="Q37" s="194">
        <f t="shared" si="6"/>
        <v>0</v>
      </c>
      <c r="R37" s="194">
        <f t="shared" si="6"/>
        <v>0</v>
      </c>
      <c r="S37" s="194">
        <f t="shared" si="6"/>
        <v>0</v>
      </c>
      <c r="T37" s="194">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4">
        <f t="shared" si="12"/>
        <v>0</v>
      </c>
      <c r="AH37" s="194">
        <f t="shared" si="8"/>
        <v>0</v>
      </c>
      <c r="AI37" s="194">
        <f t="shared" si="8"/>
        <v>0</v>
      </c>
      <c r="AJ37" s="194">
        <f t="shared" si="8"/>
        <v>0</v>
      </c>
      <c r="AK37" s="194">
        <f t="shared" si="8"/>
        <v>0</v>
      </c>
      <c r="AL37" s="194">
        <f t="shared" si="8"/>
        <v>0</v>
      </c>
      <c r="AM37" s="194">
        <f t="shared" si="8"/>
        <v>0</v>
      </c>
      <c r="AN37" s="66">
        <f t="shared" si="14"/>
        <v>0</v>
      </c>
      <c r="AP37" s="198" t="s">
        <v>90</v>
      </c>
      <c r="AQ37" s="198">
        <v>33</v>
      </c>
      <c r="AR37" s="198" t="s">
        <v>88</v>
      </c>
      <c r="AS37" s="198">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4">
        <f t="shared" si="10"/>
        <v>0</v>
      </c>
      <c r="O38" s="194">
        <f t="shared" si="6"/>
        <v>0</v>
      </c>
      <c r="P38" s="194">
        <f t="shared" si="6"/>
        <v>0</v>
      </c>
      <c r="Q38" s="194">
        <f t="shared" si="6"/>
        <v>0</v>
      </c>
      <c r="R38" s="194">
        <f t="shared" si="6"/>
        <v>0</v>
      </c>
      <c r="S38" s="194">
        <f t="shared" si="6"/>
        <v>0</v>
      </c>
      <c r="T38" s="194">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4">
        <f t="shared" si="12"/>
        <v>0</v>
      </c>
      <c r="AH38" s="194">
        <f t="shared" si="8"/>
        <v>0</v>
      </c>
      <c r="AI38" s="194">
        <f t="shared" si="8"/>
        <v>0</v>
      </c>
      <c r="AJ38" s="194">
        <f t="shared" si="8"/>
        <v>0</v>
      </c>
      <c r="AK38" s="194">
        <f t="shared" si="8"/>
        <v>0</v>
      </c>
      <c r="AL38" s="194">
        <f t="shared" si="8"/>
        <v>0</v>
      </c>
      <c r="AM38" s="194">
        <f t="shared" si="8"/>
        <v>0</v>
      </c>
      <c r="AN38" s="66">
        <f t="shared" si="14"/>
        <v>0</v>
      </c>
      <c r="AQ38">
        <f>AQ37*7</f>
        <v>231</v>
      </c>
      <c r="AS38">
        <f>AS37*7</f>
        <v>105</v>
      </c>
      <c r="AT38">
        <f>AQ38+AS38</f>
        <v>336</v>
      </c>
    </row>
    <row r="39" spans="1:46" x14ac:dyDescent="0.25">
      <c r="A39" t="s">
        <v>43</v>
      </c>
      <c r="B39" s="15" t="s">
        <v>335</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4">
        <f t="shared" si="10"/>
        <v>0</v>
      </c>
      <c r="O39" s="194">
        <v>18</v>
      </c>
      <c r="P39" s="194">
        <v>33</v>
      </c>
      <c r="Q39" s="194">
        <f t="shared" si="6"/>
        <v>0</v>
      </c>
      <c r="R39" s="194">
        <f t="shared" si="6"/>
        <v>0</v>
      </c>
      <c r="S39" s="194">
        <f t="shared" si="6"/>
        <v>0</v>
      </c>
      <c r="T39" s="194">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4">
        <f t="shared" si="12"/>
        <v>0</v>
      </c>
      <c r="AH39" s="194">
        <f t="shared" si="8"/>
        <v>18</v>
      </c>
      <c r="AI39" s="194">
        <v>48</v>
      </c>
      <c r="AJ39" s="194">
        <f t="shared" si="8"/>
        <v>0</v>
      </c>
      <c r="AK39" s="194">
        <f t="shared" si="8"/>
        <v>0</v>
      </c>
      <c r="AL39" s="194">
        <v>33</v>
      </c>
      <c r="AM39" s="194">
        <f t="shared" si="8"/>
        <v>0</v>
      </c>
      <c r="AN39" s="66">
        <f t="shared" si="14"/>
        <v>99</v>
      </c>
      <c r="AQ39">
        <f>AQ38-112</f>
        <v>119</v>
      </c>
      <c r="AT39">
        <f>AT38-112</f>
        <v>224</v>
      </c>
    </row>
    <row r="40" spans="1:46" x14ac:dyDescent="0.25">
      <c r="A40" t="s">
        <v>37</v>
      </c>
      <c r="B40" s="15" t="s">
        <v>335</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4">
        <f t="shared" si="10"/>
        <v>0</v>
      </c>
      <c r="O40" s="194">
        <v>18</v>
      </c>
      <c r="P40" s="194">
        <v>33</v>
      </c>
      <c r="Q40" s="194">
        <f t="shared" si="6"/>
        <v>0</v>
      </c>
      <c r="R40" s="194">
        <f t="shared" si="6"/>
        <v>0</v>
      </c>
      <c r="S40" s="194">
        <f t="shared" si="6"/>
        <v>0</v>
      </c>
      <c r="T40" s="194">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4">
        <f t="shared" si="12"/>
        <v>0</v>
      </c>
      <c r="AH40" s="194">
        <f t="shared" si="8"/>
        <v>18</v>
      </c>
      <c r="AI40" s="194">
        <v>48</v>
      </c>
      <c r="AJ40" s="194">
        <f t="shared" si="8"/>
        <v>0</v>
      </c>
      <c r="AK40" s="194">
        <f t="shared" si="8"/>
        <v>0</v>
      </c>
      <c r="AL40" s="194">
        <v>33</v>
      </c>
      <c r="AM40" s="194">
        <f t="shared" si="8"/>
        <v>0</v>
      </c>
      <c r="AN40" s="66">
        <f t="shared" si="14"/>
        <v>99</v>
      </c>
      <c r="AQ40">
        <f>AQ39-112</f>
        <v>7</v>
      </c>
      <c r="AT40">
        <f>AT39-112</f>
        <v>112</v>
      </c>
    </row>
    <row r="41" spans="1:46" x14ac:dyDescent="0.25">
      <c r="A41" t="s">
        <v>36</v>
      </c>
      <c r="B41" s="15" t="s">
        <v>335</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4">
        <f t="shared" si="10"/>
        <v>0</v>
      </c>
      <c r="O41" s="194">
        <v>18</v>
      </c>
      <c r="P41" s="194">
        <v>33</v>
      </c>
      <c r="Q41" s="194">
        <f t="shared" si="6"/>
        <v>0</v>
      </c>
      <c r="R41" s="194">
        <f t="shared" si="6"/>
        <v>0</v>
      </c>
      <c r="S41" s="194">
        <f t="shared" si="6"/>
        <v>0</v>
      </c>
      <c r="T41" s="194">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4">
        <f t="shared" si="12"/>
        <v>0</v>
      </c>
      <c r="AH41" s="194">
        <f t="shared" si="8"/>
        <v>18</v>
      </c>
      <c r="AI41" s="194">
        <v>48</v>
      </c>
      <c r="AJ41" s="194">
        <f t="shared" si="8"/>
        <v>0</v>
      </c>
      <c r="AK41" s="194">
        <f t="shared" si="8"/>
        <v>0</v>
      </c>
      <c r="AL41" s="194">
        <v>33</v>
      </c>
      <c r="AM41" s="194">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4">
        <f t="shared" si="10"/>
        <v>0</v>
      </c>
      <c r="O42" s="194">
        <f t="shared" si="6"/>
        <v>0</v>
      </c>
      <c r="P42" s="194">
        <f t="shared" si="6"/>
        <v>11</v>
      </c>
      <c r="Q42" s="194">
        <f t="shared" si="6"/>
        <v>20.5</v>
      </c>
      <c r="R42" s="194">
        <f t="shared" si="6"/>
        <v>21</v>
      </c>
      <c r="S42" s="194">
        <f t="shared" si="6"/>
        <v>2</v>
      </c>
      <c r="T42" s="194">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4">
        <f t="shared" si="12"/>
        <v>0</v>
      </c>
      <c r="AH42" s="194">
        <f t="shared" si="8"/>
        <v>0</v>
      </c>
      <c r="AI42" s="194">
        <f>P42+15</f>
        <v>26</v>
      </c>
      <c r="AJ42" s="194">
        <f t="shared" si="8"/>
        <v>20.5</v>
      </c>
      <c r="AK42" s="194">
        <f t="shared" si="8"/>
        <v>21</v>
      </c>
      <c r="AL42" s="194">
        <f>2+33</f>
        <v>35</v>
      </c>
      <c r="AM42" s="194">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4">
        <f t="shared" si="10"/>
        <v>0</v>
      </c>
      <c r="O43" s="194">
        <f t="shared" si="6"/>
        <v>14</v>
      </c>
      <c r="P43" s="194">
        <f t="shared" si="6"/>
        <v>3</v>
      </c>
      <c r="Q43" s="194">
        <f t="shared" si="6"/>
        <v>15</v>
      </c>
      <c r="R43" s="194">
        <f t="shared" si="6"/>
        <v>21</v>
      </c>
      <c r="S43" s="194">
        <f t="shared" si="6"/>
        <v>0</v>
      </c>
      <c r="T43" s="194">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4">
        <f t="shared" si="12"/>
        <v>0</v>
      </c>
      <c r="AH43" s="194">
        <f t="shared" si="8"/>
        <v>14</v>
      </c>
      <c r="AI43" s="194">
        <f>P43+15</f>
        <v>18</v>
      </c>
      <c r="AJ43" s="194">
        <f t="shared" si="8"/>
        <v>15</v>
      </c>
      <c r="AK43" s="194">
        <f t="shared" si="8"/>
        <v>21</v>
      </c>
      <c r="AL43" s="194">
        <v>33</v>
      </c>
      <c r="AM43" s="194">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4">
        <f t="shared" si="10"/>
        <v>0</v>
      </c>
      <c r="O44" s="194">
        <f t="shared" si="6"/>
        <v>3</v>
      </c>
      <c r="P44" s="194">
        <f t="shared" si="6"/>
        <v>9</v>
      </c>
      <c r="Q44" s="194">
        <f t="shared" si="6"/>
        <v>17.5</v>
      </c>
      <c r="R44" s="194">
        <f t="shared" si="6"/>
        <v>18</v>
      </c>
      <c r="S44" s="194">
        <f t="shared" si="6"/>
        <v>2</v>
      </c>
      <c r="T44" s="194">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4">
        <f t="shared" si="12"/>
        <v>0</v>
      </c>
      <c r="AH44" s="194">
        <f t="shared" si="8"/>
        <v>3</v>
      </c>
      <c r="AI44" s="194">
        <f>P44+15</f>
        <v>24</v>
      </c>
      <c r="AJ44" s="194">
        <f t="shared" si="8"/>
        <v>17.5</v>
      </c>
      <c r="AK44" s="194">
        <f t="shared" si="8"/>
        <v>18</v>
      </c>
      <c r="AL44" s="194">
        <f>2+33</f>
        <v>35</v>
      </c>
      <c r="AM44" s="194">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4">
        <f t="shared" si="10"/>
        <v>0</v>
      </c>
      <c r="O45" s="194">
        <f t="shared" si="6"/>
        <v>0</v>
      </c>
      <c r="P45" s="194">
        <f t="shared" si="6"/>
        <v>0</v>
      </c>
      <c r="Q45" s="194">
        <f t="shared" si="6"/>
        <v>0</v>
      </c>
      <c r="R45" s="194">
        <f t="shared" si="6"/>
        <v>0</v>
      </c>
      <c r="S45" s="194">
        <f t="shared" si="6"/>
        <v>0</v>
      </c>
      <c r="T45" s="194">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4">
        <f t="shared" si="12"/>
        <v>0</v>
      </c>
      <c r="AH45" s="194">
        <f t="shared" si="8"/>
        <v>0</v>
      </c>
      <c r="AI45" s="194">
        <f t="shared" si="8"/>
        <v>0</v>
      </c>
      <c r="AJ45" s="194">
        <f t="shared" si="8"/>
        <v>0</v>
      </c>
      <c r="AK45" s="194">
        <f t="shared" si="8"/>
        <v>0</v>
      </c>
      <c r="AL45" s="194">
        <f t="shared" si="8"/>
        <v>0</v>
      </c>
      <c r="AM45" s="194">
        <f t="shared" si="8"/>
        <v>0</v>
      </c>
      <c r="AN45" s="66">
        <f>SUM(AG45:AM45)</f>
        <v>0</v>
      </c>
    </row>
    <row r="46" spans="1:46" x14ac:dyDescent="0.25">
      <c r="A46" t="s">
        <v>334</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4">
        <f t="shared" si="10"/>
        <v>0</v>
      </c>
      <c r="O46" s="194">
        <f t="shared" si="6"/>
        <v>0</v>
      </c>
      <c r="P46" s="194">
        <f t="shared" si="6"/>
        <v>0</v>
      </c>
      <c r="Q46" s="194">
        <f t="shared" si="6"/>
        <v>0</v>
      </c>
      <c r="R46" s="194">
        <f t="shared" si="6"/>
        <v>0</v>
      </c>
      <c r="S46" s="194">
        <f t="shared" si="6"/>
        <v>0</v>
      </c>
      <c r="T46" s="194">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4">
        <f t="shared" si="12"/>
        <v>0</v>
      </c>
      <c r="AH46" s="194">
        <f t="shared" si="8"/>
        <v>0</v>
      </c>
      <c r="AI46" s="194">
        <f t="shared" si="8"/>
        <v>0</v>
      </c>
      <c r="AJ46" s="194">
        <f t="shared" si="8"/>
        <v>0</v>
      </c>
      <c r="AK46" s="194">
        <f t="shared" si="8"/>
        <v>0</v>
      </c>
      <c r="AL46" s="194">
        <f t="shared" si="8"/>
        <v>0</v>
      </c>
      <c r="AM46" s="194">
        <f t="shared" si="8"/>
        <v>0</v>
      </c>
      <c r="AN46" s="66">
        <f>SUM(AG46:AM46)</f>
        <v>0</v>
      </c>
    </row>
    <row r="47" spans="1:46" x14ac:dyDescent="0.25">
      <c r="A47"/>
      <c r="B47"/>
      <c r="F47" s="194"/>
      <c r="G47" s="194"/>
      <c r="H47" s="194"/>
      <c r="I47" s="194"/>
      <c r="J47" s="194"/>
      <c r="K47" s="194"/>
      <c r="L47" s="194"/>
      <c r="M47" s="195">
        <f>SUM(M49:M63)</f>
        <v>64407.92</v>
      </c>
      <c r="N47" s="194"/>
      <c r="O47" s="194"/>
      <c r="P47" s="194"/>
      <c r="Q47" s="194"/>
      <c r="R47" s="194"/>
      <c r="S47" s="194"/>
      <c r="T47" s="194"/>
      <c r="U47" s="194"/>
      <c r="Y47" s="194"/>
      <c r="Z47" s="194"/>
      <c r="AA47" s="194"/>
      <c r="AB47" s="194"/>
      <c r="AC47" s="194"/>
      <c r="AD47" s="194"/>
      <c r="AE47" s="194"/>
      <c r="AF47" s="195">
        <f>SUM(AF49:AF63)</f>
        <v>89732.88</v>
      </c>
      <c r="AG47" s="194"/>
      <c r="AH47" s="194"/>
      <c r="AI47" s="194"/>
      <c r="AJ47" s="194"/>
      <c r="AK47" s="194"/>
      <c r="AL47" s="194"/>
      <c r="AM47" s="194"/>
      <c r="AN47" s="194"/>
    </row>
    <row r="48" spans="1:46" x14ac:dyDescent="0.25">
      <c r="A48" s="10" t="s">
        <v>170</v>
      </c>
      <c r="B48" s="10" t="s">
        <v>2</v>
      </c>
      <c r="C48" s="10" t="s">
        <v>84</v>
      </c>
      <c r="D48" s="10" t="s">
        <v>321</v>
      </c>
      <c r="E48" s="10" t="s">
        <v>322</v>
      </c>
      <c r="F48" s="10" t="s">
        <v>15</v>
      </c>
      <c r="G48" s="10" t="s">
        <v>16</v>
      </c>
      <c r="H48" s="10" t="s">
        <v>17</v>
      </c>
      <c r="I48" s="10" t="s">
        <v>18</v>
      </c>
      <c r="J48" s="10" t="s">
        <v>19</v>
      </c>
      <c r="K48" s="10" t="s">
        <v>20</v>
      </c>
      <c r="L48" s="10" t="s">
        <v>6</v>
      </c>
      <c r="M48" s="10" t="s">
        <v>68</v>
      </c>
      <c r="N48" s="10" t="s">
        <v>323</v>
      </c>
      <c r="O48" s="10" t="s">
        <v>324</v>
      </c>
      <c r="P48" s="10" t="s">
        <v>325</v>
      </c>
      <c r="Q48" s="10" t="s">
        <v>326</v>
      </c>
      <c r="R48" s="10" t="s">
        <v>327</v>
      </c>
      <c r="S48" s="10" t="s">
        <v>328</v>
      </c>
      <c r="T48" s="10" t="s">
        <v>329</v>
      </c>
      <c r="U48" s="10" t="s">
        <v>330</v>
      </c>
      <c r="W48" s="10" t="s">
        <v>321</v>
      </c>
      <c r="X48" s="10" t="s">
        <v>322</v>
      </c>
      <c r="Y48" s="10" t="s">
        <v>15</v>
      </c>
      <c r="Z48" s="10" t="s">
        <v>16</v>
      </c>
      <c r="AA48" s="10" t="s">
        <v>17</v>
      </c>
      <c r="AB48" s="10" t="s">
        <v>18</v>
      </c>
      <c r="AC48" s="10" t="s">
        <v>19</v>
      </c>
      <c r="AD48" s="10" t="s">
        <v>20</v>
      </c>
      <c r="AE48" s="10" t="s">
        <v>6</v>
      </c>
      <c r="AF48" s="10" t="s">
        <v>68</v>
      </c>
      <c r="AG48" s="10" t="s">
        <v>323</v>
      </c>
      <c r="AH48" s="10" t="s">
        <v>324</v>
      </c>
      <c r="AI48" s="10" t="s">
        <v>325</v>
      </c>
      <c r="AJ48" s="10" t="s">
        <v>326</v>
      </c>
      <c r="AK48" s="10" t="s">
        <v>327</v>
      </c>
      <c r="AL48" s="10" t="s">
        <v>328</v>
      </c>
      <c r="AM48" s="10" t="s">
        <v>329</v>
      </c>
      <c r="AN48" s="10" t="s">
        <v>330</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4">
        <f>AG31</f>
        <v>0</v>
      </c>
      <c r="O49" s="194">
        <f t="shared" ref="O49:T64" si="20">AH31</f>
        <v>0</v>
      </c>
      <c r="P49" s="194">
        <f t="shared" si="20"/>
        <v>0</v>
      </c>
      <c r="Q49" s="194">
        <f t="shared" si="20"/>
        <v>0</v>
      </c>
      <c r="R49" s="194">
        <f t="shared" si="20"/>
        <v>0</v>
      </c>
      <c r="S49" s="194">
        <f t="shared" si="20"/>
        <v>0</v>
      </c>
      <c r="T49" s="194">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4">
        <f>N49</f>
        <v>0</v>
      </c>
      <c r="AH49" s="194">
        <f t="shared" ref="AH49:AM64" si="22">O49</f>
        <v>0</v>
      </c>
      <c r="AI49" s="194">
        <f t="shared" si="22"/>
        <v>0</v>
      </c>
      <c r="AJ49" s="194">
        <f t="shared" si="22"/>
        <v>0</v>
      </c>
      <c r="AK49" s="194">
        <f t="shared" si="22"/>
        <v>0</v>
      </c>
      <c r="AL49" s="194">
        <f t="shared" si="22"/>
        <v>0</v>
      </c>
      <c r="AM49" s="194">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4">
        <f t="shared" si="19"/>
        <v>0</v>
      </c>
      <c r="O50" s="194">
        <f t="shared" si="20"/>
        <v>0</v>
      </c>
      <c r="P50" s="194">
        <f t="shared" si="20"/>
        <v>0</v>
      </c>
      <c r="Q50" s="194">
        <f t="shared" si="20"/>
        <v>0</v>
      </c>
      <c r="R50" s="194">
        <f t="shared" si="20"/>
        <v>0</v>
      </c>
      <c r="S50" s="194">
        <f t="shared" si="20"/>
        <v>0</v>
      </c>
      <c r="T50" s="194">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4">
        <f t="shared" ref="AG50:AG64" si="25">N50</f>
        <v>0</v>
      </c>
      <c r="AH50" s="194">
        <f t="shared" si="22"/>
        <v>0</v>
      </c>
      <c r="AI50" s="194">
        <f t="shared" si="22"/>
        <v>0</v>
      </c>
      <c r="AJ50" s="194">
        <f t="shared" si="22"/>
        <v>0</v>
      </c>
      <c r="AK50" s="194">
        <f t="shared" si="22"/>
        <v>0</v>
      </c>
      <c r="AL50" s="194">
        <f t="shared" si="22"/>
        <v>0</v>
      </c>
      <c r="AM50" s="194">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4">
        <f t="shared" si="19"/>
        <v>0</v>
      </c>
      <c r="O51" s="194">
        <f t="shared" si="20"/>
        <v>0</v>
      </c>
      <c r="P51" s="194">
        <f t="shared" si="20"/>
        <v>0</v>
      </c>
      <c r="Q51" s="194">
        <f t="shared" si="20"/>
        <v>0</v>
      </c>
      <c r="R51" s="194">
        <f t="shared" si="20"/>
        <v>0</v>
      </c>
      <c r="S51" s="194">
        <f t="shared" si="20"/>
        <v>0</v>
      </c>
      <c r="T51" s="194">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4">
        <f t="shared" si="25"/>
        <v>0</v>
      </c>
      <c r="AH51" s="194">
        <f t="shared" si="22"/>
        <v>0</v>
      </c>
      <c r="AI51" s="194">
        <f t="shared" si="22"/>
        <v>0</v>
      </c>
      <c r="AJ51" s="194">
        <f t="shared" si="22"/>
        <v>0</v>
      </c>
      <c r="AK51" s="194">
        <f t="shared" si="22"/>
        <v>0</v>
      </c>
      <c r="AL51" s="194">
        <f t="shared" si="22"/>
        <v>0</v>
      </c>
      <c r="AM51" s="194">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4">
        <f t="shared" si="19"/>
        <v>0</v>
      </c>
      <c r="O52" s="194">
        <f t="shared" si="20"/>
        <v>0</v>
      </c>
      <c r="P52" s="194">
        <f t="shared" si="20"/>
        <v>0</v>
      </c>
      <c r="Q52" s="194">
        <f t="shared" si="20"/>
        <v>0</v>
      </c>
      <c r="R52" s="194">
        <f t="shared" si="20"/>
        <v>0</v>
      </c>
      <c r="S52" s="194">
        <f t="shared" si="20"/>
        <v>0</v>
      </c>
      <c r="T52" s="194">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4">
        <f t="shared" si="25"/>
        <v>0</v>
      </c>
      <c r="AH52" s="194">
        <f t="shared" si="22"/>
        <v>0</v>
      </c>
      <c r="AI52" s="194">
        <f t="shared" si="22"/>
        <v>0</v>
      </c>
      <c r="AJ52" s="194">
        <f t="shared" si="22"/>
        <v>0</v>
      </c>
      <c r="AK52" s="194">
        <f t="shared" si="22"/>
        <v>0</v>
      </c>
      <c r="AL52" s="194">
        <f t="shared" si="22"/>
        <v>0</v>
      </c>
      <c r="AM52" s="194">
        <f t="shared" si="22"/>
        <v>0</v>
      </c>
      <c r="AN52" s="66">
        <f>SUM(AG52:AM52)</f>
        <v>0</v>
      </c>
    </row>
    <row r="53" spans="1:43" x14ac:dyDescent="0.25">
      <c r="A53" t="s">
        <v>41</v>
      </c>
      <c r="B53" s="15" t="s">
        <v>336</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4">
        <f t="shared" si="19"/>
        <v>0</v>
      </c>
      <c r="O53" s="194">
        <v>30</v>
      </c>
      <c r="P53" s="194">
        <v>33</v>
      </c>
      <c r="Q53" s="194">
        <f t="shared" si="20"/>
        <v>0</v>
      </c>
      <c r="R53" s="194">
        <f t="shared" si="20"/>
        <v>0</v>
      </c>
      <c r="S53" s="194">
        <v>33</v>
      </c>
      <c r="T53" s="194">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4">
        <f t="shared" si="25"/>
        <v>0</v>
      </c>
      <c r="AH53" s="194">
        <f>O53+$AQ$54</f>
        <v>56</v>
      </c>
      <c r="AI53" s="194">
        <f t="shared" si="22"/>
        <v>33</v>
      </c>
      <c r="AJ53" s="194">
        <f t="shared" si="22"/>
        <v>0</v>
      </c>
      <c r="AK53" s="194">
        <f t="shared" si="22"/>
        <v>0</v>
      </c>
      <c r="AL53" s="194">
        <f t="shared" si="22"/>
        <v>33</v>
      </c>
      <c r="AM53" s="194">
        <f t="shared" si="22"/>
        <v>0</v>
      </c>
      <c r="AN53" s="66">
        <f t="shared" ref="AN53:AN60" si="27">SUM(AG53:AM53)</f>
        <v>122</v>
      </c>
    </row>
    <row r="54" spans="1:43" x14ac:dyDescent="0.25">
      <c r="A54" t="s">
        <v>38</v>
      </c>
      <c r="B54" s="15" t="s">
        <v>336</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4">
        <f t="shared" si="19"/>
        <v>0</v>
      </c>
      <c r="O54" s="194">
        <v>30</v>
      </c>
      <c r="P54" s="194">
        <v>33</v>
      </c>
      <c r="Q54" s="194">
        <f t="shared" si="20"/>
        <v>0</v>
      </c>
      <c r="R54" s="194">
        <f t="shared" si="20"/>
        <v>0</v>
      </c>
      <c r="S54" s="194">
        <v>33</v>
      </c>
      <c r="T54" s="194">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4">
        <f t="shared" si="25"/>
        <v>0</v>
      </c>
      <c r="AH54" s="194">
        <f t="shared" ref="AH54:AH62" si="30">O54+$AQ$54</f>
        <v>56</v>
      </c>
      <c r="AI54" s="194">
        <f t="shared" si="22"/>
        <v>33</v>
      </c>
      <c r="AJ54" s="194">
        <f t="shared" si="22"/>
        <v>0</v>
      </c>
      <c r="AK54" s="194">
        <f t="shared" si="22"/>
        <v>0</v>
      </c>
      <c r="AL54" s="194">
        <f t="shared" si="22"/>
        <v>33</v>
      </c>
      <c r="AM54" s="194">
        <f t="shared" si="22"/>
        <v>0</v>
      </c>
      <c r="AN54" s="66">
        <f t="shared" si="27"/>
        <v>122</v>
      </c>
      <c r="AP54" s="198" t="s">
        <v>30</v>
      </c>
      <c r="AQ54" s="198">
        <v>26</v>
      </c>
    </row>
    <row r="55" spans="1:43" x14ac:dyDescent="0.25">
      <c r="A55" t="s">
        <v>35</v>
      </c>
      <c r="B55" s="15" t="s">
        <v>336</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4">
        <f t="shared" si="19"/>
        <v>0</v>
      </c>
      <c r="O55" s="194">
        <v>30</v>
      </c>
      <c r="P55" s="194">
        <v>33</v>
      </c>
      <c r="Q55" s="194">
        <f t="shared" si="20"/>
        <v>0</v>
      </c>
      <c r="R55" s="194">
        <f t="shared" si="20"/>
        <v>0</v>
      </c>
      <c r="S55" s="194">
        <v>33</v>
      </c>
      <c r="T55" s="194">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4">
        <f t="shared" si="25"/>
        <v>0</v>
      </c>
      <c r="AH55" s="194">
        <f t="shared" si="30"/>
        <v>56</v>
      </c>
      <c r="AI55" s="194">
        <f t="shared" si="22"/>
        <v>33</v>
      </c>
      <c r="AJ55" s="194">
        <f t="shared" si="22"/>
        <v>0</v>
      </c>
      <c r="AK55" s="194">
        <f t="shared" si="22"/>
        <v>0</v>
      </c>
      <c r="AL55" s="194">
        <f t="shared" si="22"/>
        <v>33</v>
      </c>
      <c r="AM55" s="194">
        <f t="shared" si="22"/>
        <v>0</v>
      </c>
      <c r="AN55" s="66">
        <f t="shared" si="27"/>
        <v>122</v>
      </c>
      <c r="AQ55">
        <f>AQ54*7</f>
        <v>182</v>
      </c>
    </row>
    <row r="56" spans="1:43" x14ac:dyDescent="0.25">
      <c r="A56" t="s">
        <v>31</v>
      </c>
      <c r="B56" s="15" t="s">
        <v>336</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4">
        <f t="shared" si="19"/>
        <v>0</v>
      </c>
      <c r="O56" s="194">
        <v>30</v>
      </c>
      <c r="P56" s="194">
        <v>33</v>
      </c>
      <c r="Q56" s="194">
        <f t="shared" si="20"/>
        <v>0</v>
      </c>
      <c r="R56" s="194">
        <f t="shared" si="20"/>
        <v>0</v>
      </c>
      <c r="S56" s="194">
        <v>33</v>
      </c>
      <c r="T56" s="194">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4">
        <f t="shared" si="25"/>
        <v>0</v>
      </c>
      <c r="AH56" s="194">
        <f t="shared" si="30"/>
        <v>56</v>
      </c>
      <c r="AI56" s="194">
        <f t="shared" si="22"/>
        <v>33</v>
      </c>
      <c r="AJ56" s="194">
        <f t="shared" si="22"/>
        <v>0</v>
      </c>
      <c r="AK56" s="194">
        <f t="shared" si="22"/>
        <v>0</v>
      </c>
      <c r="AL56" s="194">
        <f t="shared" si="22"/>
        <v>33</v>
      </c>
      <c r="AM56" s="194">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4">
        <f t="shared" si="19"/>
        <v>0</v>
      </c>
      <c r="O57" s="194">
        <f t="shared" si="20"/>
        <v>18</v>
      </c>
      <c r="P57" s="194">
        <f t="shared" si="20"/>
        <v>48</v>
      </c>
      <c r="Q57" s="194">
        <f t="shared" si="20"/>
        <v>0</v>
      </c>
      <c r="R57" s="194">
        <f t="shared" si="20"/>
        <v>0</v>
      </c>
      <c r="S57" s="194">
        <f t="shared" si="20"/>
        <v>33</v>
      </c>
      <c r="T57" s="194">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4">
        <f t="shared" si="25"/>
        <v>0</v>
      </c>
      <c r="AH57" s="194">
        <f t="shared" si="30"/>
        <v>44</v>
      </c>
      <c r="AI57" s="194">
        <f t="shared" si="22"/>
        <v>48</v>
      </c>
      <c r="AJ57" s="194">
        <f t="shared" si="22"/>
        <v>0</v>
      </c>
      <c r="AK57" s="194">
        <f t="shared" si="22"/>
        <v>0</v>
      </c>
      <c r="AL57" s="194">
        <f t="shared" si="22"/>
        <v>33</v>
      </c>
      <c r="AM57" s="194">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4">
        <f t="shared" si="19"/>
        <v>0</v>
      </c>
      <c r="O58" s="194">
        <f t="shared" si="20"/>
        <v>18</v>
      </c>
      <c r="P58" s="194">
        <f t="shared" si="20"/>
        <v>48</v>
      </c>
      <c r="Q58" s="194">
        <f t="shared" si="20"/>
        <v>0</v>
      </c>
      <c r="R58" s="194">
        <f t="shared" si="20"/>
        <v>0</v>
      </c>
      <c r="S58" s="194">
        <f t="shared" si="20"/>
        <v>33</v>
      </c>
      <c r="T58" s="194">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4">
        <f t="shared" si="25"/>
        <v>0</v>
      </c>
      <c r="AH58" s="194">
        <f t="shared" si="30"/>
        <v>44</v>
      </c>
      <c r="AI58" s="194">
        <f t="shared" si="22"/>
        <v>48</v>
      </c>
      <c r="AJ58" s="194">
        <f t="shared" si="22"/>
        <v>0</v>
      </c>
      <c r="AK58" s="194">
        <f t="shared" si="22"/>
        <v>0</v>
      </c>
      <c r="AL58" s="194">
        <f t="shared" si="22"/>
        <v>33</v>
      </c>
      <c r="AM58" s="194">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4">
        <f t="shared" si="19"/>
        <v>0</v>
      </c>
      <c r="O59" s="194">
        <f t="shared" si="20"/>
        <v>18</v>
      </c>
      <c r="P59" s="194">
        <f t="shared" si="20"/>
        <v>48</v>
      </c>
      <c r="Q59" s="194">
        <f t="shared" si="20"/>
        <v>0</v>
      </c>
      <c r="R59" s="194">
        <f t="shared" si="20"/>
        <v>0</v>
      </c>
      <c r="S59" s="194">
        <f t="shared" si="20"/>
        <v>33</v>
      </c>
      <c r="T59" s="194">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4">
        <f t="shared" si="25"/>
        <v>0</v>
      </c>
      <c r="AH59" s="194">
        <f t="shared" si="30"/>
        <v>44</v>
      </c>
      <c r="AI59" s="194">
        <f t="shared" si="22"/>
        <v>48</v>
      </c>
      <c r="AJ59" s="194">
        <f t="shared" si="22"/>
        <v>0</v>
      </c>
      <c r="AK59" s="194">
        <f t="shared" si="22"/>
        <v>0</v>
      </c>
      <c r="AL59" s="194">
        <f t="shared" si="22"/>
        <v>33</v>
      </c>
      <c r="AM59" s="194">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4">
        <f t="shared" si="19"/>
        <v>0</v>
      </c>
      <c r="O60" s="194">
        <f t="shared" si="20"/>
        <v>0</v>
      </c>
      <c r="P60" s="194">
        <f t="shared" si="20"/>
        <v>26</v>
      </c>
      <c r="Q60" s="194">
        <f t="shared" si="20"/>
        <v>20.5</v>
      </c>
      <c r="R60" s="194">
        <f t="shared" si="20"/>
        <v>21</v>
      </c>
      <c r="S60" s="194">
        <f t="shared" si="20"/>
        <v>35</v>
      </c>
      <c r="T60" s="194">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4">
        <f t="shared" si="25"/>
        <v>0</v>
      </c>
      <c r="AH60" s="194">
        <f t="shared" si="30"/>
        <v>26</v>
      </c>
      <c r="AI60" s="194">
        <f t="shared" si="22"/>
        <v>26</v>
      </c>
      <c r="AJ60" s="194">
        <f t="shared" si="22"/>
        <v>20.5</v>
      </c>
      <c r="AK60" s="194">
        <f t="shared" si="22"/>
        <v>21</v>
      </c>
      <c r="AL60" s="194">
        <f t="shared" si="22"/>
        <v>35</v>
      </c>
      <c r="AM60" s="194">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4">
        <f t="shared" si="19"/>
        <v>0</v>
      </c>
      <c r="O61" s="194">
        <f t="shared" si="20"/>
        <v>14</v>
      </c>
      <c r="P61" s="194">
        <f t="shared" si="20"/>
        <v>18</v>
      </c>
      <c r="Q61" s="194">
        <f t="shared" si="20"/>
        <v>15</v>
      </c>
      <c r="R61" s="194">
        <f t="shared" si="20"/>
        <v>21</v>
      </c>
      <c r="S61" s="194">
        <f t="shared" si="20"/>
        <v>33</v>
      </c>
      <c r="T61" s="194">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4">
        <f t="shared" si="25"/>
        <v>0</v>
      </c>
      <c r="AH61" s="194">
        <f t="shared" si="30"/>
        <v>40</v>
      </c>
      <c r="AI61" s="194">
        <f t="shared" si="22"/>
        <v>18</v>
      </c>
      <c r="AJ61" s="194">
        <f t="shared" si="22"/>
        <v>15</v>
      </c>
      <c r="AK61" s="194">
        <f t="shared" si="22"/>
        <v>21</v>
      </c>
      <c r="AL61" s="194">
        <f t="shared" si="22"/>
        <v>33</v>
      </c>
      <c r="AM61" s="194">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4">
        <f t="shared" si="19"/>
        <v>0</v>
      </c>
      <c r="O62" s="194">
        <f t="shared" si="20"/>
        <v>3</v>
      </c>
      <c r="P62" s="194">
        <f t="shared" si="20"/>
        <v>24</v>
      </c>
      <c r="Q62" s="194">
        <f t="shared" si="20"/>
        <v>17.5</v>
      </c>
      <c r="R62" s="194">
        <f t="shared" si="20"/>
        <v>18</v>
      </c>
      <c r="S62" s="194">
        <f t="shared" si="20"/>
        <v>35</v>
      </c>
      <c r="T62" s="194">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4">
        <f t="shared" si="25"/>
        <v>0</v>
      </c>
      <c r="AH62" s="194">
        <f t="shared" si="30"/>
        <v>29</v>
      </c>
      <c r="AI62" s="194">
        <f t="shared" si="22"/>
        <v>24</v>
      </c>
      <c r="AJ62" s="194">
        <f t="shared" si="22"/>
        <v>17.5</v>
      </c>
      <c r="AK62" s="194">
        <f t="shared" si="22"/>
        <v>18</v>
      </c>
      <c r="AL62" s="194">
        <f t="shared" si="22"/>
        <v>35</v>
      </c>
      <c r="AM62" s="194">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4">
        <f t="shared" si="19"/>
        <v>0</v>
      </c>
      <c r="O63" s="194">
        <f t="shared" si="20"/>
        <v>0</v>
      </c>
      <c r="P63" s="194">
        <f t="shared" si="20"/>
        <v>0</v>
      </c>
      <c r="Q63" s="194">
        <f t="shared" si="20"/>
        <v>0</v>
      </c>
      <c r="R63" s="194">
        <f t="shared" si="20"/>
        <v>0</v>
      </c>
      <c r="S63" s="194">
        <f t="shared" si="20"/>
        <v>0</v>
      </c>
      <c r="T63" s="194">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4">
        <f t="shared" si="25"/>
        <v>0</v>
      </c>
      <c r="AH63" s="194">
        <f t="shared" si="22"/>
        <v>0</v>
      </c>
      <c r="AI63" s="194">
        <f t="shared" si="22"/>
        <v>0</v>
      </c>
      <c r="AJ63" s="194">
        <f t="shared" si="22"/>
        <v>0</v>
      </c>
      <c r="AK63" s="194">
        <f t="shared" si="22"/>
        <v>0</v>
      </c>
      <c r="AL63" s="194">
        <f t="shared" si="22"/>
        <v>0</v>
      </c>
      <c r="AM63" s="194">
        <f t="shared" si="22"/>
        <v>0</v>
      </c>
      <c r="AN63" s="66">
        <f>SUM(AG63:AM63)</f>
        <v>0</v>
      </c>
    </row>
    <row r="64" spans="1:43" x14ac:dyDescent="0.25">
      <c r="A64" t="s">
        <v>334</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4">
        <f t="shared" si="19"/>
        <v>0</v>
      </c>
      <c r="O64" s="194">
        <f t="shared" si="20"/>
        <v>0</v>
      </c>
      <c r="P64" s="194">
        <f t="shared" si="20"/>
        <v>0</v>
      </c>
      <c r="Q64" s="194">
        <f t="shared" si="20"/>
        <v>0</v>
      </c>
      <c r="R64" s="194">
        <f t="shared" si="20"/>
        <v>0</v>
      </c>
      <c r="S64" s="194">
        <f t="shared" si="20"/>
        <v>0</v>
      </c>
      <c r="T64" s="194">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4">
        <f t="shared" si="25"/>
        <v>0</v>
      </c>
      <c r="AH64" s="194">
        <f t="shared" si="22"/>
        <v>0</v>
      </c>
      <c r="AI64" s="194">
        <f t="shared" si="22"/>
        <v>0</v>
      </c>
      <c r="AJ64" s="194">
        <f t="shared" si="22"/>
        <v>0</v>
      </c>
      <c r="AK64" s="194">
        <f t="shared" si="22"/>
        <v>0</v>
      </c>
      <c r="AL64" s="194">
        <f t="shared" si="22"/>
        <v>0</v>
      </c>
      <c r="AM64" s="194">
        <f t="shared" si="22"/>
        <v>0</v>
      </c>
      <c r="AN64" s="66">
        <f>SUM(AG64:AM64)</f>
        <v>0</v>
      </c>
    </row>
    <row r="65" spans="1:43" x14ac:dyDescent="0.25">
      <c r="A65"/>
      <c r="B65"/>
      <c r="F65" s="194"/>
      <c r="G65" s="194"/>
      <c r="H65" s="194"/>
      <c r="I65" s="194"/>
      <c r="J65" s="194"/>
      <c r="K65" s="194"/>
      <c r="L65" s="194"/>
      <c r="M65" s="195">
        <f>SUM(M67:M81)</f>
        <v>151807.20000000001</v>
      </c>
      <c r="N65" s="194"/>
      <c r="O65" s="194"/>
      <c r="P65" s="194"/>
      <c r="Q65" s="194"/>
      <c r="R65" s="194"/>
      <c r="S65" s="194"/>
      <c r="T65" s="194"/>
      <c r="U65" s="194"/>
      <c r="Y65" s="194"/>
      <c r="Z65" s="194"/>
      <c r="AA65" s="194"/>
      <c r="AB65" s="194"/>
      <c r="AC65" s="194"/>
      <c r="AD65" s="194"/>
      <c r="AE65" s="194"/>
      <c r="AF65" s="195">
        <f>SUM(AF67:AF81)</f>
        <v>157600.34499999997</v>
      </c>
      <c r="AG65" s="194"/>
      <c r="AH65" s="194"/>
      <c r="AI65" s="194"/>
      <c r="AJ65" s="194"/>
      <c r="AK65" s="194"/>
      <c r="AL65" s="194"/>
      <c r="AM65" s="194"/>
      <c r="AN65" s="194"/>
    </row>
    <row r="66" spans="1:43" x14ac:dyDescent="0.25">
      <c r="A66" s="10" t="s">
        <v>170</v>
      </c>
      <c r="B66" s="10" t="s">
        <v>2</v>
      </c>
      <c r="C66" s="10" t="s">
        <v>84</v>
      </c>
      <c r="D66" s="10" t="s">
        <v>321</v>
      </c>
      <c r="E66" s="10" t="s">
        <v>322</v>
      </c>
      <c r="F66" s="10" t="s">
        <v>15</v>
      </c>
      <c r="G66" s="10" t="s">
        <v>16</v>
      </c>
      <c r="H66" s="10" t="s">
        <v>17</v>
      </c>
      <c r="I66" s="10" t="s">
        <v>18</v>
      </c>
      <c r="J66" s="10" t="s">
        <v>19</v>
      </c>
      <c r="K66" s="10" t="s">
        <v>20</v>
      </c>
      <c r="L66" s="10" t="s">
        <v>6</v>
      </c>
      <c r="M66" s="10" t="s">
        <v>68</v>
      </c>
      <c r="N66" s="10" t="s">
        <v>323</v>
      </c>
      <c r="O66" s="10" t="s">
        <v>324</v>
      </c>
      <c r="P66" s="10" t="s">
        <v>325</v>
      </c>
      <c r="Q66" s="10" t="s">
        <v>326</v>
      </c>
      <c r="R66" s="10" t="s">
        <v>327</v>
      </c>
      <c r="S66" s="10" t="s">
        <v>328</v>
      </c>
      <c r="T66" s="10" t="s">
        <v>329</v>
      </c>
      <c r="U66" s="10" t="s">
        <v>330</v>
      </c>
      <c r="W66" s="10" t="s">
        <v>321</v>
      </c>
      <c r="X66" s="10" t="s">
        <v>322</v>
      </c>
      <c r="Y66" s="10" t="s">
        <v>15</v>
      </c>
      <c r="Z66" s="10" t="s">
        <v>16</v>
      </c>
      <c r="AA66" s="10" t="s">
        <v>17</v>
      </c>
      <c r="AB66" s="10" t="s">
        <v>18</v>
      </c>
      <c r="AC66" s="10" t="s">
        <v>19</v>
      </c>
      <c r="AD66" s="10" t="s">
        <v>20</v>
      </c>
      <c r="AE66" s="10" t="s">
        <v>6</v>
      </c>
      <c r="AF66" s="10" t="s">
        <v>68</v>
      </c>
      <c r="AG66" s="10" t="s">
        <v>323</v>
      </c>
      <c r="AH66" s="10" t="s">
        <v>324</v>
      </c>
      <c r="AI66" s="10" t="s">
        <v>325</v>
      </c>
      <c r="AJ66" s="10" t="s">
        <v>326</v>
      </c>
      <c r="AK66" s="10" t="s">
        <v>327</v>
      </c>
      <c r="AL66" s="10" t="s">
        <v>328</v>
      </c>
      <c r="AM66" s="10" t="s">
        <v>329</v>
      </c>
      <c r="AN66" s="10" t="s">
        <v>330</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4">
        <v>52</v>
      </c>
      <c r="O67" s="194">
        <v>37</v>
      </c>
      <c r="P67" s="194">
        <f t="shared" ref="P67:S82" si="34">AI49</f>
        <v>0</v>
      </c>
      <c r="Q67" s="194">
        <f t="shared" si="34"/>
        <v>0</v>
      </c>
      <c r="R67" s="194">
        <f t="shared" si="34"/>
        <v>0</v>
      </c>
      <c r="S67" s="194">
        <f t="shared" si="34"/>
        <v>0</v>
      </c>
      <c r="T67" s="194">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4">
        <f>N67</f>
        <v>52</v>
      </c>
      <c r="AH67" s="194">
        <f t="shared" ref="AH67:AL82" si="36">O67</f>
        <v>37</v>
      </c>
      <c r="AI67" s="194">
        <f t="shared" si="36"/>
        <v>0</v>
      </c>
      <c r="AJ67" s="194">
        <f t="shared" si="36"/>
        <v>0</v>
      </c>
      <c r="AK67" s="194">
        <f t="shared" si="36"/>
        <v>0</v>
      </c>
      <c r="AL67" s="194">
        <f t="shared" si="36"/>
        <v>0</v>
      </c>
      <c r="AM67" s="194">
        <f>T67+$AQ$74</f>
        <v>30</v>
      </c>
      <c r="AN67" s="66">
        <f>SUM(AG67:AM67)</f>
        <v>119</v>
      </c>
    </row>
    <row r="68" spans="1:43" x14ac:dyDescent="0.25">
      <c r="A68" t="s">
        <v>32</v>
      </c>
      <c r="B68" s="15" t="s">
        <v>336</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4">
        <f t="shared" si="37"/>
        <v>0</v>
      </c>
      <c r="O68" s="194">
        <v>56</v>
      </c>
      <c r="P68" s="194">
        <v>16</v>
      </c>
      <c r="Q68" s="194">
        <f t="shared" si="34"/>
        <v>0</v>
      </c>
      <c r="R68" s="194">
        <f t="shared" si="34"/>
        <v>0</v>
      </c>
      <c r="S68" s="194">
        <v>33</v>
      </c>
      <c r="T68" s="194">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4">
        <f t="shared" ref="AG68:AG82" si="40">N68</f>
        <v>0</v>
      </c>
      <c r="AH68" s="194">
        <f t="shared" si="36"/>
        <v>56</v>
      </c>
      <c r="AI68" s="194">
        <f t="shared" si="36"/>
        <v>16</v>
      </c>
      <c r="AJ68" s="194">
        <f t="shared" si="36"/>
        <v>0</v>
      </c>
      <c r="AK68" s="194">
        <f t="shared" si="36"/>
        <v>0</v>
      </c>
      <c r="AL68" s="194">
        <f t="shared" si="36"/>
        <v>33</v>
      </c>
      <c r="AM68" s="194">
        <f t="shared" ref="AM68:AM82" si="41">T68+$AQ$74</f>
        <v>25</v>
      </c>
      <c r="AN68" s="66">
        <f>SUM(AG68:AM68)</f>
        <v>130</v>
      </c>
    </row>
    <row r="69" spans="1:43" x14ac:dyDescent="0.25">
      <c r="A69" t="s">
        <v>33</v>
      </c>
      <c r="B69" s="15" t="s">
        <v>336</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4">
        <f t="shared" si="37"/>
        <v>0</v>
      </c>
      <c r="O69" s="194">
        <v>56</v>
      </c>
      <c r="P69" s="194">
        <v>16</v>
      </c>
      <c r="Q69" s="194">
        <f t="shared" si="34"/>
        <v>0</v>
      </c>
      <c r="R69" s="194">
        <f t="shared" si="34"/>
        <v>0</v>
      </c>
      <c r="S69" s="194">
        <v>33</v>
      </c>
      <c r="T69" s="194">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4">
        <f t="shared" si="40"/>
        <v>0</v>
      </c>
      <c r="AH69" s="194">
        <f t="shared" si="36"/>
        <v>56</v>
      </c>
      <c r="AI69" s="194">
        <f t="shared" si="36"/>
        <v>16</v>
      </c>
      <c r="AJ69" s="194">
        <f t="shared" si="36"/>
        <v>0</v>
      </c>
      <c r="AK69" s="194">
        <f t="shared" si="36"/>
        <v>0</v>
      </c>
      <c r="AL69" s="194">
        <f t="shared" si="36"/>
        <v>33</v>
      </c>
      <c r="AM69" s="194">
        <f t="shared" si="41"/>
        <v>25</v>
      </c>
      <c r="AN69" s="66">
        <f>SUM(AG69:AM69)</f>
        <v>130</v>
      </c>
    </row>
    <row r="70" spans="1:43" x14ac:dyDescent="0.25">
      <c r="A70" t="s">
        <v>39</v>
      </c>
      <c r="B70" s="15" t="s">
        <v>336</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4">
        <f t="shared" si="37"/>
        <v>0</v>
      </c>
      <c r="O70" s="194">
        <v>56</v>
      </c>
      <c r="P70" s="194">
        <v>16</v>
      </c>
      <c r="Q70" s="194">
        <f t="shared" si="34"/>
        <v>0</v>
      </c>
      <c r="R70" s="194">
        <f t="shared" si="34"/>
        <v>0</v>
      </c>
      <c r="S70" s="194">
        <v>33</v>
      </c>
      <c r="T70" s="194">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4">
        <f t="shared" si="40"/>
        <v>0</v>
      </c>
      <c r="AH70" s="194">
        <f t="shared" si="36"/>
        <v>56</v>
      </c>
      <c r="AI70" s="194">
        <f t="shared" si="36"/>
        <v>16</v>
      </c>
      <c r="AJ70" s="194">
        <f t="shared" si="36"/>
        <v>0</v>
      </c>
      <c r="AK70" s="194">
        <f t="shared" si="36"/>
        <v>0</v>
      </c>
      <c r="AL70" s="194">
        <f t="shared" si="36"/>
        <v>33</v>
      </c>
      <c r="AM70" s="194">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4">
        <f t="shared" si="37"/>
        <v>0</v>
      </c>
      <c r="O71" s="194">
        <f t="shared" si="37"/>
        <v>56</v>
      </c>
      <c r="P71" s="194">
        <f t="shared" si="37"/>
        <v>33</v>
      </c>
      <c r="Q71" s="194">
        <f t="shared" si="34"/>
        <v>0</v>
      </c>
      <c r="R71" s="194">
        <f t="shared" si="34"/>
        <v>0</v>
      </c>
      <c r="S71" s="194">
        <f t="shared" si="34"/>
        <v>33</v>
      </c>
      <c r="T71" s="194">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4">
        <f t="shared" si="40"/>
        <v>0</v>
      </c>
      <c r="AH71" s="194">
        <f t="shared" si="36"/>
        <v>56</v>
      </c>
      <c r="AI71" s="194">
        <f t="shared" si="36"/>
        <v>33</v>
      </c>
      <c r="AJ71" s="194">
        <f t="shared" si="36"/>
        <v>0</v>
      </c>
      <c r="AK71" s="194">
        <f t="shared" si="36"/>
        <v>0</v>
      </c>
      <c r="AL71" s="194">
        <f t="shared" si="36"/>
        <v>33</v>
      </c>
      <c r="AM71" s="194">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4">
        <f t="shared" si="37"/>
        <v>0</v>
      </c>
      <c r="O72" s="194">
        <f t="shared" si="37"/>
        <v>56</v>
      </c>
      <c r="P72" s="194">
        <f t="shared" si="37"/>
        <v>33</v>
      </c>
      <c r="Q72" s="194">
        <f t="shared" si="34"/>
        <v>0</v>
      </c>
      <c r="R72" s="194">
        <f t="shared" si="34"/>
        <v>0</v>
      </c>
      <c r="S72" s="194">
        <f t="shared" si="34"/>
        <v>33</v>
      </c>
      <c r="T72" s="194">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4">
        <f t="shared" si="40"/>
        <v>0</v>
      </c>
      <c r="AH72" s="194">
        <f t="shared" si="36"/>
        <v>56</v>
      </c>
      <c r="AI72" s="194">
        <f t="shared" si="36"/>
        <v>33</v>
      </c>
      <c r="AJ72" s="194">
        <f t="shared" si="36"/>
        <v>0</v>
      </c>
      <c r="AK72" s="194">
        <f t="shared" si="36"/>
        <v>0</v>
      </c>
      <c r="AL72" s="194">
        <f t="shared" si="36"/>
        <v>33</v>
      </c>
      <c r="AM72" s="194">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4">
        <f t="shared" si="37"/>
        <v>0</v>
      </c>
      <c r="O73" s="194">
        <f t="shared" si="37"/>
        <v>56</v>
      </c>
      <c r="P73" s="194">
        <f t="shared" si="37"/>
        <v>33</v>
      </c>
      <c r="Q73" s="194">
        <f t="shared" si="34"/>
        <v>0</v>
      </c>
      <c r="R73" s="194">
        <f t="shared" si="34"/>
        <v>0</v>
      </c>
      <c r="S73" s="194">
        <f t="shared" si="34"/>
        <v>33</v>
      </c>
      <c r="T73" s="194">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4">
        <f t="shared" si="40"/>
        <v>0</v>
      </c>
      <c r="AH73" s="194">
        <f t="shared" si="36"/>
        <v>56</v>
      </c>
      <c r="AI73" s="194">
        <f t="shared" si="36"/>
        <v>33</v>
      </c>
      <c r="AJ73" s="194">
        <f t="shared" si="36"/>
        <v>0</v>
      </c>
      <c r="AK73" s="194">
        <f t="shared" si="36"/>
        <v>0</v>
      </c>
      <c r="AL73" s="194">
        <f t="shared" si="36"/>
        <v>33</v>
      </c>
      <c r="AM73" s="194">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4">
        <f t="shared" si="37"/>
        <v>0</v>
      </c>
      <c r="O74" s="194">
        <f t="shared" si="37"/>
        <v>56</v>
      </c>
      <c r="P74" s="194">
        <f t="shared" si="37"/>
        <v>33</v>
      </c>
      <c r="Q74" s="194">
        <f t="shared" si="34"/>
        <v>0</v>
      </c>
      <c r="R74" s="194">
        <f t="shared" si="34"/>
        <v>0</v>
      </c>
      <c r="S74" s="194">
        <f t="shared" si="34"/>
        <v>33</v>
      </c>
      <c r="T74" s="194">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4">
        <f t="shared" si="40"/>
        <v>0</v>
      </c>
      <c r="AH74" s="194">
        <f t="shared" si="36"/>
        <v>56</v>
      </c>
      <c r="AI74" s="194">
        <f t="shared" si="36"/>
        <v>33</v>
      </c>
      <c r="AJ74" s="194">
        <f t="shared" si="36"/>
        <v>0</v>
      </c>
      <c r="AK74" s="194">
        <f t="shared" si="36"/>
        <v>0</v>
      </c>
      <c r="AL74" s="194">
        <f t="shared" si="36"/>
        <v>33</v>
      </c>
      <c r="AM74" s="194">
        <f t="shared" si="41"/>
        <v>25</v>
      </c>
      <c r="AN74" s="66">
        <f t="shared" si="47"/>
        <v>147</v>
      </c>
      <c r="AP74" s="198" t="s">
        <v>47</v>
      </c>
      <c r="AQ74" s="198">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4">
        <f t="shared" si="37"/>
        <v>0</v>
      </c>
      <c r="O75" s="194">
        <f t="shared" si="37"/>
        <v>44</v>
      </c>
      <c r="P75" s="194">
        <f t="shared" si="37"/>
        <v>48</v>
      </c>
      <c r="Q75" s="194">
        <f t="shared" si="34"/>
        <v>0</v>
      </c>
      <c r="R75" s="194">
        <f t="shared" si="34"/>
        <v>0</v>
      </c>
      <c r="S75" s="194">
        <f t="shared" si="34"/>
        <v>33</v>
      </c>
      <c r="T75" s="194">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4">
        <f t="shared" si="40"/>
        <v>0</v>
      </c>
      <c r="AH75" s="194">
        <f t="shared" si="36"/>
        <v>44</v>
      </c>
      <c r="AI75" s="194">
        <f t="shared" si="36"/>
        <v>48</v>
      </c>
      <c r="AJ75" s="194">
        <f t="shared" si="36"/>
        <v>0</v>
      </c>
      <c r="AK75" s="194">
        <f t="shared" si="36"/>
        <v>0</v>
      </c>
      <c r="AL75" s="194">
        <f t="shared" si="36"/>
        <v>33</v>
      </c>
      <c r="AM75" s="194">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4">
        <f t="shared" si="37"/>
        <v>0</v>
      </c>
      <c r="O76" s="194">
        <f t="shared" si="37"/>
        <v>44</v>
      </c>
      <c r="P76" s="194">
        <f t="shared" si="37"/>
        <v>48</v>
      </c>
      <c r="Q76" s="194">
        <f t="shared" si="34"/>
        <v>0</v>
      </c>
      <c r="R76" s="194">
        <f t="shared" si="34"/>
        <v>0</v>
      </c>
      <c r="S76" s="194">
        <f t="shared" si="34"/>
        <v>33</v>
      </c>
      <c r="T76" s="194">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4">
        <f t="shared" si="40"/>
        <v>0</v>
      </c>
      <c r="AH76" s="194">
        <f t="shared" si="36"/>
        <v>44</v>
      </c>
      <c r="AI76" s="194">
        <f t="shared" si="36"/>
        <v>48</v>
      </c>
      <c r="AJ76" s="194">
        <f t="shared" si="36"/>
        <v>0</v>
      </c>
      <c r="AK76" s="194">
        <f t="shared" si="36"/>
        <v>0</v>
      </c>
      <c r="AL76" s="194">
        <f t="shared" si="36"/>
        <v>33</v>
      </c>
      <c r="AM76" s="194">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4">
        <f t="shared" si="37"/>
        <v>0</v>
      </c>
      <c r="O77" s="194">
        <f t="shared" si="37"/>
        <v>44</v>
      </c>
      <c r="P77" s="194">
        <f t="shared" si="37"/>
        <v>48</v>
      </c>
      <c r="Q77" s="194">
        <f t="shared" si="34"/>
        <v>0</v>
      </c>
      <c r="R77" s="194">
        <f t="shared" si="34"/>
        <v>0</v>
      </c>
      <c r="S77" s="194">
        <f t="shared" si="34"/>
        <v>33</v>
      </c>
      <c r="T77" s="194">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4">
        <f t="shared" si="40"/>
        <v>0</v>
      </c>
      <c r="AH77" s="194">
        <f t="shared" si="36"/>
        <v>44</v>
      </c>
      <c r="AI77" s="194">
        <f t="shared" si="36"/>
        <v>48</v>
      </c>
      <c r="AJ77" s="194">
        <f t="shared" si="36"/>
        <v>0</v>
      </c>
      <c r="AK77" s="194">
        <f t="shared" si="36"/>
        <v>0</v>
      </c>
      <c r="AL77" s="194">
        <f t="shared" si="36"/>
        <v>33</v>
      </c>
      <c r="AM77" s="194">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4">
        <f t="shared" si="37"/>
        <v>0</v>
      </c>
      <c r="O78" s="194">
        <f t="shared" si="37"/>
        <v>26</v>
      </c>
      <c r="P78" s="194">
        <f t="shared" si="37"/>
        <v>26</v>
      </c>
      <c r="Q78" s="194">
        <f t="shared" si="34"/>
        <v>20.5</v>
      </c>
      <c r="R78" s="194">
        <f t="shared" si="34"/>
        <v>21</v>
      </c>
      <c r="S78" s="194">
        <f t="shared" si="34"/>
        <v>35</v>
      </c>
      <c r="T78" s="194">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4">
        <f t="shared" si="40"/>
        <v>0</v>
      </c>
      <c r="AH78" s="194">
        <f t="shared" si="36"/>
        <v>26</v>
      </c>
      <c r="AI78" s="194">
        <f t="shared" si="36"/>
        <v>26</v>
      </c>
      <c r="AJ78" s="194">
        <f t="shared" si="36"/>
        <v>20.5</v>
      </c>
      <c r="AK78" s="194">
        <f t="shared" si="36"/>
        <v>21</v>
      </c>
      <c r="AL78" s="194">
        <f t="shared" si="36"/>
        <v>35</v>
      </c>
      <c r="AM78" s="194">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4">
        <f t="shared" si="37"/>
        <v>0</v>
      </c>
      <c r="O79" s="194">
        <f t="shared" si="37"/>
        <v>40</v>
      </c>
      <c r="P79" s="194">
        <f t="shared" si="37"/>
        <v>18</v>
      </c>
      <c r="Q79" s="194">
        <f t="shared" si="34"/>
        <v>15</v>
      </c>
      <c r="R79" s="194">
        <f t="shared" si="34"/>
        <v>21</v>
      </c>
      <c r="S79" s="194">
        <f t="shared" si="34"/>
        <v>33</v>
      </c>
      <c r="T79" s="194">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4">
        <f t="shared" si="40"/>
        <v>0</v>
      </c>
      <c r="AH79" s="194">
        <f t="shared" si="36"/>
        <v>40</v>
      </c>
      <c r="AI79" s="194">
        <f t="shared" si="36"/>
        <v>18</v>
      </c>
      <c r="AJ79" s="194">
        <f t="shared" si="36"/>
        <v>15</v>
      </c>
      <c r="AK79" s="194">
        <f t="shared" si="36"/>
        <v>21</v>
      </c>
      <c r="AL79" s="194">
        <f t="shared" si="36"/>
        <v>33</v>
      </c>
      <c r="AM79" s="194">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4">
        <f t="shared" si="37"/>
        <v>0</v>
      </c>
      <c r="O80" s="194">
        <f t="shared" si="37"/>
        <v>29</v>
      </c>
      <c r="P80" s="194">
        <f t="shared" si="37"/>
        <v>24</v>
      </c>
      <c r="Q80" s="194">
        <f t="shared" si="34"/>
        <v>17.5</v>
      </c>
      <c r="R80" s="194">
        <f t="shared" si="34"/>
        <v>18</v>
      </c>
      <c r="S80" s="194">
        <f t="shared" si="34"/>
        <v>35</v>
      </c>
      <c r="T80" s="194">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4">
        <f t="shared" si="40"/>
        <v>0</v>
      </c>
      <c r="AH80" s="194">
        <f t="shared" si="36"/>
        <v>29</v>
      </c>
      <c r="AI80" s="194">
        <f t="shared" si="36"/>
        <v>24</v>
      </c>
      <c r="AJ80" s="194">
        <f t="shared" si="36"/>
        <v>17.5</v>
      </c>
      <c r="AK80" s="194">
        <f t="shared" si="36"/>
        <v>18</v>
      </c>
      <c r="AL80" s="194">
        <f t="shared" si="36"/>
        <v>35</v>
      </c>
      <c r="AM80" s="194">
        <f t="shared" si="41"/>
        <v>23</v>
      </c>
      <c r="AN80" s="66">
        <f>SUM(AG80:AM80)</f>
        <v>146.5</v>
      </c>
    </row>
    <row r="81" spans="1:40" x14ac:dyDescent="0.25">
      <c r="A81" t="s">
        <v>46</v>
      </c>
      <c r="B81" s="15" t="s">
        <v>337</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4">
        <f t="shared" si="37"/>
        <v>0</v>
      </c>
      <c r="O81" s="194">
        <f t="shared" si="37"/>
        <v>0</v>
      </c>
      <c r="P81" s="194">
        <v>48</v>
      </c>
      <c r="Q81" s="194">
        <f t="shared" si="34"/>
        <v>0</v>
      </c>
      <c r="R81" s="194">
        <f t="shared" si="34"/>
        <v>0</v>
      </c>
      <c r="S81" s="194">
        <v>33</v>
      </c>
      <c r="T81" s="194">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4">
        <f t="shared" si="40"/>
        <v>0</v>
      </c>
      <c r="AH81" s="194">
        <f t="shared" si="36"/>
        <v>0</v>
      </c>
      <c r="AI81" s="194">
        <f t="shared" si="36"/>
        <v>48</v>
      </c>
      <c r="AJ81" s="194">
        <f t="shared" si="36"/>
        <v>0</v>
      </c>
      <c r="AK81" s="194">
        <f t="shared" si="36"/>
        <v>0</v>
      </c>
      <c r="AL81" s="194">
        <f t="shared" si="36"/>
        <v>33</v>
      </c>
      <c r="AM81" s="194">
        <f t="shared" si="41"/>
        <v>30</v>
      </c>
      <c r="AN81" s="66">
        <f>SUM(AG81:AM81)</f>
        <v>111</v>
      </c>
    </row>
    <row r="82" spans="1:40" x14ac:dyDescent="0.25">
      <c r="A82" t="s">
        <v>334</v>
      </c>
      <c r="B82" s="15" t="s">
        <v>337</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4">
        <f t="shared" si="37"/>
        <v>0</v>
      </c>
      <c r="O82" s="194">
        <f t="shared" si="37"/>
        <v>0</v>
      </c>
      <c r="P82" s="194">
        <v>48</v>
      </c>
      <c r="Q82" s="194">
        <f t="shared" si="34"/>
        <v>0</v>
      </c>
      <c r="R82" s="194">
        <f t="shared" si="34"/>
        <v>0</v>
      </c>
      <c r="S82" s="194">
        <v>33</v>
      </c>
      <c r="T82" s="194">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4">
        <f t="shared" si="40"/>
        <v>0</v>
      </c>
      <c r="AH82" s="194">
        <f t="shared" si="36"/>
        <v>0</v>
      </c>
      <c r="AI82" s="194">
        <f t="shared" si="36"/>
        <v>48</v>
      </c>
      <c r="AJ82" s="194">
        <f t="shared" si="36"/>
        <v>0</v>
      </c>
      <c r="AK82" s="194">
        <f t="shared" si="36"/>
        <v>0</v>
      </c>
      <c r="AL82" s="194">
        <f t="shared" si="36"/>
        <v>33</v>
      </c>
      <c r="AM82" s="194">
        <f t="shared" si="41"/>
        <v>30</v>
      </c>
      <c r="AN82" s="66">
        <f>SUM(AG82:AM82)</f>
        <v>111</v>
      </c>
    </row>
    <row r="83" spans="1:40" x14ac:dyDescent="0.25">
      <c r="A83"/>
      <c r="B83"/>
      <c r="M83" s="197"/>
    </row>
    <row r="84" spans="1:40" x14ac:dyDescent="0.25">
      <c r="A84"/>
      <c r="B84"/>
      <c r="M84" s="197"/>
    </row>
    <row r="85" spans="1:40" x14ac:dyDescent="0.25">
      <c r="A85"/>
      <c r="B85"/>
      <c r="M85" s="197"/>
    </row>
    <row r="86" spans="1:40" x14ac:dyDescent="0.25">
      <c r="A86"/>
      <c r="B86"/>
      <c r="M86" s="197"/>
    </row>
    <row r="87" spans="1:40" x14ac:dyDescent="0.25">
      <c r="A87"/>
      <c r="B87"/>
      <c r="M87" s="197"/>
    </row>
    <row r="88" spans="1:40" x14ac:dyDescent="0.25">
      <c r="A88"/>
      <c r="B88"/>
      <c r="M88" s="197"/>
    </row>
    <row r="89" spans="1:40" x14ac:dyDescent="0.25">
      <c r="A89"/>
      <c r="B89"/>
      <c r="M89" s="197"/>
    </row>
    <row r="90" spans="1:40" x14ac:dyDescent="0.25">
      <c r="A90"/>
      <c r="B90"/>
      <c r="M90" s="197"/>
    </row>
    <row r="91" spans="1:40" x14ac:dyDescent="0.25">
      <c r="A91"/>
      <c r="B91"/>
      <c r="M91" s="197"/>
    </row>
    <row r="92" spans="1:40" x14ac:dyDescent="0.25">
      <c r="A92"/>
      <c r="B92"/>
      <c r="M92" s="197"/>
    </row>
    <row r="93" spans="1:40" x14ac:dyDescent="0.25">
      <c r="A93"/>
      <c r="B93"/>
      <c r="M93" s="197"/>
    </row>
    <row r="94" spans="1:40" x14ac:dyDescent="0.25">
      <c r="A94"/>
      <c r="B94"/>
      <c r="M94" s="197"/>
    </row>
    <row r="95" spans="1:40" x14ac:dyDescent="0.25">
      <c r="A95"/>
      <c r="B95"/>
      <c r="M95" s="197"/>
    </row>
    <row r="96" spans="1:40" x14ac:dyDescent="0.25">
      <c r="A96"/>
      <c r="B96"/>
      <c r="R96" s="197"/>
    </row>
    <row r="97" spans="1:18" x14ac:dyDescent="0.25">
      <c r="A97"/>
      <c r="B97"/>
      <c r="R97" s="197"/>
    </row>
    <row r="98" spans="1:18" x14ac:dyDescent="0.25">
      <c r="A98"/>
      <c r="B98"/>
      <c r="R98" s="197"/>
    </row>
    <row r="99" spans="1:18" x14ac:dyDescent="0.25">
      <c r="A99"/>
      <c r="B99"/>
      <c r="R99" s="197"/>
    </row>
    <row r="100" spans="1:18" x14ac:dyDescent="0.25">
      <c r="A100"/>
      <c r="B100"/>
      <c r="R100" s="197"/>
    </row>
    <row r="101" spans="1:18" x14ac:dyDescent="0.25">
      <c r="A101"/>
      <c r="B101"/>
      <c r="R101" s="197"/>
    </row>
    <row r="102" spans="1:18" x14ac:dyDescent="0.25">
      <c r="A102"/>
      <c r="B102"/>
      <c r="R102" s="197"/>
    </row>
    <row r="103" spans="1:18" x14ac:dyDescent="0.25">
      <c r="A103"/>
      <c r="B103"/>
      <c r="R103" s="197"/>
    </row>
    <row r="104" spans="1:18" x14ac:dyDescent="0.25">
      <c r="A104"/>
      <c r="B104"/>
      <c r="R104" s="197"/>
    </row>
    <row r="105" spans="1:18" x14ac:dyDescent="0.25">
      <c r="A105"/>
      <c r="B105"/>
      <c r="R105" s="197"/>
    </row>
    <row r="106" spans="1:18" x14ac:dyDescent="0.25">
      <c r="A106"/>
      <c r="B106"/>
      <c r="R106" s="197"/>
    </row>
    <row r="107" spans="1:18" x14ac:dyDescent="0.25">
      <c r="A107"/>
      <c r="B107"/>
      <c r="R107" s="197"/>
    </row>
    <row r="108" spans="1:18" x14ac:dyDescent="0.25">
      <c r="A108"/>
      <c r="B108"/>
      <c r="R108" s="197"/>
    </row>
    <row r="109" spans="1:18" x14ac:dyDescent="0.25">
      <c r="A109"/>
      <c r="B109"/>
      <c r="R109" s="197"/>
    </row>
    <row r="110" spans="1:18" x14ac:dyDescent="0.25">
      <c r="A110"/>
      <c r="B110"/>
      <c r="R110" s="197"/>
    </row>
    <row r="111" spans="1:18" x14ac:dyDescent="0.25">
      <c r="A111"/>
      <c r="B111"/>
      <c r="R111" s="197"/>
    </row>
    <row r="112" spans="1:18" x14ac:dyDescent="0.25">
      <c r="A112"/>
      <c r="B112"/>
      <c r="R112" s="197"/>
    </row>
    <row r="113" spans="1:18" x14ac:dyDescent="0.25">
      <c r="A113"/>
      <c r="B113"/>
      <c r="R113" s="197"/>
    </row>
    <row r="114" spans="1:18" x14ac:dyDescent="0.25">
      <c r="A114"/>
      <c r="B114"/>
      <c r="R114" s="197"/>
    </row>
    <row r="115" spans="1:18" x14ac:dyDescent="0.25">
      <c r="A115"/>
      <c r="B115"/>
      <c r="R115" s="197"/>
    </row>
    <row r="116" spans="1:18" x14ac:dyDescent="0.25">
      <c r="A116"/>
      <c r="B116"/>
      <c r="R116" s="197"/>
    </row>
    <row r="117" spans="1:18" x14ac:dyDescent="0.25">
      <c r="A117"/>
      <c r="B117"/>
      <c r="R117" s="197"/>
    </row>
    <row r="118" spans="1:18" x14ac:dyDescent="0.25">
      <c r="A118"/>
      <c r="B118"/>
      <c r="R118" s="197"/>
    </row>
    <row r="119" spans="1:18" x14ac:dyDescent="0.25">
      <c r="A119"/>
      <c r="B119"/>
      <c r="R119" s="197"/>
    </row>
    <row r="120" spans="1:18" x14ac:dyDescent="0.25">
      <c r="A120"/>
      <c r="B120"/>
      <c r="R120" s="197"/>
    </row>
    <row r="121" spans="1:18" x14ac:dyDescent="0.25">
      <c r="A121"/>
      <c r="B121"/>
      <c r="R121" s="197"/>
    </row>
    <row r="122" spans="1:18" x14ac:dyDescent="0.25">
      <c r="A122"/>
      <c r="B122"/>
      <c r="R122" s="197"/>
    </row>
    <row r="123" spans="1:18" x14ac:dyDescent="0.25">
      <c r="A123"/>
      <c r="B123"/>
      <c r="R123" s="197"/>
    </row>
    <row r="124" spans="1:18" x14ac:dyDescent="0.25">
      <c r="A124"/>
      <c r="B124"/>
      <c r="R124" s="197"/>
    </row>
    <row r="125" spans="1:18" x14ac:dyDescent="0.25">
      <c r="A125"/>
      <c r="B125"/>
      <c r="R125" s="197"/>
    </row>
    <row r="126" spans="1:18" x14ac:dyDescent="0.25">
      <c r="A126"/>
      <c r="B126"/>
      <c r="R126" s="197"/>
    </row>
    <row r="127" spans="1:18" x14ac:dyDescent="0.25">
      <c r="A127"/>
      <c r="B127"/>
      <c r="R127" s="197"/>
    </row>
    <row r="128" spans="1:18" x14ac:dyDescent="0.25">
      <c r="A128"/>
      <c r="B128"/>
      <c r="R128" s="197"/>
    </row>
    <row r="129" spans="1:18" x14ac:dyDescent="0.25">
      <c r="A129"/>
      <c r="B129"/>
      <c r="R129" s="197"/>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L22" sqref="L22"/>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373</v>
      </c>
      <c r="AQ1" s="110"/>
    </row>
    <row r="2" spans="1:45" x14ac:dyDescent="0.25">
      <c r="B2" t="s">
        <v>374</v>
      </c>
      <c r="AQ2" s="110"/>
      <c r="AR2" s="52" t="s">
        <v>375</v>
      </c>
      <c r="AS2" s="52" t="s">
        <v>376</v>
      </c>
    </row>
    <row r="3" spans="1:45" x14ac:dyDescent="0.25">
      <c r="B3" t="s">
        <v>377</v>
      </c>
      <c r="AQ3" s="110"/>
      <c r="AR3">
        <f>AR18+AR33+AR52</f>
        <v>102.5</v>
      </c>
      <c r="AS3">
        <f>AR3/16</f>
        <v>6.40625</v>
      </c>
    </row>
    <row r="4" spans="1:45" x14ac:dyDescent="0.25">
      <c r="B4" t="s">
        <v>378</v>
      </c>
      <c r="AQ4" s="110"/>
    </row>
    <row r="5" spans="1:45" x14ac:dyDescent="0.25">
      <c r="B5" t="s">
        <v>379</v>
      </c>
      <c r="AQ5" s="110"/>
    </row>
    <row r="6" spans="1:45" x14ac:dyDescent="0.25">
      <c r="B6" t="s">
        <v>380</v>
      </c>
      <c r="AQ6" s="110"/>
    </row>
    <row r="7" spans="1:45" x14ac:dyDescent="0.25">
      <c r="B7" t="s">
        <v>381</v>
      </c>
      <c r="AQ7" s="110"/>
    </row>
    <row r="8" spans="1:45" x14ac:dyDescent="0.25">
      <c r="AQ8" s="110"/>
    </row>
    <row r="9" spans="1:45" x14ac:dyDescent="0.25">
      <c r="N9" s="197">
        <f>SUM(N11:N25)</f>
        <v>1964.2160000000001</v>
      </c>
      <c r="AH9" s="197">
        <f>SUM(AH11:AH25)</f>
        <v>25277.456000000002</v>
      </c>
      <c r="AQ9" s="110"/>
    </row>
    <row r="10" spans="1:45" x14ac:dyDescent="0.25">
      <c r="A10" s="10" t="s">
        <v>170</v>
      </c>
      <c r="B10" s="10" t="s">
        <v>2</v>
      </c>
      <c r="C10" s="10" t="s">
        <v>84</v>
      </c>
      <c r="D10" s="10" t="s">
        <v>171</v>
      </c>
      <c r="E10" s="10" t="s">
        <v>321</v>
      </c>
      <c r="F10" s="10" t="s">
        <v>322</v>
      </c>
      <c r="G10" s="10" t="s">
        <v>15</v>
      </c>
      <c r="H10" s="10" t="s">
        <v>16</v>
      </c>
      <c r="I10" s="10" t="s">
        <v>17</v>
      </c>
      <c r="J10" s="10" t="s">
        <v>18</v>
      </c>
      <c r="K10" s="10" t="s">
        <v>19</v>
      </c>
      <c r="L10" s="10" t="s">
        <v>20</v>
      </c>
      <c r="M10" s="10" t="s">
        <v>6</v>
      </c>
      <c r="N10" s="10" t="s">
        <v>68</v>
      </c>
      <c r="O10" s="10" t="s">
        <v>323</v>
      </c>
      <c r="P10" s="10" t="s">
        <v>324</v>
      </c>
      <c r="Q10" s="10" t="s">
        <v>325</v>
      </c>
      <c r="R10" s="10" t="s">
        <v>326</v>
      </c>
      <c r="S10" s="10" t="s">
        <v>327</v>
      </c>
      <c r="T10" s="10" t="s">
        <v>328</v>
      </c>
      <c r="U10" s="10" t="s">
        <v>329</v>
      </c>
      <c r="V10" s="10" t="s">
        <v>330</v>
      </c>
      <c r="X10" s="10" t="s">
        <v>170</v>
      </c>
      <c r="Y10" s="10" t="s">
        <v>321</v>
      </c>
      <c r="Z10" s="10" t="s">
        <v>322</v>
      </c>
      <c r="AA10" s="10" t="s">
        <v>15</v>
      </c>
      <c r="AB10" s="10" t="s">
        <v>16</v>
      </c>
      <c r="AC10" s="10" t="s">
        <v>17</v>
      </c>
      <c r="AD10" s="10" t="s">
        <v>18</v>
      </c>
      <c r="AE10" s="10" t="s">
        <v>19</v>
      </c>
      <c r="AF10" s="10" t="s">
        <v>20</v>
      </c>
      <c r="AG10" s="10" t="s">
        <v>6</v>
      </c>
      <c r="AH10" s="10" t="s">
        <v>68</v>
      </c>
      <c r="AI10" s="10" t="s">
        <v>323</v>
      </c>
      <c r="AJ10" s="10" t="s">
        <v>324</v>
      </c>
      <c r="AK10" s="10" t="s">
        <v>325</v>
      </c>
      <c r="AL10" s="10" t="s">
        <v>326</v>
      </c>
      <c r="AM10" s="10" t="s">
        <v>327</v>
      </c>
      <c r="AN10" s="10" t="s">
        <v>328</v>
      </c>
      <c r="AO10" s="10" t="s">
        <v>329</v>
      </c>
      <c r="AP10" s="10" t="s">
        <v>330</v>
      </c>
      <c r="AQ10" s="110"/>
    </row>
    <row r="11" spans="1:45" x14ac:dyDescent="0.25">
      <c r="A11" t="s">
        <v>29</v>
      </c>
      <c r="B11" s="15" t="s">
        <v>28</v>
      </c>
      <c r="C11" s="18"/>
      <c r="D11" s="18"/>
      <c r="E11" s="18"/>
      <c r="F11" s="18"/>
      <c r="G11" s="218">
        <v>2</v>
      </c>
      <c r="H11" s="131">
        <v>2</v>
      </c>
      <c r="I11" s="218">
        <v>0</v>
      </c>
      <c r="J11" s="131">
        <v>0</v>
      </c>
      <c r="K11" s="218">
        <v>0</v>
      </c>
      <c r="L11" s="131">
        <v>0</v>
      </c>
      <c r="M11" s="218">
        <v>2</v>
      </c>
      <c r="N11" s="47"/>
      <c r="O11" s="217">
        <v>0</v>
      </c>
      <c r="P11" s="217">
        <v>0</v>
      </c>
      <c r="Q11" s="217">
        <v>0</v>
      </c>
      <c r="R11" s="196">
        <v>0</v>
      </c>
      <c r="S11" s="196">
        <v>0</v>
      </c>
      <c r="T11" s="196">
        <v>0</v>
      </c>
      <c r="U11" s="196">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7">
        <f>O11</f>
        <v>0</v>
      </c>
      <c r="AJ11" s="217">
        <f t="shared" ref="AJ11:AO26" si="1">P11</f>
        <v>0</v>
      </c>
      <c r="AK11" s="217">
        <f t="shared" si="1"/>
        <v>0</v>
      </c>
      <c r="AL11" s="217">
        <f t="shared" si="1"/>
        <v>0</v>
      </c>
      <c r="AM11" s="217">
        <f t="shared" si="1"/>
        <v>0</v>
      </c>
      <c r="AN11" s="217">
        <f t="shared" si="1"/>
        <v>0</v>
      </c>
      <c r="AO11" s="217">
        <f t="shared" si="1"/>
        <v>0</v>
      </c>
      <c r="AP11" s="66">
        <f>SUM(AI11:AO11)</f>
        <v>0</v>
      </c>
      <c r="AQ11" s="110"/>
    </row>
    <row r="12" spans="1:45" x14ac:dyDescent="0.25">
      <c r="A12" t="s">
        <v>32</v>
      </c>
      <c r="B12" s="15" t="s">
        <v>30</v>
      </c>
      <c r="C12" s="3" t="s">
        <v>70</v>
      </c>
      <c r="D12" s="3" t="s">
        <v>382</v>
      </c>
      <c r="E12" s="3">
        <v>17</v>
      </c>
      <c r="F12" s="3">
        <v>50</v>
      </c>
      <c r="G12" s="218">
        <v>0</v>
      </c>
      <c r="H12" s="131">
        <v>6</v>
      </c>
      <c r="I12" s="218">
        <v>5</v>
      </c>
      <c r="J12" s="131">
        <v>6</v>
      </c>
      <c r="K12" s="218">
        <v>5</v>
      </c>
      <c r="L12" s="131">
        <v>4</v>
      </c>
      <c r="M12" s="218">
        <v>0</v>
      </c>
      <c r="N12" s="47">
        <v>370</v>
      </c>
      <c r="O12" s="217">
        <v>0</v>
      </c>
      <c r="P12" s="217">
        <v>14</v>
      </c>
      <c r="Q12" s="217">
        <v>9</v>
      </c>
      <c r="R12" s="196">
        <v>3.5</v>
      </c>
      <c r="S12" s="196">
        <v>7</v>
      </c>
      <c r="T12" s="196">
        <v>5</v>
      </c>
      <c r="U12" s="196">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7">
        <f t="shared" ref="AI12:AI26" si="4">O12</f>
        <v>0</v>
      </c>
      <c r="AJ12" s="217">
        <f t="shared" si="1"/>
        <v>14</v>
      </c>
      <c r="AK12" s="217">
        <f t="shared" si="1"/>
        <v>9</v>
      </c>
      <c r="AL12" s="217">
        <f>R12+AR17</f>
        <v>35</v>
      </c>
      <c r="AM12" s="217">
        <f t="shared" si="1"/>
        <v>7</v>
      </c>
      <c r="AN12" s="217">
        <f>T12+AR16</f>
        <v>21</v>
      </c>
      <c r="AO12" s="217">
        <f t="shared" si="1"/>
        <v>0</v>
      </c>
      <c r="AP12" s="66">
        <f>SUM(AI12:AO12)</f>
        <v>86</v>
      </c>
      <c r="AQ12" s="110"/>
    </row>
    <row r="13" spans="1:45" x14ac:dyDescent="0.25">
      <c r="A13" t="s">
        <v>33</v>
      </c>
      <c r="B13" s="15" t="s">
        <v>30</v>
      </c>
      <c r="C13" s="3"/>
      <c r="D13" s="3"/>
      <c r="E13" s="3"/>
      <c r="F13" s="3"/>
      <c r="G13" s="218">
        <v>0</v>
      </c>
      <c r="H13" s="131">
        <v>2</v>
      </c>
      <c r="I13" s="218">
        <v>2</v>
      </c>
      <c r="J13" s="131">
        <v>2</v>
      </c>
      <c r="K13" s="218">
        <v>2</v>
      </c>
      <c r="L13" s="131">
        <v>2</v>
      </c>
      <c r="M13" s="218">
        <v>2</v>
      </c>
      <c r="N13" s="47"/>
      <c r="O13" s="217">
        <v>0</v>
      </c>
      <c r="P13" s="217">
        <v>0</v>
      </c>
      <c r="Q13" s="217">
        <v>0</v>
      </c>
      <c r="R13" s="196">
        <v>0</v>
      </c>
      <c r="S13" s="196">
        <v>0</v>
      </c>
      <c r="T13" s="196">
        <v>0</v>
      </c>
      <c r="U13" s="196">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7">
        <f t="shared" si="4"/>
        <v>0</v>
      </c>
      <c r="AJ13" s="217">
        <f t="shared" si="1"/>
        <v>0</v>
      </c>
      <c r="AK13" s="217">
        <f t="shared" si="1"/>
        <v>0</v>
      </c>
      <c r="AL13" s="217">
        <f t="shared" si="1"/>
        <v>0</v>
      </c>
      <c r="AM13" s="217">
        <f t="shared" si="1"/>
        <v>0</v>
      </c>
      <c r="AN13" s="217">
        <f t="shared" si="1"/>
        <v>0</v>
      </c>
      <c r="AO13" s="217">
        <f t="shared" si="1"/>
        <v>0</v>
      </c>
      <c r="AP13" s="66">
        <f>SUM(AI13:AO13)</f>
        <v>0</v>
      </c>
      <c r="AQ13" s="110"/>
    </row>
    <row r="14" spans="1:45" x14ac:dyDescent="0.25">
      <c r="A14" t="s">
        <v>39</v>
      </c>
      <c r="B14" s="15" t="s">
        <v>30</v>
      </c>
      <c r="C14" s="3"/>
      <c r="D14" s="3"/>
      <c r="E14" s="3"/>
      <c r="F14" s="3"/>
      <c r="G14" s="218">
        <v>0</v>
      </c>
      <c r="H14" s="131">
        <v>2</v>
      </c>
      <c r="I14" s="218">
        <v>2</v>
      </c>
      <c r="J14" s="131">
        <v>2</v>
      </c>
      <c r="K14" s="218">
        <v>2</v>
      </c>
      <c r="L14" s="131">
        <v>2</v>
      </c>
      <c r="M14" s="218">
        <v>2</v>
      </c>
      <c r="N14" s="47"/>
      <c r="O14" s="217">
        <v>0</v>
      </c>
      <c r="P14" s="217">
        <v>0</v>
      </c>
      <c r="Q14" s="217">
        <v>0</v>
      </c>
      <c r="R14" s="196">
        <v>0</v>
      </c>
      <c r="S14" s="196">
        <v>0</v>
      </c>
      <c r="T14" s="196">
        <v>0</v>
      </c>
      <c r="U14" s="196">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7">
        <f t="shared" si="4"/>
        <v>0</v>
      </c>
      <c r="AJ14" s="217">
        <f t="shared" si="1"/>
        <v>0</v>
      </c>
      <c r="AK14" s="217">
        <f t="shared" si="1"/>
        <v>0</v>
      </c>
      <c r="AL14" s="217">
        <f t="shared" si="1"/>
        <v>0</v>
      </c>
      <c r="AM14" s="217">
        <f t="shared" si="1"/>
        <v>0</v>
      </c>
      <c r="AN14" s="217">
        <f t="shared" si="1"/>
        <v>0</v>
      </c>
      <c r="AO14" s="217">
        <f t="shared" si="1"/>
        <v>0</v>
      </c>
      <c r="AP14" s="66">
        <f>SUM(AI14:AO14)</f>
        <v>0</v>
      </c>
      <c r="AQ14" s="110"/>
    </row>
    <row r="15" spans="1:45" x14ac:dyDescent="0.25">
      <c r="A15" t="s">
        <v>41</v>
      </c>
      <c r="B15" s="15" t="s">
        <v>30</v>
      </c>
      <c r="C15" s="3"/>
      <c r="D15" s="3"/>
      <c r="E15" s="3"/>
      <c r="F15" s="3"/>
      <c r="G15" s="218">
        <v>0</v>
      </c>
      <c r="H15" s="131">
        <v>2</v>
      </c>
      <c r="I15" s="218">
        <v>2</v>
      </c>
      <c r="J15" s="131">
        <v>2</v>
      </c>
      <c r="K15" s="218">
        <v>2</v>
      </c>
      <c r="L15" s="131">
        <v>2</v>
      </c>
      <c r="M15" s="218">
        <v>2</v>
      </c>
      <c r="N15" s="47"/>
      <c r="O15" s="217">
        <v>0</v>
      </c>
      <c r="P15" s="217">
        <v>0</v>
      </c>
      <c r="Q15" s="217">
        <v>0</v>
      </c>
      <c r="R15" s="196">
        <v>0</v>
      </c>
      <c r="S15" s="196">
        <v>0</v>
      </c>
      <c r="T15" s="196">
        <v>0</v>
      </c>
      <c r="U15" s="196">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7">
        <f t="shared" si="4"/>
        <v>0</v>
      </c>
      <c r="AJ15" s="217">
        <f t="shared" si="1"/>
        <v>0</v>
      </c>
      <c r="AK15" s="217">
        <f t="shared" si="1"/>
        <v>0</v>
      </c>
      <c r="AL15" s="217">
        <f t="shared" si="1"/>
        <v>0</v>
      </c>
      <c r="AM15" s="217">
        <f t="shared" si="1"/>
        <v>0</v>
      </c>
      <c r="AN15" s="217">
        <f t="shared" si="1"/>
        <v>0</v>
      </c>
      <c r="AO15" s="217">
        <f t="shared" si="1"/>
        <v>0</v>
      </c>
      <c r="AP15" s="66">
        <f t="shared" ref="AP15:AP21" si="5">SUM(AI15:AO15)</f>
        <v>0</v>
      </c>
      <c r="AQ15" s="110"/>
      <c r="AR15" s="52" t="s">
        <v>375</v>
      </c>
      <c r="AS15" s="52" t="s">
        <v>376</v>
      </c>
    </row>
    <row r="16" spans="1:45" x14ac:dyDescent="0.25">
      <c r="A16" t="s">
        <v>38</v>
      </c>
      <c r="B16" s="15" t="s">
        <v>30</v>
      </c>
      <c r="C16" s="3"/>
      <c r="D16" s="3"/>
      <c r="E16" s="3"/>
      <c r="F16" s="3"/>
      <c r="G16" s="218">
        <v>0</v>
      </c>
      <c r="H16" s="131">
        <v>2</v>
      </c>
      <c r="I16" s="218">
        <v>2</v>
      </c>
      <c r="J16" s="131">
        <v>2</v>
      </c>
      <c r="K16" s="218">
        <v>2</v>
      </c>
      <c r="L16" s="131">
        <v>2</v>
      </c>
      <c r="M16" s="218">
        <v>2</v>
      </c>
      <c r="N16" s="47"/>
      <c r="O16" s="217">
        <v>0</v>
      </c>
      <c r="P16" s="217">
        <v>0</v>
      </c>
      <c r="Q16" s="217">
        <v>0</v>
      </c>
      <c r="R16" s="196">
        <v>0</v>
      </c>
      <c r="S16" s="196">
        <v>0</v>
      </c>
      <c r="T16" s="196">
        <v>0</v>
      </c>
      <c r="U16" s="196">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7">
        <f t="shared" si="4"/>
        <v>0</v>
      </c>
      <c r="AJ16" s="217">
        <f t="shared" si="1"/>
        <v>0</v>
      </c>
      <c r="AK16" s="217">
        <f t="shared" si="1"/>
        <v>0</v>
      </c>
      <c r="AL16" s="217">
        <f t="shared" si="1"/>
        <v>0</v>
      </c>
      <c r="AM16" s="217">
        <f t="shared" si="1"/>
        <v>0</v>
      </c>
      <c r="AN16" s="217">
        <f t="shared" si="1"/>
        <v>0</v>
      </c>
      <c r="AO16" s="217">
        <f t="shared" si="1"/>
        <v>0</v>
      </c>
      <c r="AP16" s="66">
        <f t="shared" si="5"/>
        <v>0</v>
      </c>
      <c r="AQ16" s="219" t="s">
        <v>90</v>
      </c>
      <c r="AR16">
        <v>16</v>
      </c>
      <c r="AS16" s="37">
        <f>AR16/16</f>
        <v>1</v>
      </c>
    </row>
    <row r="17" spans="1:45" x14ac:dyDescent="0.25">
      <c r="A17" t="s">
        <v>35</v>
      </c>
      <c r="B17" s="15" t="s">
        <v>30</v>
      </c>
      <c r="C17" s="3"/>
      <c r="D17" s="3"/>
      <c r="E17" s="3"/>
      <c r="F17" s="3"/>
      <c r="G17" s="218">
        <v>0</v>
      </c>
      <c r="H17" s="131">
        <v>2</v>
      </c>
      <c r="I17" s="218">
        <v>2</v>
      </c>
      <c r="J17" s="131">
        <v>2</v>
      </c>
      <c r="K17" s="218">
        <v>2</v>
      </c>
      <c r="L17" s="131">
        <v>2</v>
      </c>
      <c r="M17" s="218">
        <v>2</v>
      </c>
      <c r="N17" s="47"/>
      <c r="O17" s="217">
        <v>0</v>
      </c>
      <c r="P17" s="217">
        <v>0</v>
      </c>
      <c r="Q17" s="217">
        <v>0</v>
      </c>
      <c r="R17" s="196">
        <v>0</v>
      </c>
      <c r="S17" s="196">
        <v>0</v>
      </c>
      <c r="T17" s="196">
        <v>0</v>
      </c>
      <c r="U17" s="196">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7">
        <f t="shared" si="4"/>
        <v>0</v>
      </c>
      <c r="AJ17" s="217">
        <f t="shared" si="1"/>
        <v>0</v>
      </c>
      <c r="AK17" s="217">
        <f t="shared" si="1"/>
        <v>0</v>
      </c>
      <c r="AL17" s="217">
        <f t="shared" si="1"/>
        <v>0</v>
      </c>
      <c r="AM17" s="217">
        <f t="shared" si="1"/>
        <v>0</v>
      </c>
      <c r="AN17" s="217">
        <f t="shared" si="1"/>
        <v>0</v>
      </c>
      <c r="AO17" s="217">
        <f t="shared" si="1"/>
        <v>0</v>
      </c>
      <c r="AP17" s="66">
        <f t="shared" si="5"/>
        <v>0</v>
      </c>
      <c r="AQ17" s="219" t="s">
        <v>194</v>
      </c>
      <c r="AR17">
        <v>31.5</v>
      </c>
      <c r="AS17" s="37">
        <f>AR17/16</f>
        <v>1.96875</v>
      </c>
    </row>
    <row r="18" spans="1:45" x14ac:dyDescent="0.25">
      <c r="A18" t="s">
        <v>31</v>
      </c>
      <c r="B18" s="15" t="s">
        <v>30</v>
      </c>
      <c r="C18" s="3"/>
      <c r="D18" s="3"/>
      <c r="E18" s="3"/>
      <c r="F18" s="3"/>
      <c r="G18" s="218">
        <v>0</v>
      </c>
      <c r="H18" s="131">
        <v>2</v>
      </c>
      <c r="I18" s="218">
        <v>2</v>
      </c>
      <c r="J18" s="131">
        <v>2</v>
      </c>
      <c r="K18" s="218">
        <v>2</v>
      </c>
      <c r="L18" s="131">
        <v>2</v>
      </c>
      <c r="M18" s="218">
        <v>2</v>
      </c>
      <c r="N18" s="47"/>
      <c r="O18" s="217">
        <v>0</v>
      </c>
      <c r="P18" s="217">
        <v>0</v>
      </c>
      <c r="Q18" s="217">
        <v>0</v>
      </c>
      <c r="R18" s="196">
        <v>0</v>
      </c>
      <c r="S18" s="196">
        <v>0</v>
      </c>
      <c r="T18" s="196">
        <v>0</v>
      </c>
      <c r="U18" s="196">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7">
        <f t="shared" si="4"/>
        <v>0</v>
      </c>
      <c r="AJ18" s="217">
        <f t="shared" si="1"/>
        <v>0</v>
      </c>
      <c r="AK18" s="217">
        <f t="shared" si="1"/>
        <v>0</v>
      </c>
      <c r="AL18" s="217">
        <f t="shared" si="1"/>
        <v>0</v>
      </c>
      <c r="AM18" s="217">
        <f t="shared" si="1"/>
        <v>0</v>
      </c>
      <c r="AN18" s="217">
        <f t="shared" si="1"/>
        <v>0</v>
      </c>
      <c r="AO18" s="217">
        <f t="shared" si="1"/>
        <v>0</v>
      </c>
      <c r="AP18" s="66">
        <f t="shared" si="5"/>
        <v>0</v>
      </c>
      <c r="AQ18" s="110"/>
      <c r="AR18" s="52">
        <f>AR17+AR16</f>
        <v>47.5</v>
      </c>
      <c r="AS18" s="52">
        <f>AS17+AS16</f>
        <v>2.96875</v>
      </c>
    </row>
    <row r="19" spans="1:45" x14ac:dyDescent="0.25">
      <c r="A19" t="s">
        <v>43</v>
      </c>
      <c r="B19" s="15" t="s">
        <v>383</v>
      </c>
      <c r="C19" s="3"/>
      <c r="D19" s="3"/>
      <c r="E19" s="3"/>
      <c r="F19" s="3"/>
      <c r="G19" s="218">
        <v>0</v>
      </c>
      <c r="H19" s="131">
        <v>2</v>
      </c>
      <c r="I19" s="218">
        <v>2</v>
      </c>
      <c r="J19" s="131">
        <v>2</v>
      </c>
      <c r="K19" s="218">
        <v>2</v>
      </c>
      <c r="L19" s="131">
        <v>2</v>
      </c>
      <c r="M19" s="218">
        <v>2</v>
      </c>
      <c r="N19" s="47"/>
      <c r="O19" s="217">
        <v>0</v>
      </c>
      <c r="P19" s="217">
        <v>0</v>
      </c>
      <c r="Q19" s="217">
        <v>0</v>
      </c>
      <c r="R19" s="196">
        <v>0</v>
      </c>
      <c r="S19" s="196">
        <v>0</v>
      </c>
      <c r="T19" s="196">
        <v>0</v>
      </c>
      <c r="U19" s="196">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7">
        <f t="shared" si="4"/>
        <v>0</v>
      </c>
      <c r="AJ19" s="217">
        <f t="shared" si="1"/>
        <v>0</v>
      </c>
      <c r="AK19" s="217">
        <f t="shared" si="1"/>
        <v>0</v>
      </c>
      <c r="AL19" s="217">
        <f t="shared" si="1"/>
        <v>0</v>
      </c>
      <c r="AM19" s="217">
        <f t="shared" si="1"/>
        <v>0</v>
      </c>
      <c r="AN19" s="217">
        <f t="shared" si="1"/>
        <v>0</v>
      </c>
      <c r="AO19" s="217">
        <f t="shared" si="1"/>
        <v>0</v>
      </c>
      <c r="AP19" s="66">
        <f t="shared" si="5"/>
        <v>0</v>
      </c>
      <c r="AQ19" s="110"/>
    </row>
    <row r="20" spans="1:45" x14ac:dyDescent="0.25">
      <c r="A20" t="s">
        <v>43</v>
      </c>
      <c r="B20" s="15" t="s">
        <v>383</v>
      </c>
      <c r="C20" s="3"/>
      <c r="D20" s="3"/>
      <c r="E20" s="3"/>
      <c r="F20" s="3"/>
      <c r="G20" s="218">
        <v>0</v>
      </c>
      <c r="H20" s="131">
        <v>2</v>
      </c>
      <c r="I20" s="218">
        <v>2</v>
      </c>
      <c r="J20" s="131">
        <v>2</v>
      </c>
      <c r="K20" s="218">
        <v>2</v>
      </c>
      <c r="L20" s="131">
        <v>2</v>
      </c>
      <c r="M20" s="218">
        <v>2</v>
      </c>
      <c r="N20" s="47"/>
      <c r="O20" s="217">
        <v>0</v>
      </c>
      <c r="P20" s="217">
        <v>0</v>
      </c>
      <c r="Q20" s="217">
        <v>0</v>
      </c>
      <c r="R20" s="196">
        <v>0</v>
      </c>
      <c r="S20" s="196">
        <v>0</v>
      </c>
      <c r="T20" s="196">
        <v>0</v>
      </c>
      <c r="U20" s="196">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7">
        <f t="shared" si="4"/>
        <v>0</v>
      </c>
      <c r="AJ20" s="217">
        <f t="shared" si="1"/>
        <v>0</v>
      </c>
      <c r="AK20" s="217">
        <f t="shared" si="1"/>
        <v>0</v>
      </c>
      <c r="AL20" s="217">
        <f t="shared" si="1"/>
        <v>0</v>
      </c>
      <c r="AM20" s="217">
        <f t="shared" si="1"/>
        <v>0</v>
      </c>
      <c r="AN20" s="217">
        <f t="shared" si="1"/>
        <v>0</v>
      </c>
      <c r="AO20" s="217">
        <f t="shared" si="1"/>
        <v>0</v>
      </c>
      <c r="AP20" s="66">
        <f t="shared" si="5"/>
        <v>0</v>
      </c>
      <c r="AQ20" s="110"/>
    </row>
    <row r="21" spans="1:45" x14ac:dyDescent="0.25">
      <c r="A21" t="s">
        <v>36</v>
      </c>
      <c r="B21" s="15" t="s">
        <v>71</v>
      </c>
      <c r="C21" s="3" t="s">
        <v>45</v>
      </c>
      <c r="D21" s="3" t="s">
        <v>331</v>
      </c>
      <c r="E21" s="3">
        <v>17</v>
      </c>
      <c r="F21" s="3">
        <v>37</v>
      </c>
      <c r="G21" s="218">
        <v>0</v>
      </c>
      <c r="H21" s="131">
        <v>2</v>
      </c>
      <c r="I21" s="218">
        <v>5.7</v>
      </c>
      <c r="J21" s="131">
        <v>5.5</v>
      </c>
      <c r="K21" s="218">
        <v>5.25</v>
      </c>
      <c r="L21" s="131">
        <v>3</v>
      </c>
      <c r="M21" s="218">
        <v>5</v>
      </c>
      <c r="N21" s="47">
        <f>(310+135+140)*1.016</f>
        <v>594.36</v>
      </c>
      <c r="O21" s="217">
        <v>0</v>
      </c>
      <c r="P21" s="217">
        <v>0</v>
      </c>
      <c r="Q21" s="217">
        <v>13</v>
      </c>
      <c r="R21" s="196">
        <v>10.5</v>
      </c>
      <c r="S21" s="196">
        <v>8</v>
      </c>
      <c r="T21" s="196">
        <v>2</v>
      </c>
      <c r="U21" s="196">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7">
        <f t="shared" si="4"/>
        <v>0</v>
      </c>
      <c r="AJ21" s="217">
        <f t="shared" si="1"/>
        <v>0</v>
      </c>
      <c r="AK21" s="217">
        <f t="shared" si="1"/>
        <v>13</v>
      </c>
      <c r="AL21" s="217">
        <f>R21+AR17</f>
        <v>42</v>
      </c>
      <c r="AM21" s="217">
        <f t="shared" si="1"/>
        <v>8</v>
      </c>
      <c r="AN21" s="217">
        <f>T21+AR16</f>
        <v>18</v>
      </c>
      <c r="AO21" s="217">
        <f t="shared" si="1"/>
        <v>3</v>
      </c>
      <c r="AP21" s="66">
        <f t="shared" si="5"/>
        <v>84</v>
      </c>
      <c r="AQ21" s="110"/>
    </row>
    <row r="22" spans="1:45" x14ac:dyDescent="0.25">
      <c r="A22" t="s">
        <v>40</v>
      </c>
      <c r="B22" s="15" t="s">
        <v>71</v>
      </c>
      <c r="C22" s="3" t="s">
        <v>296</v>
      </c>
      <c r="D22" s="3" t="s">
        <v>332</v>
      </c>
      <c r="E22" s="3">
        <v>17</v>
      </c>
      <c r="F22" s="3">
        <v>41</v>
      </c>
      <c r="G22" s="218">
        <v>0</v>
      </c>
      <c r="H22" s="131">
        <v>6</v>
      </c>
      <c r="I22" s="218">
        <v>3</v>
      </c>
      <c r="J22" s="131">
        <v>3</v>
      </c>
      <c r="K22" s="218">
        <v>5.2</v>
      </c>
      <c r="L22" s="131">
        <v>2</v>
      </c>
      <c r="M22" s="218">
        <v>3</v>
      </c>
      <c r="N22" s="47">
        <f>(330+138)*1.012</f>
        <v>473.61599999999999</v>
      </c>
      <c r="O22" s="217">
        <v>0</v>
      </c>
      <c r="P22" s="217">
        <v>14</v>
      </c>
      <c r="Q22" s="217">
        <v>3</v>
      </c>
      <c r="R22" s="196">
        <v>1.5</v>
      </c>
      <c r="S22" s="196">
        <v>8</v>
      </c>
      <c r="T22" s="196">
        <v>0</v>
      </c>
      <c r="U22" s="196">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7">
        <f t="shared" si="4"/>
        <v>0</v>
      </c>
      <c r="AJ22" s="217">
        <f t="shared" si="1"/>
        <v>14</v>
      </c>
      <c r="AK22" s="217">
        <f t="shared" si="1"/>
        <v>3</v>
      </c>
      <c r="AL22" s="217">
        <f>R22+AR17</f>
        <v>33</v>
      </c>
      <c r="AM22" s="217">
        <f t="shared" si="1"/>
        <v>8</v>
      </c>
      <c r="AN22" s="217">
        <f>T22+AR16</f>
        <v>16</v>
      </c>
      <c r="AO22" s="217">
        <f t="shared" si="1"/>
        <v>1</v>
      </c>
      <c r="AP22" s="66">
        <f>SUM(AI22:AO22)</f>
        <v>75</v>
      </c>
      <c r="AQ22" s="110"/>
    </row>
    <row r="23" spans="1:45" x14ac:dyDescent="0.25">
      <c r="A23" t="s">
        <v>34</v>
      </c>
      <c r="B23" s="15" t="s">
        <v>71</v>
      </c>
      <c r="C23" s="3" t="s">
        <v>296</v>
      </c>
      <c r="D23" s="3" t="s">
        <v>333</v>
      </c>
      <c r="E23" s="3">
        <v>17</v>
      </c>
      <c r="F23" s="3">
        <v>37</v>
      </c>
      <c r="G23" s="218">
        <v>0</v>
      </c>
      <c r="H23" s="131">
        <v>3</v>
      </c>
      <c r="I23" s="218">
        <v>5</v>
      </c>
      <c r="J23" s="131">
        <v>4</v>
      </c>
      <c r="K23" s="218">
        <v>4</v>
      </c>
      <c r="L23" s="131">
        <v>3</v>
      </c>
      <c r="M23" s="218">
        <v>3</v>
      </c>
      <c r="N23" s="47">
        <f>(270+125+125)*1.012</f>
        <v>526.24</v>
      </c>
      <c r="O23" s="217">
        <v>0</v>
      </c>
      <c r="P23" s="217">
        <v>3</v>
      </c>
      <c r="Q23" s="217">
        <v>9</v>
      </c>
      <c r="R23" s="196">
        <v>3.5</v>
      </c>
      <c r="S23" s="196">
        <v>4</v>
      </c>
      <c r="T23" s="196">
        <v>2</v>
      </c>
      <c r="U23" s="196">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7">
        <f t="shared" si="4"/>
        <v>0</v>
      </c>
      <c r="AJ23" s="217">
        <f t="shared" si="1"/>
        <v>3</v>
      </c>
      <c r="AK23" s="217">
        <f t="shared" si="1"/>
        <v>9</v>
      </c>
      <c r="AL23" s="217">
        <f>R23+AR17</f>
        <v>35</v>
      </c>
      <c r="AM23" s="217">
        <f t="shared" si="1"/>
        <v>4</v>
      </c>
      <c r="AN23" s="217">
        <f>T23+AR16</f>
        <v>18</v>
      </c>
      <c r="AO23" s="217">
        <f t="shared" si="1"/>
        <v>1</v>
      </c>
      <c r="AP23" s="66">
        <f>SUM(AI23:AO23)</f>
        <v>70</v>
      </c>
      <c r="AQ23" s="110"/>
    </row>
    <row r="24" spans="1:45" x14ac:dyDescent="0.25">
      <c r="A24" t="s">
        <v>42</v>
      </c>
      <c r="B24" s="15" t="s">
        <v>44</v>
      </c>
      <c r="C24" s="3"/>
      <c r="D24" s="3"/>
      <c r="E24" s="3"/>
      <c r="F24" s="3"/>
      <c r="G24" s="218">
        <v>0</v>
      </c>
      <c r="H24" s="131">
        <v>2</v>
      </c>
      <c r="I24" s="218">
        <v>2</v>
      </c>
      <c r="J24" s="131">
        <v>2</v>
      </c>
      <c r="K24" s="218">
        <v>2</v>
      </c>
      <c r="L24" s="131">
        <v>2</v>
      </c>
      <c r="M24" s="218">
        <v>2</v>
      </c>
      <c r="N24" s="47"/>
      <c r="O24" s="217">
        <v>0</v>
      </c>
      <c r="P24" s="217">
        <v>0</v>
      </c>
      <c r="Q24" s="217">
        <v>0</v>
      </c>
      <c r="R24" s="196">
        <v>0</v>
      </c>
      <c r="S24" s="196">
        <v>0</v>
      </c>
      <c r="T24" s="196">
        <v>0</v>
      </c>
      <c r="U24" s="196">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7">
        <f t="shared" si="4"/>
        <v>0</v>
      </c>
      <c r="AJ24" s="217">
        <f t="shared" si="1"/>
        <v>0</v>
      </c>
      <c r="AK24" s="217">
        <f t="shared" si="1"/>
        <v>0</v>
      </c>
      <c r="AL24" s="217">
        <f t="shared" si="1"/>
        <v>0</v>
      </c>
      <c r="AM24" s="217">
        <f t="shared" si="1"/>
        <v>0</v>
      </c>
      <c r="AN24" s="217">
        <f t="shared" si="1"/>
        <v>0</v>
      </c>
      <c r="AO24" s="217">
        <f t="shared" si="1"/>
        <v>0</v>
      </c>
      <c r="AP24" s="66">
        <f>SUM(AI24:AO24)</f>
        <v>0</v>
      </c>
      <c r="AQ24" s="110"/>
    </row>
    <row r="25" spans="1:45" x14ac:dyDescent="0.25">
      <c r="A25" t="s">
        <v>46</v>
      </c>
      <c r="B25" s="15" t="s">
        <v>44</v>
      </c>
      <c r="C25" s="3"/>
      <c r="D25" s="3"/>
      <c r="E25" s="3"/>
      <c r="F25" s="3"/>
      <c r="G25" s="218">
        <v>0</v>
      </c>
      <c r="H25" s="131">
        <v>2</v>
      </c>
      <c r="I25" s="218">
        <v>2</v>
      </c>
      <c r="J25" s="131">
        <v>2</v>
      </c>
      <c r="K25" s="218">
        <v>2</v>
      </c>
      <c r="L25" s="131">
        <v>2</v>
      </c>
      <c r="M25" s="218">
        <v>2</v>
      </c>
      <c r="N25" s="47"/>
      <c r="O25" s="217">
        <v>0</v>
      </c>
      <c r="P25" s="217">
        <v>0</v>
      </c>
      <c r="Q25" s="217">
        <v>0</v>
      </c>
      <c r="R25" s="196">
        <v>0</v>
      </c>
      <c r="S25" s="196">
        <v>0</v>
      </c>
      <c r="T25" s="196">
        <v>0</v>
      </c>
      <c r="U25" s="196">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7">
        <f t="shared" si="4"/>
        <v>0</v>
      </c>
      <c r="AJ25" s="217">
        <f t="shared" si="1"/>
        <v>0</v>
      </c>
      <c r="AK25" s="217">
        <f t="shared" si="1"/>
        <v>0</v>
      </c>
      <c r="AL25" s="217">
        <f t="shared" si="1"/>
        <v>0</v>
      </c>
      <c r="AM25" s="217">
        <f t="shared" si="1"/>
        <v>0</v>
      </c>
      <c r="AN25" s="217">
        <f t="shared" si="1"/>
        <v>0</v>
      </c>
      <c r="AO25" s="217">
        <f t="shared" si="1"/>
        <v>0</v>
      </c>
      <c r="AP25" s="66">
        <f>SUM(AI25:AO25)</f>
        <v>0</v>
      </c>
      <c r="AQ25" s="110"/>
    </row>
    <row r="26" spans="1:45" x14ac:dyDescent="0.25">
      <c r="A26" t="s">
        <v>334</v>
      </c>
      <c r="B26" s="15" t="s">
        <v>44</v>
      </c>
      <c r="C26" s="3"/>
      <c r="D26" s="3"/>
      <c r="E26" s="3"/>
      <c r="F26" s="3"/>
      <c r="G26" s="218">
        <v>0</v>
      </c>
      <c r="H26" s="131">
        <v>2</v>
      </c>
      <c r="I26" s="218">
        <v>2</v>
      </c>
      <c r="J26" s="131">
        <v>2</v>
      </c>
      <c r="K26" s="218">
        <v>2</v>
      </c>
      <c r="L26" s="131">
        <v>2</v>
      </c>
      <c r="M26" s="218">
        <v>2</v>
      </c>
      <c r="N26" s="47"/>
      <c r="O26" s="217">
        <v>0</v>
      </c>
      <c r="P26" s="217">
        <v>0</v>
      </c>
      <c r="Q26" s="217">
        <v>0</v>
      </c>
      <c r="R26" s="196">
        <v>0</v>
      </c>
      <c r="S26" s="196">
        <v>0</v>
      </c>
      <c r="T26" s="196">
        <v>0</v>
      </c>
      <c r="U26" s="196">
        <v>0</v>
      </c>
      <c r="V26" s="66">
        <f>SUM(O26:U26)</f>
        <v>0</v>
      </c>
      <c r="X26" t="s">
        <v>334</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7">
        <f t="shared" si="4"/>
        <v>0</v>
      </c>
      <c r="AJ26" s="217">
        <f t="shared" si="1"/>
        <v>0</v>
      </c>
      <c r="AK26" s="217">
        <f t="shared" si="1"/>
        <v>0</v>
      </c>
      <c r="AL26" s="217">
        <f t="shared" si="1"/>
        <v>0</v>
      </c>
      <c r="AM26" s="217">
        <f t="shared" si="1"/>
        <v>0</v>
      </c>
      <c r="AN26" s="217">
        <f t="shared" si="1"/>
        <v>0</v>
      </c>
      <c r="AO26" s="217">
        <f t="shared" si="1"/>
        <v>0</v>
      </c>
      <c r="AP26" s="66">
        <f>SUM(AI26:AO26)</f>
        <v>0</v>
      </c>
      <c r="AQ26" s="110"/>
    </row>
    <row r="27" spans="1:45" x14ac:dyDescent="0.25">
      <c r="N27" s="197">
        <f>SUM(N29:N43)</f>
        <v>74210.815999999992</v>
      </c>
      <c r="AH27" s="197">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323</v>
      </c>
      <c r="P28" s="10" t="s">
        <v>324</v>
      </c>
      <c r="Q28" s="10" t="s">
        <v>325</v>
      </c>
      <c r="R28" s="10" t="s">
        <v>326</v>
      </c>
      <c r="S28" s="10" t="s">
        <v>327</v>
      </c>
      <c r="T28" s="10" t="s">
        <v>328</v>
      </c>
      <c r="U28" s="10" t="s">
        <v>329</v>
      </c>
      <c r="V28" s="10" t="s">
        <v>330</v>
      </c>
      <c r="X28" s="10" t="s">
        <v>170</v>
      </c>
      <c r="Y28" s="10" t="str">
        <f>Y10</f>
        <v>Año</v>
      </c>
      <c r="Z28" s="10" t="str">
        <f>Z10</f>
        <v>Dia</v>
      </c>
      <c r="AA28" s="10" t="s">
        <v>15</v>
      </c>
      <c r="AB28" s="10" t="s">
        <v>16</v>
      </c>
      <c r="AC28" s="10" t="s">
        <v>17</v>
      </c>
      <c r="AD28" s="10" t="s">
        <v>18</v>
      </c>
      <c r="AE28" s="10" t="s">
        <v>19</v>
      </c>
      <c r="AF28" s="10" t="s">
        <v>20</v>
      </c>
      <c r="AG28" s="10" t="s">
        <v>6</v>
      </c>
      <c r="AH28" s="10" t="s">
        <v>68</v>
      </c>
      <c r="AI28" s="10" t="s">
        <v>323</v>
      </c>
      <c r="AJ28" s="10" t="s">
        <v>324</v>
      </c>
      <c r="AK28" s="10" t="s">
        <v>325</v>
      </c>
      <c r="AL28" s="10" t="s">
        <v>326</v>
      </c>
      <c r="AM28" s="10" t="s">
        <v>327</v>
      </c>
      <c r="AN28" s="10" t="s">
        <v>328</v>
      </c>
      <c r="AO28" s="10" t="s">
        <v>329</v>
      </c>
      <c r="AP28" s="10" t="s">
        <v>330</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7">
        <v>62</v>
      </c>
      <c r="P29" s="217">
        <f t="shared" ref="P29:U44" si="7">AJ11</f>
        <v>0</v>
      </c>
      <c r="Q29" s="217">
        <f t="shared" si="7"/>
        <v>0</v>
      </c>
      <c r="R29" s="217">
        <f t="shared" si="7"/>
        <v>0</v>
      </c>
      <c r="S29" s="217">
        <f t="shared" si="7"/>
        <v>0</v>
      </c>
      <c r="T29" s="217">
        <f t="shared" si="7"/>
        <v>0</v>
      </c>
      <c r="U29" s="217">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7">
        <f>O29</f>
        <v>62</v>
      </c>
      <c r="AJ29" s="217">
        <f>P29+AR33</f>
        <v>30</v>
      </c>
      <c r="AK29" s="217">
        <f t="shared" ref="AK29:AO44" si="9">Q29</f>
        <v>0</v>
      </c>
      <c r="AL29" s="217">
        <f t="shared" si="9"/>
        <v>0</v>
      </c>
      <c r="AM29" s="217">
        <f t="shared" si="9"/>
        <v>0</v>
      </c>
      <c r="AN29" s="217">
        <f t="shared" si="9"/>
        <v>0</v>
      </c>
      <c r="AO29" s="217">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7">
        <f t="shared" si="6"/>
        <v>0</v>
      </c>
      <c r="P30" s="217">
        <f t="shared" si="7"/>
        <v>14</v>
      </c>
      <c r="Q30" s="217">
        <f t="shared" si="7"/>
        <v>9</v>
      </c>
      <c r="R30" s="217">
        <f t="shared" si="7"/>
        <v>35</v>
      </c>
      <c r="S30" s="217">
        <f t="shared" si="7"/>
        <v>7</v>
      </c>
      <c r="T30" s="217">
        <f t="shared" si="7"/>
        <v>21</v>
      </c>
      <c r="U30" s="217">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7">
        <f t="shared" ref="AI30:AJ44" si="12">O30</f>
        <v>0</v>
      </c>
      <c r="AJ30" s="217">
        <f>P30+AR33</f>
        <v>44</v>
      </c>
      <c r="AK30" s="217">
        <f t="shared" si="9"/>
        <v>9</v>
      </c>
      <c r="AL30" s="217">
        <f t="shared" si="9"/>
        <v>35</v>
      </c>
      <c r="AM30" s="217">
        <f t="shared" si="9"/>
        <v>7</v>
      </c>
      <c r="AN30" s="217">
        <f t="shared" si="9"/>
        <v>21</v>
      </c>
      <c r="AO30" s="217">
        <f t="shared" si="9"/>
        <v>-2</v>
      </c>
      <c r="AP30" s="66">
        <f>SUM(AI30:AO30)</f>
        <v>114</v>
      </c>
      <c r="AQ30" s="110"/>
    </row>
    <row r="31" spans="1:45" x14ac:dyDescent="0.25">
      <c r="A31" t="s">
        <v>33</v>
      </c>
      <c r="B31" s="15" t="str">
        <f t="shared" si="10"/>
        <v>DEF</v>
      </c>
      <c r="C31" s="18" t="s">
        <v>45</v>
      </c>
      <c r="D31" s="18" t="s">
        <v>336</v>
      </c>
      <c r="E31" s="18">
        <v>20</v>
      </c>
      <c r="F31" s="18">
        <v>50</v>
      </c>
      <c r="G31" s="111">
        <f>AA13</f>
        <v>0</v>
      </c>
      <c r="H31" s="111">
        <v>10</v>
      </c>
      <c r="I31" s="111">
        <v>4</v>
      </c>
      <c r="J31" s="111">
        <v>4</v>
      </c>
      <c r="K31" s="111">
        <v>10</v>
      </c>
      <c r="L31" s="111">
        <f t="shared" si="6"/>
        <v>2</v>
      </c>
      <c r="M31" s="111">
        <f t="shared" si="6"/>
        <v>2</v>
      </c>
      <c r="N31" s="47">
        <f>(2330+125+125+785)*1.008</f>
        <v>3391.92</v>
      </c>
      <c r="O31" s="217">
        <f t="shared" si="6"/>
        <v>0</v>
      </c>
      <c r="P31" s="217">
        <v>37</v>
      </c>
      <c r="Q31" s="217">
        <v>6</v>
      </c>
      <c r="R31" s="217">
        <v>3.5</v>
      </c>
      <c r="S31" s="217">
        <v>29</v>
      </c>
      <c r="T31" s="217">
        <f t="shared" si="7"/>
        <v>0</v>
      </c>
      <c r="U31" s="217">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7">
        <f t="shared" si="12"/>
        <v>0</v>
      </c>
      <c r="AJ31" s="217">
        <f>P31+AR33</f>
        <v>67</v>
      </c>
      <c r="AK31" s="217">
        <f t="shared" si="9"/>
        <v>6</v>
      </c>
      <c r="AL31" s="217">
        <f t="shared" si="9"/>
        <v>3.5</v>
      </c>
      <c r="AM31" s="217">
        <f t="shared" si="9"/>
        <v>29</v>
      </c>
      <c r="AN31" s="217">
        <f t="shared" si="9"/>
        <v>0</v>
      </c>
      <c r="AO31" s="217">
        <f t="shared" si="9"/>
        <v>0</v>
      </c>
      <c r="AP31" s="66">
        <f>SUM(AI31:AO31)</f>
        <v>105.5</v>
      </c>
      <c r="AQ31" s="110"/>
    </row>
    <row r="32" spans="1:45" x14ac:dyDescent="0.25">
      <c r="A32" t="s">
        <v>39</v>
      </c>
      <c r="B32" s="15" t="str">
        <f t="shared" si="10"/>
        <v>DEF</v>
      </c>
      <c r="C32" s="18" t="s">
        <v>177</v>
      </c>
      <c r="D32" s="18" t="s">
        <v>336</v>
      </c>
      <c r="E32" s="18">
        <v>20</v>
      </c>
      <c r="F32" s="18">
        <v>50</v>
      </c>
      <c r="G32" s="111">
        <f>AA14</f>
        <v>0</v>
      </c>
      <c r="H32" s="111">
        <v>10</v>
      </c>
      <c r="I32" s="111">
        <v>4</v>
      </c>
      <c r="J32" s="111">
        <v>4</v>
      </c>
      <c r="K32" s="111">
        <v>10</v>
      </c>
      <c r="L32" s="111">
        <f t="shared" si="6"/>
        <v>2</v>
      </c>
      <c r="M32" s="111">
        <f t="shared" si="6"/>
        <v>2</v>
      </c>
      <c r="N32" s="47">
        <f>(2330+125+125+785)*1.008</f>
        <v>3391.92</v>
      </c>
      <c r="O32" s="217">
        <f t="shared" si="6"/>
        <v>0</v>
      </c>
      <c r="P32" s="217">
        <v>37</v>
      </c>
      <c r="Q32" s="217">
        <v>6</v>
      </c>
      <c r="R32" s="217">
        <v>3.5</v>
      </c>
      <c r="S32" s="217">
        <v>29</v>
      </c>
      <c r="T32" s="217">
        <f t="shared" si="7"/>
        <v>0</v>
      </c>
      <c r="U32" s="217">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7">
        <f t="shared" si="12"/>
        <v>0</v>
      </c>
      <c r="AJ32" s="217">
        <f>P32+AR33</f>
        <v>67</v>
      </c>
      <c r="AK32" s="217">
        <f t="shared" si="9"/>
        <v>6</v>
      </c>
      <c r="AL32" s="217">
        <f t="shared" si="9"/>
        <v>3.5</v>
      </c>
      <c r="AM32" s="217">
        <f t="shared" si="9"/>
        <v>29</v>
      </c>
      <c r="AN32" s="217">
        <f t="shared" si="9"/>
        <v>0</v>
      </c>
      <c r="AO32" s="217">
        <f t="shared" si="9"/>
        <v>0</v>
      </c>
      <c r="AP32" s="66">
        <f>SUM(AI32:AO32)</f>
        <v>105.5</v>
      </c>
      <c r="AQ32" s="110"/>
      <c r="AR32" t="s">
        <v>375</v>
      </c>
      <c r="AS32" t="s">
        <v>376</v>
      </c>
    </row>
    <row r="33" spans="1:45" x14ac:dyDescent="0.25">
      <c r="A33" t="s">
        <v>41</v>
      </c>
      <c r="B33" s="15" t="str">
        <f t="shared" si="10"/>
        <v>DEF</v>
      </c>
      <c r="C33" s="18" t="s">
        <v>0</v>
      </c>
      <c r="D33" s="18" t="s">
        <v>336</v>
      </c>
      <c r="E33" s="18">
        <v>20</v>
      </c>
      <c r="F33" s="18">
        <v>50</v>
      </c>
      <c r="G33" s="111">
        <f>AA15</f>
        <v>0</v>
      </c>
      <c r="H33" s="111">
        <v>10</v>
      </c>
      <c r="I33" s="111">
        <v>4</v>
      </c>
      <c r="J33" s="111">
        <v>4</v>
      </c>
      <c r="K33" s="111">
        <v>10</v>
      </c>
      <c r="L33" s="111">
        <f t="shared" si="6"/>
        <v>2</v>
      </c>
      <c r="M33" s="111">
        <f t="shared" si="6"/>
        <v>2</v>
      </c>
      <c r="N33" s="47">
        <f>(2330+125+125+785)*1.008</f>
        <v>3391.92</v>
      </c>
      <c r="O33" s="217">
        <f t="shared" si="6"/>
        <v>0</v>
      </c>
      <c r="P33" s="217">
        <v>37</v>
      </c>
      <c r="Q33" s="217">
        <v>6</v>
      </c>
      <c r="R33" s="217">
        <v>3.5</v>
      </c>
      <c r="S33" s="217">
        <v>29</v>
      </c>
      <c r="T33" s="217">
        <f t="shared" si="7"/>
        <v>0</v>
      </c>
      <c r="U33" s="217">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7">
        <f t="shared" si="12"/>
        <v>0</v>
      </c>
      <c r="AJ33" s="217">
        <f>P33+AR33</f>
        <v>67</v>
      </c>
      <c r="AK33" s="217">
        <f t="shared" si="9"/>
        <v>6</v>
      </c>
      <c r="AL33" s="217">
        <f t="shared" si="9"/>
        <v>3.5</v>
      </c>
      <c r="AM33" s="217">
        <f t="shared" si="9"/>
        <v>29</v>
      </c>
      <c r="AN33" s="217">
        <f t="shared" si="9"/>
        <v>0</v>
      </c>
      <c r="AO33" s="217">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336</v>
      </c>
      <c r="E34" s="18">
        <v>20</v>
      </c>
      <c r="F34" s="18">
        <v>50</v>
      </c>
      <c r="G34" s="111">
        <f>AA16</f>
        <v>0</v>
      </c>
      <c r="H34" s="111">
        <v>10</v>
      </c>
      <c r="I34" s="111">
        <v>4</v>
      </c>
      <c r="J34" s="111">
        <v>4</v>
      </c>
      <c r="K34" s="111">
        <v>10</v>
      </c>
      <c r="L34" s="111">
        <f t="shared" si="6"/>
        <v>2</v>
      </c>
      <c r="M34" s="111">
        <f t="shared" si="6"/>
        <v>2</v>
      </c>
      <c r="N34" s="47">
        <f>(2330+125+125+785)*1.008</f>
        <v>3391.92</v>
      </c>
      <c r="O34" s="217">
        <f t="shared" si="6"/>
        <v>0</v>
      </c>
      <c r="P34" s="217">
        <v>37</v>
      </c>
      <c r="Q34" s="217">
        <v>6</v>
      </c>
      <c r="R34" s="217">
        <v>3.5</v>
      </c>
      <c r="S34" s="217">
        <v>29</v>
      </c>
      <c r="T34" s="217">
        <f t="shared" si="7"/>
        <v>0</v>
      </c>
      <c r="U34" s="217">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7">
        <f t="shared" si="12"/>
        <v>0</v>
      </c>
      <c r="AJ34" s="217">
        <f>P34+AR33</f>
        <v>67</v>
      </c>
      <c r="AK34" s="217">
        <f t="shared" si="9"/>
        <v>6</v>
      </c>
      <c r="AL34" s="217">
        <f t="shared" si="9"/>
        <v>3.5</v>
      </c>
      <c r="AM34" s="217">
        <f t="shared" si="9"/>
        <v>29</v>
      </c>
      <c r="AN34" s="217">
        <f t="shared" si="9"/>
        <v>0</v>
      </c>
      <c r="AO34" s="217">
        <f t="shared" si="9"/>
        <v>0</v>
      </c>
      <c r="AP34" s="66">
        <f t="shared" si="14"/>
        <v>105.5</v>
      </c>
      <c r="AQ34" s="110"/>
    </row>
    <row r="35" spans="1:45" x14ac:dyDescent="0.25">
      <c r="A35" t="s">
        <v>35</v>
      </c>
      <c r="B35" s="15" t="str">
        <f t="shared" si="10"/>
        <v>DEF</v>
      </c>
      <c r="C35" s="18" t="s">
        <v>0</v>
      </c>
      <c r="D35" s="18" t="s">
        <v>336</v>
      </c>
      <c r="E35" s="18">
        <v>20</v>
      </c>
      <c r="F35" s="18">
        <v>50</v>
      </c>
      <c r="G35" s="111">
        <f>AA17</f>
        <v>0</v>
      </c>
      <c r="H35" s="111">
        <v>10</v>
      </c>
      <c r="I35" s="111">
        <v>4</v>
      </c>
      <c r="J35" s="111">
        <v>4</v>
      </c>
      <c r="K35" s="111">
        <v>10</v>
      </c>
      <c r="L35" s="111">
        <f t="shared" si="6"/>
        <v>2</v>
      </c>
      <c r="M35" s="111">
        <f t="shared" si="6"/>
        <v>2</v>
      </c>
      <c r="N35" s="47">
        <f>(2330+125+125+785)*1.008</f>
        <v>3391.92</v>
      </c>
      <c r="O35" s="217">
        <f t="shared" si="6"/>
        <v>0</v>
      </c>
      <c r="P35" s="217">
        <v>37</v>
      </c>
      <c r="Q35" s="217">
        <v>6</v>
      </c>
      <c r="R35" s="217">
        <v>3.5</v>
      </c>
      <c r="S35" s="217">
        <v>29</v>
      </c>
      <c r="T35" s="217">
        <f t="shared" si="7"/>
        <v>0</v>
      </c>
      <c r="U35" s="217">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7">
        <f t="shared" si="12"/>
        <v>0</v>
      </c>
      <c r="AJ35" s="217">
        <f>P35+AR33</f>
        <v>67</v>
      </c>
      <c r="AK35" s="217">
        <f t="shared" si="9"/>
        <v>6</v>
      </c>
      <c r="AL35" s="217">
        <f t="shared" si="9"/>
        <v>3.5</v>
      </c>
      <c r="AM35" s="217">
        <f t="shared" si="9"/>
        <v>29</v>
      </c>
      <c r="AN35" s="217">
        <f t="shared" si="9"/>
        <v>0</v>
      </c>
      <c r="AO35" s="217">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7">
        <f t="shared" si="6"/>
        <v>0</v>
      </c>
      <c r="P36" s="217">
        <f t="shared" si="7"/>
        <v>0</v>
      </c>
      <c r="Q36" s="217">
        <f t="shared" si="7"/>
        <v>0</v>
      </c>
      <c r="R36" s="217">
        <f t="shared" si="7"/>
        <v>0</v>
      </c>
      <c r="S36" s="217">
        <f t="shared" si="7"/>
        <v>0</v>
      </c>
      <c r="T36" s="217">
        <f t="shared" si="7"/>
        <v>0</v>
      </c>
      <c r="U36" s="217">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7">
        <f t="shared" si="12"/>
        <v>0</v>
      </c>
      <c r="AJ36" s="217">
        <f t="shared" si="12"/>
        <v>0</v>
      </c>
      <c r="AK36" s="217">
        <f t="shared" si="9"/>
        <v>0</v>
      </c>
      <c r="AL36" s="217">
        <f t="shared" si="9"/>
        <v>0</v>
      </c>
      <c r="AM36" s="217">
        <f t="shared" si="9"/>
        <v>0</v>
      </c>
      <c r="AN36" s="217">
        <f t="shared" si="9"/>
        <v>0</v>
      </c>
      <c r="AO36" s="217">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7">
        <f t="shared" si="6"/>
        <v>0</v>
      </c>
      <c r="P37" s="217">
        <f t="shared" si="7"/>
        <v>0</v>
      </c>
      <c r="Q37" s="217">
        <f t="shared" si="7"/>
        <v>0</v>
      </c>
      <c r="R37" s="217">
        <f t="shared" si="7"/>
        <v>0</v>
      </c>
      <c r="S37" s="217">
        <f t="shared" si="7"/>
        <v>0</v>
      </c>
      <c r="T37" s="217">
        <f t="shared" si="7"/>
        <v>0</v>
      </c>
      <c r="U37" s="217">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7">
        <f t="shared" si="12"/>
        <v>0</v>
      </c>
      <c r="AJ37" s="217">
        <f t="shared" si="12"/>
        <v>0</v>
      </c>
      <c r="AK37" s="217">
        <f t="shared" si="9"/>
        <v>0</v>
      </c>
      <c r="AL37" s="217">
        <f t="shared" si="9"/>
        <v>0</v>
      </c>
      <c r="AM37" s="217">
        <f t="shared" si="9"/>
        <v>0</v>
      </c>
      <c r="AN37" s="217">
        <f t="shared" si="9"/>
        <v>0</v>
      </c>
      <c r="AO37" s="217">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7">
        <f t="shared" si="6"/>
        <v>0</v>
      </c>
      <c r="P38" s="217">
        <f t="shared" si="7"/>
        <v>0</v>
      </c>
      <c r="Q38" s="217">
        <f t="shared" si="7"/>
        <v>0</v>
      </c>
      <c r="R38" s="217">
        <f t="shared" si="7"/>
        <v>0</v>
      </c>
      <c r="S38" s="217">
        <f t="shared" si="7"/>
        <v>0</v>
      </c>
      <c r="T38" s="217">
        <f t="shared" si="7"/>
        <v>0</v>
      </c>
      <c r="U38" s="217">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7">
        <f t="shared" si="12"/>
        <v>0</v>
      </c>
      <c r="AJ38" s="217">
        <f t="shared" si="12"/>
        <v>0</v>
      </c>
      <c r="AK38" s="217">
        <f t="shared" si="9"/>
        <v>0</v>
      </c>
      <c r="AL38" s="217">
        <f t="shared" si="9"/>
        <v>0</v>
      </c>
      <c r="AM38" s="217">
        <f t="shared" si="9"/>
        <v>0</v>
      </c>
      <c r="AN38" s="217">
        <f t="shared" si="9"/>
        <v>0</v>
      </c>
      <c r="AO38" s="217">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7">
        <f t="shared" si="6"/>
        <v>0</v>
      </c>
      <c r="P39" s="217">
        <f t="shared" si="7"/>
        <v>0</v>
      </c>
      <c r="Q39" s="217">
        <f t="shared" si="7"/>
        <v>13</v>
      </c>
      <c r="R39" s="217">
        <f t="shared" si="7"/>
        <v>42</v>
      </c>
      <c r="S39" s="217">
        <f t="shared" si="7"/>
        <v>8</v>
      </c>
      <c r="T39" s="217">
        <f t="shared" si="7"/>
        <v>18</v>
      </c>
      <c r="U39" s="217">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7">
        <f t="shared" si="12"/>
        <v>0</v>
      </c>
      <c r="AJ39" s="217">
        <f>P39+AR33</f>
        <v>30</v>
      </c>
      <c r="AK39" s="217">
        <f t="shared" si="9"/>
        <v>13</v>
      </c>
      <c r="AL39" s="217">
        <f t="shared" si="9"/>
        <v>42</v>
      </c>
      <c r="AM39" s="217">
        <f t="shared" si="9"/>
        <v>8</v>
      </c>
      <c r="AN39" s="217">
        <f t="shared" si="9"/>
        <v>18</v>
      </c>
      <c r="AO39" s="217">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7">
        <f t="shared" si="6"/>
        <v>0</v>
      </c>
      <c r="P40" s="217">
        <f t="shared" si="7"/>
        <v>14</v>
      </c>
      <c r="Q40" s="217">
        <f t="shared" si="7"/>
        <v>3</v>
      </c>
      <c r="R40" s="217">
        <f t="shared" si="7"/>
        <v>33</v>
      </c>
      <c r="S40" s="217">
        <f t="shared" si="7"/>
        <v>8</v>
      </c>
      <c r="T40" s="217">
        <f t="shared" si="7"/>
        <v>16</v>
      </c>
      <c r="U40" s="217">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7">
        <f t="shared" si="12"/>
        <v>0</v>
      </c>
      <c r="AJ40" s="217">
        <f>P40+AR33</f>
        <v>44</v>
      </c>
      <c r="AK40" s="217">
        <f t="shared" si="9"/>
        <v>3</v>
      </c>
      <c r="AL40" s="217">
        <f t="shared" si="9"/>
        <v>33</v>
      </c>
      <c r="AM40" s="217">
        <f t="shared" si="9"/>
        <v>8</v>
      </c>
      <c r="AN40" s="217">
        <f t="shared" si="9"/>
        <v>16</v>
      </c>
      <c r="AO40" s="217">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7">
        <f t="shared" si="6"/>
        <v>0</v>
      </c>
      <c r="P41" s="217">
        <f t="shared" si="7"/>
        <v>3</v>
      </c>
      <c r="Q41" s="217">
        <f t="shared" si="7"/>
        <v>9</v>
      </c>
      <c r="R41" s="217">
        <f t="shared" si="7"/>
        <v>35</v>
      </c>
      <c r="S41" s="217">
        <f t="shared" si="7"/>
        <v>4</v>
      </c>
      <c r="T41" s="217">
        <f t="shared" si="7"/>
        <v>18</v>
      </c>
      <c r="U41" s="217">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7">
        <f t="shared" si="12"/>
        <v>0</v>
      </c>
      <c r="AJ41" s="217">
        <f>P41+AR33</f>
        <v>33</v>
      </c>
      <c r="AK41" s="217">
        <f t="shared" si="9"/>
        <v>9</v>
      </c>
      <c r="AL41" s="217">
        <f t="shared" si="9"/>
        <v>35</v>
      </c>
      <c r="AM41" s="217">
        <f t="shared" si="9"/>
        <v>4</v>
      </c>
      <c r="AN41" s="217">
        <f t="shared" si="9"/>
        <v>18</v>
      </c>
      <c r="AO41" s="217">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7">
        <f t="shared" si="6"/>
        <v>0</v>
      </c>
      <c r="P42" s="217">
        <f t="shared" si="7"/>
        <v>0</v>
      </c>
      <c r="Q42" s="217">
        <f t="shared" si="7"/>
        <v>0</v>
      </c>
      <c r="R42" s="217">
        <f t="shared" si="7"/>
        <v>0</v>
      </c>
      <c r="S42" s="217">
        <f t="shared" si="7"/>
        <v>0</v>
      </c>
      <c r="T42" s="217">
        <f t="shared" si="7"/>
        <v>0</v>
      </c>
      <c r="U42" s="217">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7">
        <f t="shared" si="12"/>
        <v>0</v>
      </c>
      <c r="AJ42" s="217">
        <f t="shared" si="12"/>
        <v>0</v>
      </c>
      <c r="AK42" s="217">
        <f t="shared" si="9"/>
        <v>0</v>
      </c>
      <c r="AL42" s="217">
        <f t="shared" si="9"/>
        <v>0</v>
      </c>
      <c r="AM42" s="217">
        <f t="shared" si="9"/>
        <v>0</v>
      </c>
      <c r="AN42" s="217">
        <f t="shared" si="9"/>
        <v>0</v>
      </c>
      <c r="AO42" s="217">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7">
        <f t="shared" si="6"/>
        <v>0</v>
      </c>
      <c r="P43" s="217">
        <f t="shared" si="7"/>
        <v>0</v>
      </c>
      <c r="Q43" s="217">
        <f t="shared" si="7"/>
        <v>0</v>
      </c>
      <c r="R43" s="217">
        <f t="shared" si="7"/>
        <v>0</v>
      </c>
      <c r="S43" s="217">
        <f t="shared" si="7"/>
        <v>0</v>
      </c>
      <c r="T43" s="217">
        <f t="shared" si="7"/>
        <v>0</v>
      </c>
      <c r="U43" s="217">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7">
        <f t="shared" si="12"/>
        <v>0</v>
      </c>
      <c r="AJ43" s="217">
        <f t="shared" si="12"/>
        <v>0</v>
      </c>
      <c r="AK43" s="217">
        <f t="shared" si="9"/>
        <v>0</v>
      </c>
      <c r="AL43" s="217">
        <f t="shared" si="9"/>
        <v>0</v>
      </c>
      <c r="AM43" s="217">
        <f t="shared" si="9"/>
        <v>0</v>
      </c>
      <c r="AN43" s="217">
        <f t="shared" si="9"/>
        <v>0</v>
      </c>
      <c r="AO43" s="217">
        <f t="shared" si="9"/>
        <v>0</v>
      </c>
      <c r="AP43" s="66">
        <f>SUM(AI43:AO43)</f>
        <v>0</v>
      </c>
      <c r="AQ43" s="110"/>
    </row>
    <row r="44" spans="1:45" x14ac:dyDescent="0.25">
      <c r="A44" t="s">
        <v>334</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7">
        <f t="shared" si="6"/>
        <v>0</v>
      </c>
      <c r="P44" s="217">
        <f t="shared" si="7"/>
        <v>0</v>
      </c>
      <c r="Q44" s="217">
        <f t="shared" si="7"/>
        <v>0</v>
      </c>
      <c r="R44" s="217">
        <f t="shared" si="7"/>
        <v>0</v>
      </c>
      <c r="S44" s="217">
        <f t="shared" si="7"/>
        <v>0</v>
      </c>
      <c r="T44" s="217">
        <f t="shared" si="7"/>
        <v>0</v>
      </c>
      <c r="U44" s="217">
        <f t="shared" si="7"/>
        <v>0</v>
      </c>
      <c r="V44" s="66">
        <f>SUM(O44:U44)</f>
        <v>0</v>
      </c>
      <c r="X44" t="s">
        <v>334</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7">
        <f t="shared" si="12"/>
        <v>0</v>
      </c>
      <c r="AJ44" s="217">
        <f t="shared" si="12"/>
        <v>0</v>
      </c>
      <c r="AK44" s="217">
        <f t="shared" si="9"/>
        <v>0</v>
      </c>
      <c r="AL44" s="217">
        <f t="shared" si="9"/>
        <v>0</v>
      </c>
      <c r="AM44" s="217">
        <f t="shared" si="9"/>
        <v>0</v>
      </c>
      <c r="AN44" s="217">
        <f t="shared" si="9"/>
        <v>0</v>
      </c>
      <c r="AO44" s="217">
        <f t="shared" si="9"/>
        <v>0</v>
      </c>
      <c r="AP44" s="66">
        <f>SUM(AI44:AO44)</f>
        <v>0</v>
      </c>
      <c r="AQ44" s="110"/>
    </row>
    <row r="45" spans="1:45" x14ac:dyDescent="0.25">
      <c r="N45" s="197">
        <f>SUM(N47:N61)</f>
        <v>173422.41600000003</v>
      </c>
      <c r="AH45" s="197">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323</v>
      </c>
      <c r="P46" s="10" t="s">
        <v>324</v>
      </c>
      <c r="Q46" s="10" t="s">
        <v>325</v>
      </c>
      <c r="R46" s="10" t="s">
        <v>326</v>
      </c>
      <c r="S46" s="10" t="s">
        <v>327</v>
      </c>
      <c r="T46" s="10" t="s">
        <v>328</v>
      </c>
      <c r="U46" s="10" t="s">
        <v>329</v>
      </c>
      <c r="V46" s="10" t="s">
        <v>330</v>
      </c>
      <c r="X46" s="10" t="s">
        <v>170</v>
      </c>
      <c r="Y46" s="10" t="str">
        <f>Y28</f>
        <v>Año</v>
      </c>
      <c r="Z46" s="10" t="str">
        <f>Z28</f>
        <v>Dia</v>
      </c>
      <c r="AA46" s="10" t="s">
        <v>15</v>
      </c>
      <c r="AB46" s="10" t="s">
        <v>16</v>
      </c>
      <c r="AC46" s="10" t="s">
        <v>17</v>
      </c>
      <c r="AD46" s="10" t="s">
        <v>18</v>
      </c>
      <c r="AE46" s="10" t="s">
        <v>19</v>
      </c>
      <c r="AF46" s="10" t="s">
        <v>20</v>
      </c>
      <c r="AG46" s="10" t="s">
        <v>6</v>
      </c>
      <c r="AH46" s="10" t="s">
        <v>68</v>
      </c>
      <c r="AI46" s="10" t="s">
        <v>323</v>
      </c>
      <c r="AJ46" s="10" t="s">
        <v>324</v>
      </c>
      <c r="AK46" s="10" t="s">
        <v>325</v>
      </c>
      <c r="AL46" s="10" t="s">
        <v>326</v>
      </c>
      <c r="AM46" s="10" t="s">
        <v>327</v>
      </c>
      <c r="AN46" s="10" t="s">
        <v>328</v>
      </c>
      <c r="AO46" s="10" t="s">
        <v>329</v>
      </c>
      <c r="AP46" s="10" t="s">
        <v>330</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7">
        <f>AI29</f>
        <v>62</v>
      </c>
      <c r="P47" s="217">
        <f t="shared" ref="P47:U62" si="17">AJ29</f>
        <v>30</v>
      </c>
      <c r="Q47" s="217">
        <f t="shared" si="17"/>
        <v>0</v>
      </c>
      <c r="R47" s="217">
        <f t="shared" si="17"/>
        <v>0</v>
      </c>
      <c r="S47" s="217">
        <f t="shared" si="17"/>
        <v>0</v>
      </c>
      <c r="T47" s="217">
        <f t="shared" si="17"/>
        <v>0</v>
      </c>
      <c r="U47" s="217">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7">
        <f>O47</f>
        <v>62</v>
      </c>
      <c r="AJ47" s="217">
        <f t="shared" ref="AJ47:AO62" si="19">P47</f>
        <v>30</v>
      </c>
      <c r="AK47" s="217">
        <f t="shared" si="19"/>
        <v>0</v>
      </c>
      <c r="AL47" s="217">
        <f t="shared" si="19"/>
        <v>0</v>
      </c>
      <c r="AM47" s="217">
        <f t="shared" si="19"/>
        <v>0</v>
      </c>
      <c r="AN47" s="217">
        <f t="shared" si="19"/>
        <v>0</v>
      </c>
      <c r="AO47" s="217">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7">
        <f t="shared" si="16"/>
        <v>0</v>
      </c>
      <c r="P48" s="217">
        <f t="shared" si="17"/>
        <v>44</v>
      </c>
      <c r="Q48" s="217">
        <f t="shared" si="17"/>
        <v>9</v>
      </c>
      <c r="R48" s="217">
        <f t="shared" si="17"/>
        <v>35</v>
      </c>
      <c r="S48" s="217">
        <f t="shared" si="17"/>
        <v>7</v>
      </c>
      <c r="T48" s="217">
        <f t="shared" si="17"/>
        <v>21</v>
      </c>
      <c r="U48" s="217">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7">
        <f t="shared" ref="AI48:AI62" si="23">O48</f>
        <v>0</v>
      </c>
      <c r="AJ48" s="217">
        <f t="shared" si="19"/>
        <v>44</v>
      </c>
      <c r="AK48" s="217">
        <f t="shared" si="19"/>
        <v>9</v>
      </c>
      <c r="AL48" s="217">
        <f t="shared" si="19"/>
        <v>35</v>
      </c>
      <c r="AM48" s="217">
        <f t="shared" si="19"/>
        <v>7</v>
      </c>
      <c r="AN48" s="217">
        <f t="shared" si="19"/>
        <v>21</v>
      </c>
      <c r="AO48" s="217">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7">
        <f t="shared" si="16"/>
        <v>0</v>
      </c>
      <c r="P49" s="217">
        <f t="shared" si="17"/>
        <v>67</v>
      </c>
      <c r="Q49" s="217">
        <f t="shared" si="17"/>
        <v>6</v>
      </c>
      <c r="R49" s="217">
        <f t="shared" si="17"/>
        <v>3.5</v>
      </c>
      <c r="S49" s="217">
        <f t="shared" si="17"/>
        <v>29</v>
      </c>
      <c r="T49" s="217">
        <f t="shared" si="17"/>
        <v>0</v>
      </c>
      <c r="U49" s="217">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7">
        <f t="shared" si="23"/>
        <v>0</v>
      </c>
      <c r="AJ49" s="217">
        <f t="shared" si="19"/>
        <v>67</v>
      </c>
      <c r="AK49" s="217">
        <f t="shared" si="19"/>
        <v>6</v>
      </c>
      <c r="AL49" s="217">
        <f t="shared" si="19"/>
        <v>3.5</v>
      </c>
      <c r="AM49" s="217">
        <f t="shared" si="19"/>
        <v>29</v>
      </c>
      <c r="AN49" s="217">
        <f t="shared" si="19"/>
        <v>0</v>
      </c>
      <c r="AO49" s="217">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7">
        <f t="shared" si="16"/>
        <v>0</v>
      </c>
      <c r="P50" s="217">
        <f t="shared" si="17"/>
        <v>67</v>
      </c>
      <c r="Q50" s="217">
        <f t="shared" si="17"/>
        <v>6</v>
      </c>
      <c r="R50" s="217">
        <f t="shared" si="17"/>
        <v>3.5</v>
      </c>
      <c r="S50" s="217">
        <f t="shared" si="17"/>
        <v>29</v>
      </c>
      <c r="T50" s="217">
        <f t="shared" si="17"/>
        <v>0</v>
      </c>
      <c r="U50" s="217">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7">
        <f t="shared" si="23"/>
        <v>0</v>
      </c>
      <c r="AJ50" s="217">
        <f t="shared" si="19"/>
        <v>67</v>
      </c>
      <c r="AK50" s="217">
        <f t="shared" si="19"/>
        <v>6</v>
      </c>
      <c r="AL50" s="217">
        <f t="shared" si="19"/>
        <v>3.5</v>
      </c>
      <c r="AM50" s="217">
        <f t="shared" si="19"/>
        <v>29</v>
      </c>
      <c r="AN50" s="217">
        <f t="shared" si="19"/>
        <v>0</v>
      </c>
      <c r="AO50" s="217">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7">
        <f t="shared" si="16"/>
        <v>0</v>
      </c>
      <c r="P51" s="217">
        <f t="shared" si="17"/>
        <v>67</v>
      </c>
      <c r="Q51" s="217">
        <f t="shared" si="17"/>
        <v>6</v>
      </c>
      <c r="R51" s="217">
        <f t="shared" si="17"/>
        <v>3.5</v>
      </c>
      <c r="S51" s="217">
        <f t="shared" si="17"/>
        <v>29</v>
      </c>
      <c r="T51" s="217">
        <f t="shared" si="17"/>
        <v>0</v>
      </c>
      <c r="U51" s="217">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7">
        <f t="shared" si="23"/>
        <v>0</v>
      </c>
      <c r="AJ51" s="217">
        <f t="shared" si="19"/>
        <v>67</v>
      </c>
      <c r="AK51" s="217">
        <f t="shared" si="19"/>
        <v>6</v>
      </c>
      <c r="AL51" s="217">
        <f t="shared" si="19"/>
        <v>3.5</v>
      </c>
      <c r="AM51" s="217">
        <f t="shared" si="19"/>
        <v>29</v>
      </c>
      <c r="AN51" s="217">
        <f t="shared" si="19"/>
        <v>0</v>
      </c>
      <c r="AO51" s="217">
        <f>U51+AR52</f>
        <v>25</v>
      </c>
      <c r="AP51" s="66">
        <f t="shared" ref="AP51:AP57" si="25">SUM(AI51:AO51)</f>
        <v>130.5</v>
      </c>
      <c r="AQ51" s="110"/>
      <c r="AR51" t="s">
        <v>375</v>
      </c>
      <c r="AS51" t="s">
        <v>376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7">
        <f t="shared" si="16"/>
        <v>0</v>
      </c>
      <c r="P52" s="217">
        <f t="shared" si="17"/>
        <v>67</v>
      </c>
      <c r="Q52" s="217">
        <f t="shared" si="17"/>
        <v>6</v>
      </c>
      <c r="R52" s="217">
        <f t="shared" si="17"/>
        <v>3.5</v>
      </c>
      <c r="S52" s="217">
        <f t="shared" si="17"/>
        <v>29</v>
      </c>
      <c r="T52" s="217">
        <f t="shared" si="17"/>
        <v>0</v>
      </c>
      <c r="U52" s="217">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7">
        <f t="shared" si="23"/>
        <v>0</v>
      </c>
      <c r="AJ52" s="217">
        <f t="shared" si="19"/>
        <v>67</v>
      </c>
      <c r="AK52" s="217">
        <f t="shared" si="19"/>
        <v>6</v>
      </c>
      <c r="AL52" s="217">
        <f t="shared" si="19"/>
        <v>3.5</v>
      </c>
      <c r="AM52" s="217">
        <f t="shared" si="19"/>
        <v>29</v>
      </c>
      <c r="AN52" s="217">
        <f t="shared" si="19"/>
        <v>0</v>
      </c>
      <c r="AO52" s="217">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7">
        <f t="shared" si="16"/>
        <v>0</v>
      </c>
      <c r="P53" s="217">
        <f t="shared" si="17"/>
        <v>67</v>
      </c>
      <c r="Q53" s="217">
        <f t="shared" si="17"/>
        <v>6</v>
      </c>
      <c r="R53" s="217">
        <f t="shared" si="17"/>
        <v>3.5</v>
      </c>
      <c r="S53" s="217">
        <f t="shared" si="17"/>
        <v>29</v>
      </c>
      <c r="T53" s="217">
        <f t="shared" si="17"/>
        <v>0</v>
      </c>
      <c r="U53" s="217">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7">
        <f t="shared" si="23"/>
        <v>0</v>
      </c>
      <c r="AJ53" s="217">
        <f t="shared" si="19"/>
        <v>67</v>
      </c>
      <c r="AK53" s="217">
        <f t="shared" si="19"/>
        <v>6</v>
      </c>
      <c r="AL53" s="217">
        <f t="shared" si="19"/>
        <v>3.5</v>
      </c>
      <c r="AM53" s="217">
        <f t="shared" si="19"/>
        <v>29</v>
      </c>
      <c r="AN53" s="217">
        <f t="shared" si="19"/>
        <v>0</v>
      </c>
      <c r="AO53" s="217">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7">
        <f t="shared" si="16"/>
        <v>0</v>
      </c>
      <c r="P54" s="217">
        <f t="shared" si="17"/>
        <v>0</v>
      </c>
      <c r="Q54" s="217">
        <f t="shared" si="17"/>
        <v>0</v>
      </c>
      <c r="R54" s="217">
        <f t="shared" si="17"/>
        <v>0</v>
      </c>
      <c r="S54" s="217">
        <f t="shared" si="17"/>
        <v>0</v>
      </c>
      <c r="T54" s="217">
        <f t="shared" si="17"/>
        <v>0</v>
      </c>
      <c r="U54" s="217">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7">
        <f t="shared" si="23"/>
        <v>0</v>
      </c>
      <c r="AJ54" s="217">
        <f t="shared" si="19"/>
        <v>0</v>
      </c>
      <c r="AK54" s="217">
        <f t="shared" si="19"/>
        <v>0</v>
      </c>
      <c r="AL54" s="217">
        <f t="shared" si="19"/>
        <v>0</v>
      </c>
      <c r="AM54" s="217">
        <f t="shared" si="19"/>
        <v>0</v>
      </c>
      <c r="AN54" s="217">
        <f t="shared" si="19"/>
        <v>0</v>
      </c>
      <c r="AO54" s="217">
        <f t="shared" si="19"/>
        <v>0</v>
      </c>
      <c r="AP54" s="66">
        <f t="shared" si="25"/>
        <v>0</v>
      </c>
      <c r="AQ54" s="110"/>
    </row>
    <row r="55" spans="1:45" x14ac:dyDescent="0.25">
      <c r="A55" t="s">
        <v>43</v>
      </c>
      <c r="B55" s="15" t="str">
        <f t="shared" ref="B55:D62" si="26">B37</f>
        <v>INN</v>
      </c>
      <c r="C55" s="18" t="s">
        <v>177</v>
      </c>
      <c r="D55" s="18" t="s">
        <v>335</v>
      </c>
      <c r="E55" s="18">
        <v>22</v>
      </c>
      <c r="F55" s="18">
        <v>70</v>
      </c>
      <c r="G55" s="111">
        <f t="shared" si="21"/>
        <v>0</v>
      </c>
      <c r="H55" s="111">
        <v>11</v>
      </c>
      <c r="I55" s="111">
        <v>12</v>
      </c>
      <c r="J55" s="111">
        <f t="shared" si="16"/>
        <v>2</v>
      </c>
      <c r="K55" s="111">
        <v>8</v>
      </c>
      <c r="L55" s="111">
        <v>5</v>
      </c>
      <c r="M55" s="111">
        <f t="shared" si="16"/>
        <v>2</v>
      </c>
      <c r="N55" s="47">
        <f>(8670+1165+135+125)*1.008</f>
        <v>10175.76</v>
      </c>
      <c r="O55" s="217">
        <f t="shared" si="16"/>
        <v>0</v>
      </c>
      <c r="P55" s="217">
        <v>37</v>
      </c>
      <c r="Q55" s="217">
        <v>48</v>
      </c>
      <c r="R55" s="217">
        <f t="shared" si="17"/>
        <v>0</v>
      </c>
      <c r="S55" s="217">
        <v>18</v>
      </c>
      <c r="T55" s="217">
        <v>8</v>
      </c>
      <c r="U55" s="217">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7">
        <f t="shared" si="23"/>
        <v>0</v>
      </c>
      <c r="AJ55" s="217">
        <f t="shared" si="19"/>
        <v>37</v>
      </c>
      <c r="AK55" s="217">
        <f t="shared" si="19"/>
        <v>48</v>
      </c>
      <c r="AL55" s="217">
        <f t="shared" si="19"/>
        <v>0</v>
      </c>
      <c r="AM55" s="217">
        <f t="shared" si="19"/>
        <v>18</v>
      </c>
      <c r="AN55" s="217">
        <f t="shared" si="19"/>
        <v>8</v>
      </c>
      <c r="AO55" s="217">
        <f>U55+AR52</f>
        <v>25</v>
      </c>
      <c r="AP55" s="66">
        <f t="shared" si="25"/>
        <v>136</v>
      </c>
      <c r="AQ55" s="110"/>
    </row>
    <row r="56" spans="1:45" x14ac:dyDescent="0.25">
      <c r="A56" t="s">
        <v>43</v>
      </c>
      <c r="B56" s="15" t="str">
        <f t="shared" si="26"/>
        <v>INN</v>
      </c>
      <c r="C56" s="18" t="s">
        <v>0</v>
      </c>
      <c r="D56" s="18" t="s">
        <v>335</v>
      </c>
      <c r="E56" s="18">
        <v>22</v>
      </c>
      <c r="F56" s="18">
        <v>70</v>
      </c>
      <c r="G56" s="111">
        <f t="shared" si="21"/>
        <v>0</v>
      </c>
      <c r="H56" s="111">
        <v>11</v>
      </c>
      <c r="I56" s="111">
        <v>12</v>
      </c>
      <c r="J56" s="111">
        <f t="shared" si="16"/>
        <v>2</v>
      </c>
      <c r="K56" s="111">
        <v>8</v>
      </c>
      <c r="L56" s="111">
        <v>5</v>
      </c>
      <c r="M56" s="111">
        <f t="shared" si="16"/>
        <v>2</v>
      </c>
      <c r="N56" s="47">
        <f>(8670+1165+135+125)*1.008</f>
        <v>10175.76</v>
      </c>
      <c r="O56" s="217">
        <f t="shared" si="16"/>
        <v>0</v>
      </c>
      <c r="P56" s="217">
        <v>37</v>
      </c>
      <c r="Q56" s="217">
        <v>48</v>
      </c>
      <c r="R56" s="217">
        <f t="shared" si="17"/>
        <v>0</v>
      </c>
      <c r="S56" s="217">
        <v>18</v>
      </c>
      <c r="T56" s="217">
        <v>8</v>
      </c>
      <c r="U56" s="217">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7">
        <f t="shared" si="23"/>
        <v>0</v>
      </c>
      <c r="AJ56" s="217">
        <f t="shared" si="19"/>
        <v>37</v>
      </c>
      <c r="AK56" s="217">
        <f t="shared" si="19"/>
        <v>48</v>
      </c>
      <c r="AL56" s="217">
        <f t="shared" si="19"/>
        <v>0</v>
      </c>
      <c r="AM56" s="217">
        <f t="shared" si="19"/>
        <v>18</v>
      </c>
      <c r="AN56" s="217">
        <f t="shared" si="19"/>
        <v>8</v>
      </c>
      <c r="AO56" s="217">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7">
        <f t="shared" si="16"/>
        <v>0</v>
      </c>
      <c r="P57" s="217">
        <f t="shared" si="17"/>
        <v>30</v>
      </c>
      <c r="Q57" s="217">
        <f t="shared" si="17"/>
        <v>13</v>
      </c>
      <c r="R57" s="217">
        <f t="shared" si="17"/>
        <v>42</v>
      </c>
      <c r="S57" s="217">
        <f t="shared" si="17"/>
        <v>8</v>
      </c>
      <c r="T57" s="217">
        <f t="shared" si="17"/>
        <v>18</v>
      </c>
      <c r="U57" s="217">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7">
        <f t="shared" si="23"/>
        <v>0</v>
      </c>
      <c r="AJ57" s="217">
        <f t="shared" si="19"/>
        <v>30</v>
      </c>
      <c r="AK57" s="217">
        <f t="shared" si="19"/>
        <v>13</v>
      </c>
      <c r="AL57" s="217">
        <f t="shared" si="19"/>
        <v>42</v>
      </c>
      <c r="AM57" s="217">
        <f t="shared" si="19"/>
        <v>8</v>
      </c>
      <c r="AN57" s="217">
        <f t="shared" si="19"/>
        <v>18</v>
      </c>
      <c r="AO57" s="217">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7">
        <f t="shared" si="16"/>
        <v>0</v>
      </c>
      <c r="P58" s="217">
        <f t="shared" si="17"/>
        <v>44</v>
      </c>
      <c r="Q58" s="217">
        <f t="shared" si="17"/>
        <v>3</v>
      </c>
      <c r="R58" s="217">
        <f t="shared" si="17"/>
        <v>33</v>
      </c>
      <c r="S58" s="217">
        <f t="shared" si="17"/>
        <v>8</v>
      </c>
      <c r="T58" s="217">
        <f t="shared" si="17"/>
        <v>16</v>
      </c>
      <c r="U58" s="217">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7">
        <f t="shared" si="23"/>
        <v>0</v>
      </c>
      <c r="AJ58" s="217">
        <f t="shared" si="19"/>
        <v>44</v>
      </c>
      <c r="AK58" s="217">
        <f t="shared" si="19"/>
        <v>3</v>
      </c>
      <c r="AL58" s="217">
        <f t="shared" si="19"/>
        <v>33</v>
      </c>
      <c r="AM58" s="217">
        <f t="shared" si="19"/>
        <v>8</v>
      </c>
      <c r="AN58" s="217">
        <f t="shared" si="19"/>
        <v>16</v>
      </c>
      <c r="AO58" s="217">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7">
        <f t="shared" si="16"/>
        <v>0</v>
      </c>
      <c r="P59" s="217">
        <f t="shared" si="17"/>
        <v>33</v>
      </c>
      <c r="Q59" s="217">
        <f t="shared" si="17"/>
        <v>9</v>
      </c>
      <c r="R59" s="217">
        <f t="shared" si="17"/>
        <v>35</v>
      </c>
      <c r="S59" s="217">
        <f t="shared" si="17"/>
        <v>4</v>
      </c>
      <c r="T59" s="217">
        <f t="shared" si="17"/>
        <v>18</v>
      </c>
      <c r="U59" s="217">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7">
        <f t="shared" si="23"/>
        <v>0</v>
      </c>
      <c r="AJ59" s="217">
        <f t="shared" si="19"/>
        <v>33</v>
      </c>
      <c r="AK59" s="217">
        <f t="shared" si="19"/>
        <v>9</v>
      </c>
      <c r="AL59" s="217">
        <f t="shared" si="19"/>
        <v>35</v>
      </c>
      <c r="AM59" s="217">
        <f t="shared" si="19"/>
        <v>4</v>
      </c>
      <c r="AN59" s="217">
        <f t="shared" si="19"/>
        <v>18</v>
      </c>
      <c r="AO59" s="217">
        <f>U59+AR52</f>
        <v>26</v>
      </c>
      <c r="AP59" s="66">
        <f>SUM(AI59:AO59)</f>
        <v>125</v>
      </c>
      <c r="AQ59" s="110"/>
    </row>
    <row r="60" spans="1:45" x14ac:dyDescent="0.25">
      <c r="A60" t="s">
        <v>42</v>
      </c>
      <c r="B60" s="15" t="str">
        <f t="shared" si="26"/>
        <v>DAV</v>
      </c>
      <c r="C60" s="18" t="s">
        <v>0</v>
      </c>
      <c r="D60" s="18" t="s">
        <v>337</v>
      </c>
      <c r="E60" s="18">
        <v>22</v>
      </c>
      <c r="F60" s="18">
        <v>64</v>
      </c>
      <c r="G60" s="111">
        <f t="shared" si="27"/>
        <v>0</v>
      </c>
      <c r="H60" s="111">
        <f t="shared" si="16"/>
        <v>2</v>
      </c>
      <c r="I60" s="111">
        <f t="shared" si="16"/>
        <v>2</v>
      </c>
      <c r="J60" s="111">
        <v>8</v>
      </c>
      <c r="K60" s="111">
        <v>8</v>
      </c>
      <c r="L60" s="111">
        <v>13</v>
      </c>
      <c r="M60" s="111">
        <v>10</v>
      </c>
      <c r="N60" s="47">
        <f>(12930+275+135)*1.023</f>
        <v>13646.819999999998</v>
      </c>
      <c r="O60" s="217">
        <f t="shared" si="16"/>
        <v>0</v>
      </c>
      <c r="P60" s="217">
        <f t="shared" si="17"/>
        <v>0</v>
      </c>
      <c r="Q60" s="217">
        <f t="shared" si="17"/>
        <v>0</v>
      </c>
      <c r="R60" s="217">
        <v>15</v>
      </c>
      <c r="S60" s="217">
        <v>18</v>
      </c>
      <c r="T60" s="217">
        <v>59</v>
      </c>
      <c r="U60" s="217">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7">
        <f t="shared" si="23"/>
        <v>0</v>
      </c>
      <c r="AJ60" s="217">
        <f t="shared" si="19"/>
        <v>0</v>
      </c>
      <c r="AK60" s="217">
        <f t="shared" si="19"/>
        <v>0</v>
      </c>
      <c r="AL60" s="217">
        <f t="shared" si="19"/>
        <v>15</v>
      </c>
      <c r="AM60" s="217">
        <f t="shared" si="19"/>
        <v>18</v>
      </c>
      <c r="AN60" s="217">
        <f t="shared" si="19"/>
        <v>59</v>
      </c>
      <c r="AO60" s="217">
        <f>U60+AR52</f>
        <v>33</v>
      </c>
      <c r="AP60" s="66">
        <f>SUM(AI60:AO60)</f>
        <v>125</v>
      </c>
      <c r="AQ60" s="110"/>
    </row>
    <row r="61" spans="1:45" x14ac:dyDescent="0.25">
      <c r="A61" t="s">
        <v>46</v>
      </c>
      <c r="B61" s="15" t="str">
        <f t="shared" si="26"/>
        <v>DAV</v>
      </c>
      <c r="C61" s="18" t="s">
        <v>45</v>
      </c>
      <c r="D61" s="18" t="s">
        <v>337</v>
      </c>
      <c r="E61" s="18">
        <v>22</v>
      </c>
      <c r="F61" s="18">
        <v>64</v>
      </c>
      <c r="G61" s="111">
        <f t="shared" si="27"/>
        <v>0</v>
      </c>
      <c r="H61" s="111">
        <f t="shared" si="16"/>
        <v>2</v>
      </c>
      <c r="I61" s="111">
        <f t="shared" si="16"/>
        <v>2</v>
      </c>
      <c r="J61" s="111">
        <v>8</v>
      </c>
      <c r="K61" s="111">
        <v>8</v>
      </c>
      <c r="L61" s="111">
        <v>13</v>
      </c>
      <c r="M61" s="111">
        <v>10</v>
      </c>
      <c r="N61" s="47">
        <f>(12930+275+135)*1.023</f>
        <v>13646.819999999998</v>
      </c>
      <c r="O61" s="217">
        <f t="shared" si="16"/>
        <v>0</v>
      </c>
      <c r="P61" s="217">
        <f t="shared" si="17"/>
        <v>0</v>
      </c>
      <c r="Q61" s="217">
        <f t="shared" si="17"/>
        <v>0</v>
      </c>
      <c r="R61" s="217">
        <v>15</v>
      </c>
      <c r="S61" s="217">
        <v>18</v>
      </c>
      <c r="T61" s="217">
        <v>59</v>
      </c>
      <c r="U61" s="217">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7">
        <f t="shared" si="23"/>
        <v>0</v>
      </c>
      <c r="AJ61" s="217">
        <f t="shared" si="19"/>
        <v>0</v>
      </c>
      <c r="AK61" s="217">
        <f t="shared" si="19"/>
        <v>0</v>
      </c>
      <c r="AL61" s="217">
        <f t="shared" si="19"/>
        <v>15</v>
      </c>
      <c r="AM61" s="217">
        <f t="shared" si="19"/>
        <v>18</v>
      </c>
      <c r="AN61" s="217">
        <f t="shared" si="19"/>
        <v>59</v>
      </c>
      <c r="AO61" s="217">
        <f>U61+AR52</f>
        <v>33</v>
      </c>
      <c r="AP61" s="66">
        <f>SUM(AI61:AO61)</f>
        <v>125</v>
      </c>
      <c r="AQ61" s="110"/>
    </row>
    <row r="62" spans="1:45" x14ac:dyDescent="0.25">
      <c r="A62" t="s">
        <v>334</v>
      </c>
      <c r="B62" s="15" t="str">
        <f t="shared" si="26"/>
        <v>DAV</v>
      </c>
      <c r="C62" s="18" t="s">
        <v>296</v>
      </c>
      <c r="D62" s="18" t="s">
        <v>337</v>
      </c>
      <c r="E62" s="18">
        <v>22</v>
      </c>
      <c r="F62" s="18">
        <v>64</v>
      </c>
      <c r="G62" s="111">
        <f t="shared" si="27"/>
        <v>0</v>
      </c>
      <c r="H62" s="111">
        <f t="shared" si="16"/>
        <v>2</v>
      </c>
      <c r="I62" s="111">
        <f t="shared" si="16"/>
        <v>2</v>
      </c>
      <c r="J62" s="111">
        <v>8</v>
      </c>
      <c r="K62" s="111">
        <v>8</v>
      </c>
      <c r="L62" s="111">
        <v>13</v>
      </c>
      <c r="M62" s="111">
        <v>10</v>
      </c>
      <c r="N62" s="47">
        <f>(12930+275+135)*1.023</f>
        <v>13646.819999999998</v>
      </c>
      <c r="O62" s="217">
        <f t="shared" si="16"/>
        <v>0</v>
      </c>
      <c r="P62" s="217">
        <f t="shared" si="17"/>
        <v>0</v>
      </c>
      <c r="Q62" s="217">
        <f t="shared" si="17"/>
        <v>0</v>
      </c>
      <c r="R62" s="217">
        <v>15</v>
      </c>
      <c r="S62" s="217">
        <v>18</v>
      </c>
      <c r="T62" s="217">
        <v>59</v>
      </c>
      <c r="U62" s="217">
        <v>8</v>
      </c>
      <c r="V62" s="66">
        <f>SUM(O62:U62)</f>
        <v>100</v>
      </c>
      <c r="X62" t="s">
        <v>334</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7">
        <f t="shared" si="23"/>
        <v>0</v>
      </c>
      <c r="AJ62" s="217">
        <f t="shared" si="19"/>
        <v>0</v>
      </c>
      <c r="AK62" s="217">
        <f t="shared" si="19"/>
        <v>0</v>
      </c>
      <c r="AL62" s="217">
        <f t="shared" si="19"/>
        <v>15</v>
      </c>
      <c r="AM62" s="217">
        <f t="shared" si="19"/>
        <v>18</v>
      </c>
      <c r="AN62" s="217">
        <f t="shared" si="19"/>
        <v>59</v>
      </c>
      <c r="AO62" s="217">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7"/>
  <sheetViews>
    <sheetView tabSelected="1" zoomScaleNormal="100" workbookViewId="0">
      <pane xSplit="4" ySplit="3" topLeftCell="E4" activePane="bottomRight" state="frozen"/>
      <selection pane="topRight" activeCell="E1" sqref="E1"/>
      <selection pane="bottomLeft" activeCell="A4" sqref="A4"/>
      <selection pane="bottomRight" activeCell="D13" sqref="D13"/>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0.42578125"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0">
        <v>42268</v>
      </c>
      <c r="AO1" t="s">
        <v>184</v>
      </c>
    </row>
    <row r="2" spans="1:45" x14ac:dyDescent="0.25">
      <c r="D2" s="30">
        <f ca="1">TODAY()</f>
        <v>43140</v>
      </c>
      <c r="I2" s="32">
        <f>AVERAGE(I4:I23)</f>
        <v>1.1350000000000002</v>
      </c>
      <c r="J2" s="32"/>
      <c r="N2" s="37">
        <f ca="1">AVERAGE(N4:N23)</f>
        <v>0.54235756129555646</v>
      </c>
      <c r="O2" s="32">
        <f>AVERAGE(O4:O23)</f>
        <v>4.53</v>
      </c>
      <c r="Q2" s="32">
        <f>AVERAGE(Q4:Q23)</f>
        <v>5.8</v>
      </c>
      <c r="R2" s="116">
        <f>AVERAGE(R4:R23)</f>
        <v>0.90796176861712574</v>
      </c>
      <c r="S2" s="116">
        <f>AVERAGE(S4:S23)</f>
        <v>0.96940836881103887</v>
      </c>
      <c r="T2" s="38">
        <f>SUM(T4:T23)</f>
        <v>49100</v>
      </c>
      <c r="U2" s="38">
        <f>SUM(U4:U23)</f>
        <v>2200</v>
      </c>
      <c r="V2" s="38">
        <f>SUM(V4:V23)</f>
        <v>7360</v>
      </c>
      <c r="W2" s="39">
        <f>T2/V2</f>
        <v>6.6711956521739131</v>
      </c>
      <c r="AD2" s="37">
        <f>AVERAGE(AD22:AD23)</f>
        <v>2.75</v>
      </c>
      <c r="AE2" s="33">
        <f>AVERAGE(AE22:AE23)</f>
        <v>407</v>
      </c>
      <c r="AF2" s="33"/>
      <c r="AK2" s="32"/>
      <c r="AL2" s="32"/>
      <c r="AM2" s="32"/>
      <c r="AN2" s="32"/>
      <c r="AO2" s="32">
        <f>AVERAGE(AO22:AO24)</f>
        <v>1</v>
      </c>
      <c r="AP2" s="32"/>
      <c r="AQ2" s="32">
        <f>AVERAGE(AQ22:AQ24)</f>
        <v>0.66666666666666663</v>
      </c>
    </row>
    <row r="3" spans="1:45"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175</v>
      </c>
      <c r="AJ3" s="14" t="s">
        <v>176</v>
      </c>
      <c r="AK3" s="14" t="s">
        <v>22</v>
      </c>
      <c r="AL3" s="14" t="s">
        <v>23</v>
      </c>
      <c r="AM3" s="14" t="s">
        <v>24</v>
      </c>
      <c r="AN3" s="14" t="s">
        <v>25</v>
      </c>
      <c r="AO3" s="10" t="s">
        <v>182</v>
      </c>
      <c r="AP3" s="10" t="s">
        <v>178</v>
      </c>
      <c r="AQ3" s="10" t="s">
        <v>179</v>
      </c>
      <c r="AR3" s="10" t="s">
        <v>180</v>
      </c>
      <c r="AS3" s="34" t="s">
        <v>292</v>
      </c>
    </row>
    <row r="4" spans="1:45" x14ac:dyDescent="0.25">
      <c r="A4" s="15" t="s">
        <v>29</v>
      </c>
      <c r="B4" s="15" t="s">
        <v>370</v>
      </c>
      <c r="C4" s="121">
        <f ca="1">((33*112)-(E4*112)-(F4))/112</f>
        <v>10.580357142857142</v>
      </c>
      <c r="D4" s="216" t="s">
        <v>450</v>
      </c>
      <c r="E4" s="1">
        <v>22</v>
      </c>
      <c r="F4" s="2">
        <f ca="1">8-659+D2-D1-112-62</f>
        <v>47</v>
      </c>
      <c r="G4" s="3" t="s">
        <v>296</v>
      </c>
      <c r="H4" s="4">
        <v>4</v>
      </c>
      <c r="I4" s="5">
        <v>2.4</v>
      </c>
      <c r="J4" s="22">
        <f>LOG(I4)*4/3</f>
        <v>0.50694832228214137</v>
      </c>
      <c r="K4" s="6">
        <f t="shared" ref="K4:K5" si="0">(H4)*(H4)*(I4)</f>
        <v>38.4</v>
      </c>
      <c r="L4" s="6">
        <f t="shared" ref="L4:L5" si="1">(H4+1)*(H4+1)*I4</f>
        <v>60</v>
      </c>
      <c r="M4" s="130">
        <v>43097</v>
      </c>
      <c r="N4" s="131">
        <f ca="1">IF((TODAY()-M4)&gt;335,1,((TODAY()-M4)^0.64)/(336^0.64))</f>
        <v>0.26826417179081041</v>
      </c>
      <c r="O4" s="25">
        <v>6</v>
      </c>
      <c r="P4" s="20">
        <f t="shared" ref="P4:P6" si="2">O4*10+19</f>
        <v>79</v>
      </c>
      <c r="Q4" s="26">
        <v>6</v>
      </c>
      <c r="R4" s="115">
        <f t="shared" ref="R4:R5" si="3">(Q4/7)^0.5</f>
        <v>0.92582009977255142</v>
      </c>
      <c r="S4" s="115">
        <f t="shared" ref="S4:S5" si="4">IF(Q4=7,1,((Q4+0.99)/7)^0.5)</f>
        <v>0.99928545900129484</v>
      </c>
      <c r="T4" s="29">
        <v>8520</v>
      </c>
      <c r="U4" s="29">
        <f>T4-AS4</f>
        <v>490</v>
      </c>
      <c r="V4" s="7">
        <v>710</v>
      </c>
      <c r="W4" s="8">
        <f t="shared" ref="W4:W5" si="5">T4/V4</f>
        <v>12</v>
      </c>
      <c r="X4" s="21">
        <v>0</v>
      </c>
      <c r="Y4" s="22">
        <v>7</v>
      </c>
      <c r="Z4" s="21">
        <v>2</v>
      </c>
      <c r="AA4" s="22">
        <v>5</v>
      </c>
      <c r="AB4" s="21">
        <f>7+0.25*11/90</f>
        <v>7.0305555555555559</v>
      </c>
      <c r="AC4" s="22">
        <f>5+1/21+1/21+1/21+1/21+1/21</f>
        <v>5.2380952380952372</v>
      </c>
      <c r="AD4" s="21">
        <v>4</v>
      </c>
      <c r="AE4" s="9">
        <v>645</v>
      </c>
      <c r="AF4" s="9">
        <v>1496</v>
      </c>
      <c r="AG4" s="23">
        <f ca="1">(AD4+1+(LOG(I4)*4/3)+N4)*(Q4/7)^0.5</f>
        <v>5.3468078074703058</v>
      </c>
      <c r="AH4" s="23">
        <f ca="1">(AD4+1+N4+(LOG(I4)*4/3))*(IF(Q4=7, (Q4/7)^0.5, ((Q4+1)/7)^0.5))</f>
        <v>5.7752124940729512</v>
      </c>
      <c r="AI4" s="120">
        <f ca="1">(Z4+N4+(LOG(I4)*4/3))*(Q4/7)^0.5</f>
        <v>2.5693475081526516</v>
      </c>
      <c r="AJ4" s="120">
        <f ca="1">(Z4+N4+(LOG(I4)*4/3))*(IF(Q4=7, (Q4/7)^0.5, ((Q4+1)/7)^0.5))</f>
        <v>2.7752124940729517</v>
      </c>
      <c r="AK4" s="8">
        <f ca="1">(((Y4+LOG(I4)*4/3+N4)+(AB4+LOG(I4)*4/3+N4)*2)/8)*(Q4/7)^0.5</f>
        <v>2.7064902395040407</v>
      </c>
      <c r="AL4" s="8">
        <f ca="1">(AD4+LOG(I4)*4/3+N4)*0.7+(AC4+LOG(I4)*4/3+N4)*0.3</f>
        <v>5.1466410655015231</v>
      </c>
      <c r="AM4" s="8">
        <f ca="1">(0.5*(AC4+LOG(I4)*4/3+N4)+ 0.3*(AD4+LOG(I4)*4/3+N4))/10</f>
        <v>0.44392176143059803</v>
      </c>
      <c r="AN4" s="8">
        <f ca="1">(0.4*(Y4+LOG(I4)*4/3+N4)+0.3*(AD4+LOG(I4)*4/3+N4))/10</f>
        <v>0.45426487458510667</v>
      </c>
      <c r="AO4" s="20">
        <v>4</v>
      </c>
      <c r="AP4" s="20">
        <v>1</v>
      </c>
      <c r="AQ4" s="20">
        <v>2</v>
      </c>
      <c r="AR4" s="129">
        <f t="shared" ref="AR4:AR5" si="6">IF(AP4=4,IF(AQ4=0,0.137+0.0697,0.137+0.02),IF(AP4=3,IF(AQ4=0,0.0958+0.0697,0.0958+0.02),IF(AP4=2,IF(AQ4=0,0.0415+0.0697,0.0415+0.02),IF(AP4=1,IF(AQ4=0,0.0294+0.0697,0.0294+0.02),IF(AP4=0,IF(AQ4=0,0.0063+0.0697,0.0063+0.02))))))</f>
        <v>4.9399999999999999E-2</v>
      </c>
      <c r="AS4">
        <v>8030</v>
      </c>
    </row>
    <row r="5" spans="1:45" x14ac:dyDescent="0.25">
      <c r="A5" s="15" t="s">
        <v>369</v>
      </c>
      <c r="B5" s="15" t="s">
        <v>370</v>
      </c>
      <c r="C5" s="121">
        <f t="shared" ref="C5" ca="1" si="7">((33*112)-(E5*112)-(F5))/112</f>
        <v>15.098214285714286</v>
      </c>
      <c r="D5" s="215" t="s">
        <v>306</v>
      </c>
      <c r="E5" s="16">
        <v>17</v>
      </c>
      <c r="F5" s="2">
        <f ca="1">8-159+16-570-5+D2-D1-2-12-49+9-11+44-40</f>
        <v>101</v>
      </c>
      <c r="G5" s="18" t="s">
        <v>177</v>
      </c>
      <c r="H5" s="4">
        <v>3</v>
      </c>
      <c r="I5" s="27">
        <v>1</v>
      </c>
      <c r="J5" s="22">
        <f t="shared" ref="J5" si="8">LOG(I5)*4/3</f>
        <v>0</v>
      </c>
      <c r="K5" s="6">
        <f t="shared" si="0"/>
        <v>9</v>
      </c>
      <c r="L5" s="6">
        <f t="shared" si="1"/>
        <v>16</v>
      </c>
      <c r="M5" s="130">
        <v>43046</v>
      </c>
      <c r="N5" s="131">
        <f t="shared" ref="N5" ca="1" si="9">IF((TODAY()-M5)&gt;335,1,((TODAY()-M5)^0.64)/(336^0.64))</f>
        <v>0.44253200842626411</v>
      </c>
      <c r="O5" s="19">
        <v>4</v>
      </c>
      <c r="P5" s="20">
        <f t="shared" si="2"/>
        <v>59</v>
      </c>
      <c r="Q5" s="26">
        <v>4</v>
      </c>
      <c r="R5" s="115">
        <f t="shared" si="3"/>
        <v>0.7559289460184544</v>
      </c>
      <c r="S5" s="115">
        <f t="shared" si="4"/>
        <v>0.84430867747355465</v>
      </c>
      <c r="T5" s="29">
        <v>480</v>
      </c>
      <c r="U5" s="29">
        <f t="shared" ref="U5" si="10">T5-AS5</f>
        <v>-20</v>
      </c>
      <c r="V5" s="29">
        <v>250</v>
      </c>
      <c r="W5" s="8">
        <f t="shared" si="5"/>
        <v>1.92</v>
      </c>
      <c r="X5" s="21">
        <v>0</v>
      </c>
      <c r="Y5" s="22">
        <v>4</v>
      </c>
      <c r="Z5" s="21">
        <v>4</v>
      </c>
      <c r="AA5" s="22">
        <v>3</v>
      </c>
      <c r="AB5" s="21">
        <f>4+0.25+(0.25*0.16*3/90)+0.25*3/90*0.16+0.25*0.16</f>
        <v>4.2926666666666664</v>
      </c>
      <c r="AC5" s="22">
        <f>3+1/15+1/15+1/15</f>
        <v>3.2000000000000006</v>
      </c>
      <c r="AD5" s="21">
        <v>0.4</v>
      </c>
      <c r="AE5" s="9">
        <v>360</v>
      </c>
      <c r="AF5" s="9">
        <v>1991</v>
      </c>
      <c r="AG5" s="23">
        <f t="shared" ref="AG5" ca="1" si="11">(AD5+1+(LOG(I5)*4/3)+N5)*(Q5/7)^0.5</f>
        <v>1.3928232791349318</v>
      </c>
      <c r="AH5" s="23">
        <f t="shared" ref="AH5" ca="1" si="12">(AD5+1+N5+(LOG(I5)*4/3))*(IF(Q5=7, (Q5/7)^0.5, ((Q5+1)/7)^0.5))</f>
        <v>1.557223766394936</v>
      </c>
      <c r="AI5" s="120">
        <f t="shared" ref="AI5" ca="1" si="13">(Z5+N5+(LOG(I5)*4/3))*(Q5/7)^0.5</f>
        <v>3.358238538782913</v>
      </c>
      <c r="AJ5" s="120">
        <f t="shared" ref="AJ5" ca="1" si="14">(Z5+N5+(LOG(I5)*4/3))*(IF(Q5=7, (Q5/7)^0.5, ((Q5+1)/7)^0.5))</f>
        <v>3.7546248286890793</v>
      </c>
      <c r="AK5" s="8">
        <f t="shared" ref="AK5" ca="1" si="15">(((Y5+LOG(I5)*4/3+N5)+(AB5+LOG(I5)*4/3+N5)*2)/8)*(Q5/7)^0.5</f>
        <v>1.3146482532606092</v>
      </c>
      <c r="AL5" s="8">
        <f t="shared" ref="AL5" ca="1" si="16">(AD5+LOG(I5)*4/3+N5)*0.7+(AC5+LOG(I5)*4/3+N5)*0.3</f>
        <v>1.6825320084262643</v>
      </c>
      <c r="AM5" s="8">
        <f t="shared" ref="AM5" ca="1" si="17">(0.5*(AC5+LOG(I5)*4/3+N5)+ 0.3*(AD5+LOG(I5)*4/3+N5))/10</f>
        <v>0.20740256067410115</v>
      </c>
      <c r="AN5" s="8">
        <f t="shared" ref="AN5" ca="1" si="18">(0.4*(Y5+LOG(I5)*4/3+N5)+0.3*(AD5+LOG(I5)*4/3+N5))/10</f>
        <v>0.20297724058983851</v>
      </c>
      <c r="AO5" s="20">
        <v>1</v>
      </c>
      <c r="AP5" s="20">
        <v>1</v>
      </c>
      <c r="AQ5" s="20">
        <v>3</v>
      </c>
      <c r="AR5" s="129">
        <f t="shared" si="6"/>
        <v>4.9399999999999999E-2</v>
      </c>
      <c r="AS5">
        <v>500</v>
      </c>
    </row>
    <row r="6" spans="1:45" x14ac:dyDescent="0.25">
      <c r="A6" s="15" t="s">
        <v>39</v>
      </c>
      <c r="B6" s="15" t="s">
        <v>370</v>
      </c>
      <c r="C6" s="121">
        <f ca="1">((33*112)-(E6*112)-(F6))/112</f>
        <v>15.571428571428571</v>
      </c>
      <c r="D6" s="215" t="s">
        <v>451</v>
      </c>
      <c r="E6" s="16">
        <v>17</v>
      </c>
      <c r="F6" s="17">
        <f ca="1">72+D2-D1-112-112-112-112-112+17-112-112+10-112-27</f>
        <v>48</v>
      </c>
      <c r="G6" s="18"/>
      <c r="H6" s="4">
        <v>1</v>
      </c>
      <c r="I6" s="27">
        <v>1.3</v>
      </c>
      <c r="J6" s="22">
        <f>LOG(I6)*4/3</f>
        <v>0.15192446974244905</v>
      </c>
      <c r="K6" s="6">
        <f>(H6)*(H6)*(I6)</f>
        <v>1.3</v>
      </c>
      <c r="L6" s="6">
        <f>(H6+1)*(H6+1)*I6</f>
        <v>5.2</v>
      </c>
      <c r="M6" s="130">
        <v>43097</v>
      </c>
      <c r="N6" s="131">
        <v>1.5</v>
      </c>
      <c r="O6" s="19">
        <v>3.8</v>
      </c>
      <c r="P6" s="20">
        <f t="shared" si="2"/>
        <v>57</v>
      </c>
      <c r="Q6" s="20">
        <v>5</v>
      </c>
      <c r="R6" s="115">
        <f>(Q6/7)^0.5</f>
        <v>0.84515425472851657</v>
      </c>
      <c r="S6" s="115">
        <f>IF(Q6=7,1,((Q6+0.99)/7)^0.5)</f>
        <v>0.92504826128926143</v>
      </c>
      <c r="T6" s="29">
        <v>1430</v>
      </c>
      <c r="U6" s="29">
        <f>T6-AS6</f>
        <v>60</v>
      </c>
      <c r="V6" s="29">
        <v>470</v>
      </c>
      <c r="W6" s="8">
        <f>T6/V6</f>
        <v>3.0425531914893615</v>
      </c>
      <c r="X6" s="21">
        <v>0</v>
      </c>
      <c r="Y6" s="22">
        <v>5</v>
      </c>
      <c r="Z6" s="21">
        <v>6.7</v>
      </c>
      <c r="AA6" s="22">
        <v>3</v>
      </c>
      <c r="AB6" s="21">
        <v>3</v>
      </c>
      <c r="AC6" s="22">
        <f>3+1/15+1/15+1/15+1/15+1/15*80/90</f>
        <v>3.3259259259259268</v>
      </c>
      <c r="AD6" s="21">
        <v>2</v>
      </c>
      <c r="AE6" s="9">
        <v>442</v>
      </c>
      <c r="AF6" s="9">
        <v>2015</v>
      </c>
      <c r="AG6" s="23">
        <f>(AD6+1+(LOG(I6)*4/3)+N6)*(Q6/7)^0.5</f>
        <v>3.9315937582785287</v>
      </c>
      <c r="AH6" s="23">
        <f>(AD6+1+N6+(LOG(I6)*4/3))*(IF(Q6=7, (Q6/7)^0.5, ((Q6+1)/7)^0.5))</f>
        <v>4.3068451767113274</v>
      </c>
      <c r="AI6" s="120">
        <f>(Z6+N6+(LOG(I6)*4/3))*(Q6/7)^0.5</f>
        <v>7.0586645007740394</v>
      </c>
      <c r="AJ6" s="120">
        <f>(Z6+N6+(LOG(I6)*4/3))*(IF(Q6=7, (Q6/7)^0.5, ((Q6+1)/7)^0.5))</f>
        <v>7.7323795458697671</v>
      </c>
      <c r="AK6" s="8">
        <f>(((Y6+LOG(I6)*4/3+N6)+(AB6+LOG(I6)*4/3+N6)*2)/8)*(Q6/7)^0.5</f>
        <v>1.6856362230365776</v>
      </c>
      <c r="AL6" s="8">
        <f>(AD6+LOG(I6)*4/3+N6)*0.7+(AC6+LOG(I6)*4/3+N6)*0.3</f>
        <v>4.0497022475202273</v>
      </c>
      <c r="AM6" s="8">
        <f>(0.5*(AC6+LOG(I6)*4/3+N6)+ 0.3*(AD6+LOG(I6)*4/3+N6))/10</f>
        <v>0.35845025387569229</v>
      </c>
      <c r="AN6" s="8">
        <f>(0.4*(Y6+LOG(I6)*4/3+N6)+0.3*(AD6+LOG(I6)*4/3+N6))/10</f>
        <v>0.37563471288197148</v>
      </c>
      <c r="AO6" s="20">
        <v>2</v>
      </c>
      <c r="AP6" s="20">
        <v>2</v>
      </c>
      <c r="AQ6" s="20">
        <v>1</v>
      </c>
      <c r="AR6" s="129">
        <f>IF(AP6=4,IF(AQ6=0,0.137+0.0697,0.137+0.02),IF(AP6=3,IF(AQ6=0,0.0958+0.0697,0.0958+0.02),IF(AP6=2,IF(AQ6=0,0.0415+0.0697,0.0415+0.02),IF(AP6=1,IF(AQ6=0,0.0294+0.0697,0.0294+0.02),IF(AP6=0,IF(AQ6=0,0.0063+0.0697,0.0063+0.02))))))</f>
        <v>6.1499999999999999E-2</v>
      </c>
      <c r="AS6">
        <v>1370</v>
      </c>
    </row>
    <row r="7" spans="1:45" x14ac:dyDescent="0.25">
      <c r="A7" s="15" t="s">
        <v>41</v>
      </c>
      <c r="B7" s="15" t="s">
        <v>194</v>
      </c>
      <c r="C7" s="121">
        <f ca="1">((33*112)-(E7*112)-(F7))/112</f>
        <v>15.071428571428571</v>
      </c>
      <c r="D7" s="226" t="s">
        <v>308</v>
      </c>
      <c r="E7" s="16">
        <v>17</v>
      </c>
      <c r="F7" s="2">
        <f ca="1">8-159+16-570-5+D2-D1-2-31-25</f>
        <v>104</v>
      </c>
      <c r="G7" s="18" t="s">
        <v>296</v>
      </c>
      <c r="H7" s="40">
        <v>6</v>
      </c>
      <c r="I7" s="27">
        <v>1.5</v>
      </c>
      <c r="J7" s="22">
        <f>LOG(I7)*4/3</f>
        <v>0.23478834540757498</v>
      </c>
      <c r="K7" s="6">
        <f>(H7)*(H7)*(I7)</f>
        <v>54</v>
      </c>
      <c r="L7" s="6">
        <f>(H7+1)*(H7+1)*I7</f>
        <v>73.5</v>
      </c>
      <c r="M7" s="130">
        <v>43051</v>
      </c>
      <c r="N7" s="131">
        <f ca="1">IF((TODAY()-M7)&gt;335,1,((TODAY()-M7)^0.64)/(336^0.64))</f>
        <v>0.42731925909466745</v>
      </c>
      <c r="O7" s="19">
        <v>5</v>
      </c>
      <c r="P7" s="20">
        <f>O7*10+19</f>
        <v>69</v>
      </c>
      <c r="Q7" s="26">
        <v>5</v>
      </c>
      <c r="R7" s="115">
        <f>(Q7/7)^0.5</f>
        <v>0.84515425472851657</v>
      </c>
      <c r="S7" s="115">
        <f>IF(Q7=7,1,((Q7+0.99)/7)^0.5)</f>
        <v>0.92504826128926143</v>
      </c>
      <c r="T7" s="29">
        <v>2860</v>
      </c>
      <c r="U7" s="29">
        <f>T7-AS7</f>
        <v>250</v>
      </c>
      <c r="V7" s="29">
        <v>330</v>
      </c>
      <c r="W7" s="8">
        <f>T7/V7</f>
        <v>8.6666666666666661</v>
      </c>
      <c r="X7" s="21">
        <v>0</v>
      </c>
      <c r="Y7" s="22">
        <v>6</v>
      </c>
      <c r="Z7" s="21">
        <v>3</v>
      </c>
      <c r="AA7" s="22">
        <v>3</v>
      </c>
      <c r="AB7" s="21">
        <f>5.4+0.2+0.2+0.2</f>
        <v>6.0000000000000009</v>
      </c>
      <c r="AC7" s="22">
        <f>3.34+0.34+0.33+0.33+0.33+0.33+0.33</f>
        <v>5.33</v>
      </c>
      <c r="AD7" s="21">
        <v>3</v>
      </c>
      <c r="AE7" s="9">
        <v>540</v>
      </c>
      <c r="AF7" s="9">
        <v>2033</v>
      </c>
      <c r="AG7" s="23">
        <f t="shared" ref="AG7:AG20" ca="1" si="19">(AD7+1+(LOG(I7)*4/3)+N7)*(Q7/7)^0.5</f>
        <v>3.9402000779472419</v>
      </c>
      <c r="AH7" s="23">
        <f t="shared" ref="AH7:AH20" ca="1" si="20">(AD7+1+N7+(LOG(I7)*4/3))*(IF(Q7=7, (Q7/7)^0.5, ((Q7+1)/7)^0.5))</f>
        <v>4.3162729275506369</v>
      </c>
      <c r="AI7" s="120">
        <f t="shared" ref="AI7:AI20" ca="1" si="21">(Z7+N7+(LOG(I7)*4/3))*(Q7/7)^0.5</f>
        <v>3.0950458232187259</v>
      </c>
      <c r="AJ7" s="120">
        <f t="shared" ref="AJ7:AJ20" ca="1" si="22">(Z7+N7+(LOG(I7)*4/3))*(IF(Q7=7, (Q7/7)^0.5, ((Q7+1)/7)^0.5))</f>
        <v>3.390452827778085</v>
      </c>
      <c r="AK7" s="8">
        <f t="shared" ref="AK7:AK20" ca="1" si="23">(((Y7+LOG(I7)*4/3+N7)+(AB7+LOG(I7)*4/3+N7)*2)/8)*(Q7/7)^0.5</f>
        <v>2.1114407202766032</v>
      </c>
      <c r="AL7" s="8">
        <f t="shared" ref="AL7:AL20" ca="1" si="24">(AD7+LOG(I7)*4/3+N7)*0.7+(AC7+LOG(I7)*4/3+N7)*0.3</f>
        <v>4.3611076045022417</v>
      </c>
      <c r="AM7" s="8">
        <f t="shared" ref="AM7:AM20" ca="1" si="25">(0.5*(AC7+LOG(I7)*4/3+N7)+ 0.3*(AD7+LOG(I7)*4/3+N7))/10</f>
        <v>0.40946860836017934</v>
      </c>
      <c r="AN7" s="8">
        <f t="shared" ref="AN7:AN20" ca="1" si="26">(0.4*(Y7+LOG(I7)*4/3+N7)+0.3*(AD7+LOG(I7)*4/3+N7))/10</f>
        <v>0.37634753231515694</v>
      </c>
      <c r="AO7" s="20">
        <v>2</v>
      </c>
      <c r="AP7" s="20">
        <v>2</v>
      </c>
      <c r="AQ7" s="20">
        <v>1</v>
      </c>
      <c r="AR7" s="129">
        <f>IF(AP7=4,IF(AQ7=0,0.137+0.0697,0.137+0.02),IF(AP7=3,IF(AQ7=0,0.0958+0.0697,0.0958+0.02),IF(AP7=2,IF(AQ7=0,0.0415+0.0697,0.0415+0.02),IF(AP7=1,IF(AQ7=0,0.0294+0.0697,0.0294+0.02),IF(AP7=0,IF(AQ7=0,0.0063+0.0697,0.0063+0.02))))))</f>
        <v>6.1499999999999999E-2</v>
      </c>
      <c r="AS7">
        <v>2610</v>
      </c>
    </row>
    <row r="8" spans="1:45" x14ac:dyDescent="0.25">
      <c r="A8" s="15" t="s">
        <v>38</v>
      </c>
      <c r="B8" s="15" t="s">
        <v>194</v>
      </c>
      <c r="C8" s="121">
        <f ca="1">((33*112)-(E8*112)-(F8))/112</f>
        <v>14.982142857142858</v>
      </c>
      <c r="D8" s="226" t="s">
        <v>382</v>
      </c>
      <c r="E8" s="16">
        <v>18</v>
      </c>
      <c r="F8" s="2">
        <f ca="1">8-159+16-570-5+D2-D1-2-31-15-112</f>
        <v>2</v>
      </c>
      <c r="G8" s="18" t="s">
        <v>70</v>
      </c>
      <c r="H8" s="4">
        <v>0</v>
      </c>
      <c r="I8" s="27">
        <v>1.7</v>
      </c>
      <c r="J8" s="22">
        <f>LOG(I8)*4/3</f>
        <v>0.30726522850436522</v>
      </c>
      <c r="K8" s="6">
        <f>(H8)*(H8)*(I8)</f>
        <v>0</v>
      </c>
      <c r="L8" s="6">
        <f>(H8+1)*(H8+1)*I8</f>
        <v>1.7</v>
      </c>
      <c r="M8" s="130">
        <v>43081</v>
      </c>
      <c r="N8" s="131">
        <f ca="1">IF((TODAY()-M8)&gt;335,1,((TODAY()-M8)^0.64)/(336^0.64))</f>
        <v>0.3284642817654399</v>
      </c>
      <c r="O8" s="19">
        <v>3.5</v>
      </c>
      <c r="P8" s="20">
        <f>O8*10+19</f>
        <v>54</v>
      </c>
      <c r="Q8" s="26">
        <v>7</v>
      </c>
      <c r="R8" s="115">
        <f>(Q8/7)^0.5</f>
        <v>1</v>
      </c>
      <c r="S8" s="115">
        <f>IF(Q8=7,1,((Q8+0.99)/7)^0.5)</f>
        <v>1</v>
      </c>
      <c r="T8" s="29">
        <v>6830</v>
      </c>
      <c r="U8" s="29">
        <f>T8-AS8</f>
        <v>390</v>
      </c>
      <c r="V8" s="29">
        <v>550</v>
      </c>
      <c r="W8" s="8">
        <f>T8/V8</f>
        <v>12.418181818181818</v>
      </c>
      <c r="X8" s="21">
        <v>0</v>
      </c>
      <c r="Y8" s="22">
        <v>6</v>
      </c>
      <c r="Z8" s="21">
        <v>5</v>
      </c>
      <c r="AA8" s="22">
        <v>6</v>
      </c>
      <c r="AB8" s="21">
        <f>5.8+0.2+0.2</f>
        <v>6.2</v>
      </c>
      <c r="AC8" s="22">
        <f>5+0.34+0.33+0.33+0.25+0.25</f>
        <v>6.5</v>
      </c>
      <c r="AD8" s="21">
        <v>0</v>
      </c>
      <c r="AE8" s="9">
        <v>690</v>
      </c>
      <c r="AF8" s="9">
        <v>2197</v>
      </c>
      <c r="AG8" s="23">
        <f t="shared" ca="1" si="19"/>
        <v>1.6357295102698053</v>
      </c>
      <c r="AH8" s="23">
        <f t="shared" ca="1" si="20"/>
        <v>1.6357295102698051</v>
      </c>
      <c r="AI8" s="120">
        <f t="shared" ca="1" si="21"/>
        <v>5.6357295102698046</v>
      </c>
      <c r="AJ8" s="120">
        <f t="shared" ca="1" si="22"/>
        <v>5.6357295102698046</v>
      </c>
      <c r="AK8" s="8">
        <f t="shared" ca="1" si="23"/>
        <v>2.5383985663511766</v>
      </c>
      <c r="AL8" s="8">
        <f t="shared" ca="1" si="24"/>
        <v>2.5857295102698048</v>
      </c>
      <c r="AM8" s="8">
        <f t="shared" ca="1" si="25"/>
        <v>0.37585836082158436</v>
      </c>
      <c r="AN8" s="8">
        <f t="shared" ca="1" si="26"/>
        <v>0.28450106571888634</v>
      </c>
      <c r="AO8" s="20">
        <v>1</v>
      </c>
      <c r="AP8" s="20">
        <v>2</v>
      </c>
      <c r="AQ8" s="20">
        <v>2</v>
      </c>
      <c r="AR8" s="129">
        <f>IF(AP8=4,IF(AQ8=0,0.137+0.0697,0.137+0.02),IF(AP8=3,IF(AQ8=0,0.0958+0.0697,0.0958+0.02),IF(AP8=2,IF(AQ8=0,0.0415+0.0697,0.0415+0.02),IF(AP8=1,IF(AQ8=0,0.0294+0.0697,0.0294+0.02),IF(AP8=0,IF(AQ8=0,0.0063+0.0697,0.0063+0.02))))))</f>
        <v>6.1499999999999999E-2</v>
      </c>
      <c r="AS8" s="214">
        <v>6440</v>
      </c>
    </row>
    <row r="9" spans="1:45" x14ac:dyDescent="0.25">
      <c r="A9" s="15" t="s">
        <v>364</v>
      </c>
      <c r="B9" s="24" t="s">
        <v>194</v>
      </c>
      <c r="C9" s="121">
        <f ca="1">((33*112)-(E9*112)-(F9))/112</f>
        <v>14.678571428571429</v>
      </c>
      <c r="D9" s="216" t="s">
        <v>301</v>
      </c>
      <c r="E9" s="1">
        <v>18</v>
      </c>
      <c r="F9" s="2">
        <f ca="1">8-159+16-570-5+D2-D1-2-12-112</f>
        <v>36</v>
      </c>
      <c r="G9" s="3" t="s">
        <v>70</v>
      </c>
      <c r="H9" s="4">
        <v>2</v>
      </c>
      <c r="I9" s="5">
        <v>0.5</v>
      </c>
      <c r="J9" s="22">
        <f>LOG(I9)*4/3</f>
        <v>-0.40137332755197491</v>
      </c>
      <c r="K9" s="6">
        <f>(H9)*(H9)*(I9)</f>
        <v>2</v>
      </c>
      <c r="L9" s="6">
        <f>(H9+1)*(H9+1)*I9</f>
        <v>4.5</v>
      </c>
      <c r="M9" s="130">
        <v>43046</v>
      </c>
      <c r="N9" s="131">
        <f ca="1">IF((TODAY()-M9)&gt;335,1,((TODAY()-M9)^0.64)/(336^0.64))</f>
        <v>0.44253200842626411</v>
      </c>
      <c r="O9" s="25">
        <v>5.4</v>
      </c>
      <c r="P9" s="20">
        <f>O9*10+19</f>
        <v>73</v>
      </c>
      <c r="Q9" s="26">
        <v>6</v>
      </c>
      <c r="R9" s="115">
        <f>(Q9/7)^0.5</f>
        <v>0.92582009977255142</v>
      </c>
      <c r="S9" s="115">
        <f>IF(Q9=7,1,((Q9+0.99)/7)^0.5)</f>
        <v>0.99928545900129484</v>
      </c>
      <c r="T9" s="29">
        <v>2510</v>
      </c>
      <c r="U9" s="29">
        <f>T9-AS9</f>
        <v>110</v>
      </c>
      <c r="V9" s="7">
        <v>450</v>
      </c>
      <c r="W9" s="8">
        <f>T9/V9</f>
        <v>5.5777777777777775</v>
      </c>
      <c r="X9" s="21">
        <v>0</v>
      </c>
      <c r="Y9" s="22">
        <v>6</v>
      </c>
      <c r="Z9" s="21">
        <v>4</v>
      </c>
      <c r="AA9" s="22">
        <v>4</v>
      </c>
      <c r="AB9" s="21">
        <f>2.67+0.33+0.33*0.16+0.25+0.25</f>
        <v>3.5528</v>
      </c>
      <c r="AC9" s="22">
        <f>3.27+0.33+1/15+1/15+1/15+1/15+1/15+1/15</f>
        <v>4.0000000000000009</v>
      </c>
      <c r="AD9" s="21">
        <v>6</v>
      </c>
      <c r="AE9" s="9">
        <v>488</v>
      </c>
      <c r="AF9" s="9">
        <v>1928</v>
      </c>
      <c r="AG9" s="23">
        <f t="shared" ca="1" si="19"/>
        <v>6.5188462324414003</v>
      </c>
      <c r="AH9" s="23">
        <f t="shared" ca="1" si="20"/>
        <v>7.0411586808742888</v>
      </c>
      <c r="AI9" s="120">
        <f t="shared" ca="1" si="21"/>
        <v>3.7413859331237465</v>
      </c>
      <c r="AJ9" s="120">
        <f t="shared" ca="1" si="22"/>
        <v>4.0411586808742888</v>
      </c>
      <c r="AK9" s="8">
        <f t="shared" ca="1" si="23"/>
        <v>1.5309680627099718</v>
      </c>
      <c r="AL9" s="8">
        <f t="shared" ca="1" si="24"/>
        <v>5.4411586808742882</v>
      </c>
      <c r="AM9" s="8">
        <f t="shared" ca="1" si="25"/>
        <v>0.38329269446994318</v>
      </c>
      <c r="AN9" s="8">
        <f t="shared" ca="1" si="26"/>
        <v>0.42288110766120024</v>
      </c>
      <c r="AO9" s="20">
        <v>2</v>
      </c>
      <c r="AP9" s="20">
        <v>0</v>
      </c>
      <c r="AQ9" s="20">
        <v>3</v>
      </c>
      <c r="AR9" s="129">
        <f>IF(AP9=4,IF(AQ9=0,0.137+0.0697,0.137+0.02),IF(AP9=3,IF(AQ9=0,0.0958+0.0697,0.0958+0.02),IF(AP9=2,IF(AQ9=0,0.0415+0.0697,0.0415+0.02),IF(AP9=1,IF(AQ9=0,0.0294+0.0697,0.0294+0.02),IF(AP9=0,IF(AQ9=0,0.0063+0.0697,0.0063+0.02))))))</f>
        <v>2.63E-2</v>
      </c>
      <c r="AS9">
        <v>2400</v>
      </c>
    </row>
    <row r="10" spans="1:45" x14ac:dyDescent="0.25">
      <c r="A10" s="15" t="s">
        <v>309</v>
      </c>
      <c r="B10" s="15" t="s">
        <v>194</v>
      </c>
      <c r="C10" s="121">
        <f t="shared" ref="C10:C12" ca="1" si="27">((33*112)-(E10*112)-(F10))/112</f>
        <v>15.107142857142858</v>
      </c>
      <c r="D10" s="216" t="s">
        <v>299</v>
      </c>
      <c r="E10" s="1">
        <v>17</v>
      </c>
      <c r="F10" s="2">
        <f ca="1">8-159+16-570-5+D2-D1-2-60</f>
        <v>100</v>
      </c>
      <c r="G10" s="3" t="s">
        <v>296</v>
      </c>
      <c r="H10" s="4">
        <v>3</v>
      </c>
      <c r="I10" s="5">
        <v>1.3</v>
      </c>
      <c r="J10" s="22">
        <f t="shared" ref="J10:J12" si="28">LOG(I10)*4/3</f>
        <v>0.15192446974244905</v>
      </c>
      <c r="K10" s="6">
        <f t="shared" ref="K10:K13" si="29">(H10)*(H10)*(I10)</f>
        <v>11.700000000000001</v>
      </c>
      <c r="L10" s="6">
        <f t="shared" ref="L10:L13" si="30">(H10+1)*(H10+1)*I10</f>
        <v>20.8</v>
      </c>
      <c r="M10" s="130">
        <v>43045</v>
      </c>
      <c r="N10" s="131">
        <f t="shared" ref="N10:N12" ca="1" si="31">IF((TODAY()-M10)&gt;335,1,((TODAY()-M10)^0.64)/(336^0.64))</f>
        <v>0.4455392504211515</v>
      </c>
      <c r="O10" s="25">
        <v>5</v>
      </c>
      <c r="P10" s="20">
        <f t="shared" ref="P10:P13" si="32">O10*10+19</f>
        <v>69</v>
      </c>
      <c r="Q10" s="26">
        <v>5</v>
      </c>
      <c r="R10" s="115">
        <f t="shared" ref="R10:R12" si="33">(Q10/7)^0.5</f>
        <v>0.84515425472851657</v>
      </c>
      <c r="S10" s="115">
        <f t="shared" ref="S10:S12" si="34">IF(Q10=7,1,((Q10+0.99)/7)^0.5)</f>
        <v>0.92504826128926143</v>
      </c>
      <c r="T10" s="29">
        <v>1060</v>
      </c>
      <c r="U10" s="29">
        <f t="shared" ref="U10:U12" si="35">T10-AS10</f>
        <v>-10</v>
      </c>
      <c r="V10" s="7">
        <v>330</v>
      </c>
      <c r="W10" s="8">
        <f t="shared" ref="W10:W13" si="36">T10/V10</f>
        <v>3.2121212121212119</v>
      </c>
      <c r="X10" s="21">
        <v>0</v>
      </c>
      <c r="Y10" s="22">
        <v>5</v>
      </c>
      <c r="Z10" s="21">
        <v>3</v>
      </c>
      <c r="AA10" s="22">
        <v>4</v>
      </c>
      <c r="AB10" s="21">
        <v>3</v>
      </c>
      <c r="AC10" s="22">
        <f>3.73+1/15+1/15+1/15+1/15+1/15+1/15+1/15</f>
        <v>4.1966666666666672</v>
      </c>
      <c r="AD10" s="21">
        <v>3</v>
      </c>
      <c r="AE10" s="9">
        <v>401</v>
      </c>
      <c r="AF10" s="9">
        <v>1900</v>
      </c>
      <c r="AG10" s="23">
        <f t="shared" ca="1" si="19"/>
        <v>3.8855660240562608</v>
      </c>
      <c r="AH10" s="23">
        <f t="shared" ca="1" si="20"/>
        <v>4.2564243201025498</v>
      </c>
      <c r="AI10" s="120">
        <f t="shared" ca="1" si="21"/>
        <v>3.0404117693277444</v>
      </c>
      <c r="AJ10" s="120">
        <f t="shared" ca="1" si="22"/>
        <v>3.3306042203299988</v>
      </c>
      <c r="AK10" s="8">
        <f t="shared" ca="1" si="23"/>
        <v>1.3514429771800334</v>
      </c>
      <c r="AL10" s="8">
        <f t="shared" ca="1" si="24"/>
        <v>3.9564637201636002</v>
      </c>
      <c r="AM10" s="8">
        <f t="shared" ca="1" si="25"/>
        <v>0.34763043094642143</v>
      </c>
      <c r="AN10" s="8">
        <f t="shared" ca="1" si="26"/>
        <v>0.33182246041145202</v>
      </c>
      <c r="AO10" s="20">
        <v>3</v>
      </c>
      <c r="AP10" s="20">
        <v>1</v>
      </c>
      <c r="AQ10" s="20">
        <v>2</v>
      </c>
      <c r="AR10" s="129">
        <f t="shared" ref="AR10:AR12" si="37">IF(AP10=4,IF(AQ10=0,0.137+0.0697,0.137+0.02),IF(AP10=3,IF(AQ10=0,0.0958+0.0697,0.0958+0.02),IF(AP10=2,IF(AQ10=0,0.0415+0.0697,0.0415+0.02),IF(AP10=1,IF(AQ10=0,0.0294+0.0697,0.0294+0.02),IF(AP10=0,IF(AQ10=0,0.0063+0.0697,0.0063+0.02))))))</f>
        <v>4.9399999999999999E-2</v>
      </c>
      <c r="AS10">
        <v>1070</v>
      </c>
    </row>
    <row r="11" spans="1:45" x14ac:dyDescent="0.25">
      <c r="A11" s="15" t="s">
        <v>43</v>
      </c>
      <c r="B11" s="15" t="s">
        <v>194</v>
      </c>
      <c r="C11" s="121">
        <f t="shared" ca="1" si="27"/>
        <v>15.071428571428571</v>
      </c>
      <c r="D11" s="226" t="s">
        <v>576</v>
      </c>
      <c r="E11" s="1">
        <v>17</v>
      </c>
      <c r="F11" s="2">
        <f ca="1">8-159+16-570-5+D2-D1-2-56</f>
        <v>104</v>
      </c>
      <c r="G11" s="3" t="s">
        <v>296</v>
      </c>
      <c r="H11" s="227">
        <v>5</v>
      </c>
      <c r="I11" s="5">
        <v>1.2</v>
      </c>
      <c r="J11" s="22">
        <f t="shared" si="28"/>
        <v>0.10557499473016642</v>
      </c>
      <c r="K11" s="6">
        <f t="shared" si="29"/>
        <v>30</v>
      </c>
      <c r="L11" s="6">
        <f t="shared" si="30"/>
        <v>43.199999999999996</v>
      </c>
      <c r="M11" s="130">
        <v>43137</v>
      </c>
      <c r="N11" s="131">
        <f t="shared" ca="1" si="31"/>
        <v>4.8809062439885115E-2</v>
      </c>
      <c r="O11" s="25">
        <v>3.5</v>
      </c>
      <c r="P11" s="20">
        <f t="shared" si="32"/>
        <v>54</v>
      </c>
      <c r="Q11" s="26">
        <v>5</v>
      </c>
      <c r="R11" s="115">
        <f t="shared" si="33"/>
        <v>0.84515425472851657</v>
      </c>
      <c r="S11" s="115">
        <f t="shared" si="34"/>
        <v>0.92504826128926143</v>
      </c>
      <c r="T11" s="228">
        <v>3560</v>
      </c>
      <c r="U11" s="29">
        <f t="shared" si="35"/>
        <v>-530</v>
      </c>
      <c r="V11" s="7">
        <v>310</v>
      </c>
      <c r="W11" s="8">
        <f t="shared" si="36"/>
        <v>11.483870967741936</v>
      </c>
      <c r="X11" s="21">
        <v>0</v>
      </c>
      <c r="Y11" s="22">
        <v>8</v>
      </c>
      <c r="Z11" s="21">
        <v>4</v>
      </c>
      <c r="AA11" s="22">
        <v>5</v>
      </c>
      <c r="AB11" s="21">
        <f>4+0.25</f>
        <v>4.25</v>
      </c>
      <c r="AC11" s="22">
        <v>5</v>
      </c>
      <c r="AD11" s="21">
        <v>3</v>
      </c>
      <c r="AE11" s="9">
        <v>641</v>
      </c>
      <c r="AF11" s="9">
        <v>2138</v>
      </c>
      <c r="AG11" s="23">
        <f t="shared" ca="1" si="19"/>
        <v>3.5110953616935858</v>
      </c>
      <c r="AH11" s="23">
        <f t="shared" ca="1" si="20"/>
        <v>3.8462122623026738</v>
      </c>
      <c r="AI11" s="120">
        <f t="shared" ca="1" si="21"/>
        <v>3.5110953616935858</v>
      </c>
      <c r="AJ11" s="120">
        <f t="shared" ca="1" si="22"/>
        <v>3.8462122623026738</v>
      </c>
      <c r="AK11" s="8">
        <f t="shared" ref="AK11" ca="1" si="38">(((Y11+LOG(I11)*4/3+N11)+(AB11+LOG(I11)*4/3+N11)*2)/8)*(Q11/7)^0.5</f>
        <v>1.7920600289198851</v>
      </c>
      <c r="AL11" s="8">
        <f t="shared" ref="AL11" ca="1" si="39">(AD11+LOG(I11)*4/3+N11)*0.7+(AC11+LOG(I11)*4/3+N11)*0.3</f>
        <v>3.7543840571700513</v>
      </c>
      <c r="AM11" s="8">
        <f t="shared" ref="AM11" ca="1" si="40">(0.5*(AC11+LOG(I11)*4/3+N11)+ 0.3*(AD11+LOG(I11)*4/3+N11))/10</f>
        <v>0.35235072457360406</v>
      </c>
      <c r="AN11" s="8">
        <f t="shared" ca="1" si="26"/>
        <v>0.42080688400190358</v>
      </c>
      <c r="AO11" s="20">
        <v>1</v>
      </c>
      <c r="AP11" s="20">
        <v>2</v>
      </c>
      <c r="AQ11" s="20">
        <v>3</v>
      </c>
      <c r="AR11" s="129">
        <f t="shared" si="37"/>
        <v>6.1499999999999999E-2</v>
      </c>
      <c r="AS11">
        <v>4090</v>
      </c>
    </row>
    <row r="12" spans="1:45" x14ac:dyDescent="0.25">
      <c r="A12" s="15" t="s">
        <v>33</v>
      </c>
      <c r="B12" s="15" t="s">
        <v>194</v>
      </c>
      <c r="C12" s="121">
        <f t="shared" ca="1" si="27"/>
        <v>15.419642857142858</v>
      </c>
      <c r="D12" s="226" t="s">
        <v>566</v>
      </c>
      <c r="E12" s="1">
        <v>17</v>
      </c>
      <c r="F12" s="2">
        <f ca="1">58++D2-D1-112-112-112-112-112-112-112-81</f>
        <v>65</v>
      </c>
      <c r="G12" s="3" t="s">
        <v>45</v>
      </c>
      <c r="H12" s="4">
        <v>3</v>
      </c>
      <c r="I12" s="5">
        <v>1.3</v>
      </c>
      <c r="J12" s="22">
        <f t="shared" si="28"/>
        <v>0.15192446974244905</v>
      </c>
      <c r="K12" s="6">
        <f t="shared" si="29"/>
        <v>11.700000000000001</v>
      </c>
      <c r="L12" s="6">
        <f t="shared" si="30"/>
        <v>20.8</v>
      </c>
      <c r="M12" s="130">
        <v>43122</v>
      </c>
      <c r="N12" s="131">
        <f t="shared" ca="1" si="31"/>
        <v>0.15364458747949647</v>
      </c>
      <c r="O12" s="25">
        <v>3.7</v>
      </c>
      <c r="P12" s="20">
        <f t="shared" si="32"/>
        <v>56</v>
      </c>
      <c r="Q12" s="26">
        <v>7</v>
      </c>
      <c r="R12" s="115">
        <f t="shared" si="33"/>
        <v>1</v>
      </c>
      <c r="S12" s="115">
        <f t="shared" si="34"/>
        <v>1</v>
      </c>
      <c r="T12" s="29">
        <v>4210</v>
      </c>
      <c r="U12" s="29">
        <f t="shared" si="35"/>
        <v>370</v>
      </c>
      <c r="V12" s="7">
        <v>410</v>
      </c>
      <c r="W12" s="8">
        <f t="shared" si="36"/>
        <v>10.268292682926829</v>
      </c>
      <c r="X12" s="21">
        <v>0</v>
      </c>
      <c r="Y12" s="22">
        <v>6</v>
      </c>
      <c r="Z12" s="21">
        <v>3</v>
      </c>
      <c r="AA12" s="22">
        <v>3</v>
      </c>
      <c r="AB12" s="21">
        <v>7</v>
      </c>
      <c r="AC12" s="22">
        <f>4+0.25+0.25</f>
        <v>4.5</v>
      </c>
      <c r="AD12" s="21">
        <v>3</v>
      </c>
      <c r="AE12" s="9">
        <v>545</v>
      </c>
      <c r="AF12" s="9">
        <v>2094</v>
      </c>
      <c r="AG12" s="23">
        <f t="shared" ca="1" si="19"/>
        <v>4.3055690572219447</v>
      </c>
      <c r="AH12" s="23">
        <f t="shared" ca="1" si="20"/>
        <v>4.3055690572219447</v>
      </c>
      <c r="AI12" s="120">
        <f t="shared" ca="1" si="21"/>
        <v>3.3055690572219456</v>
      </c>
      <c r="AJ12" s="120">
        <f t="shared" ca="1" si="22"/>
        <v>3.3055690572219456</v>
      </c>
      <c r="AK12" s="8">
        <f t="shared" ref="AK12" ca="1" si="41">(((Y12+LOG(I12)*4/3+N12)+(AB12+LOG(I12)*4/3+N12)*2)/8)*(Q12/7)^0.5</f>
        <v>2.6145883964582293</v>
      </c>
      <c r="AL12" s="8">
        <f t="shared" ref="AL12" ca="1" si="42">(AD12+LOG(I12)*4/3+N12)*0.7+(AC12+LOG(I12)*4/3+N12)*0.3</f>
        <v>3.7555690572219449</v>
      </c>
      <c r="AM12" s="8">
        <f t="shared" ref="AM12" ca="1" si="43">(0.5*(AC12+LOG(I12)*4/3+N12)+ 0.3*(AD12+LOG(I12)*4/3+N12))/10</f>
        <v>0.33944552457775556</v>
      </c>
      <c r="AN12" s="8">
        <f t="shared" ca="1" si="26"/>
        <v>0.35138983400553614</v>
      </c>
      <c r="AO12" s="20">
        <v>2</v>
      </c>
      <c r="AP12" s="20">
        <v>0</v>
      </c>
      <c r="AQ12" s="20">
        <v>2</v>
      </c>
      <c r="AR12" s="129">
        <f t="shared" si="37"/>
        <v>2.63E-2</v>
      </c>
      <c r="AS12" s="193">
        <v>3840</v>
      </c>
    </row>
    <row r="13" spans="1:45" x14ac:dyDescent="0.25">
      <c r="A13" s="15" t="s">
        <v>35</v>
      </c>
      <c r="B13" s="15" t="s">
        <v>194</v>
      </c>
      <c r="C13" s="121">
        <f ca="1">((33*112)-(E13*112)-(F13))/112</f>
        <v>15.294642857142858</v>
      </c>
      <c r="D13" s="226" t="s">
        <v>452</v>
      </c>
      <c r="E13" s="16">
        <v>17</v>
      </c>
      <c r="F13" s="2">
        <f ca="1">-35+D2-D1-67-112-112-112+87-112-112-112-112+6</f>
        <v>79</v>
      </c>
      <c r="G13" s="18" t="s">
        <v>45</v>
      </c>
      <c r="H13" s="40">
        <v>6</v>
      </c>
      <c r="I13" s="27">
        <v>1.3</v>
      </c>
      <c r="J13" s="22">
        <f>LOG(I13)*4/3</f>
        <v>0.15192446974244905</v>
      </c>
      <c r="K13" s="6">
        <f t="shared" si="29"/>
        <v>46.800000000000004</v>
      </c>
      <c r="L13" s="6">
        <f t="shared" si="30"/>
        <v>63.7</v>
      </c>
      <c r="M13" s="130">
        <v>43097</v>
      </c>
      <c r="N13" s="131">
        <f ca="1">IF((TODAY()-M13)&gt;335,1,((TODAY()-M13)^0.64)/(336^0.64))</f>
        <v>0.26826417179081041</v>
      </c>
      <c r="O13" s="25">
        <v>3.5</v>
      </c>
      <c r="P13" s="20">
        <f t="shared" si="32"/>
        <v>54</v>
      </c>
      <c r="Q13" s="20">
        <v>5</v>
      </c>
      <c r="R13" s="115">
        <f>(Q13/7)^0.5</f>
        <v>0.84515425472851657</v>
      </c>
      <c r="S13" s="115">
        <f>IF(Q13=7,1,((Q13+0.99)/7)^0.5)</f>
        <v>0.92504826128926143</v>
      </c>
      <c r="T13" s="29">
        <v>1500</v>
      </c>
      <c r="U13" s="29">
        <f>T13-AS13</f>
        <v>30</v>
      </c>
      <c r="V13" s="29">
        <v>350</v>
      </c>
      <c r="W13" s="8">
        <f t="shared" si="36"/>
        <v>4.2857142857142856</v>
      </c>
      <c r="X13" s="21">
        <v>0</v>
      </c>
      <c r="Y13" s="22">
        <v>6</v>
      </c>
      <c r="Z13" s="21">
        <v>3</v>
      </c>
      <c r="AA13" s="22">
        <v>3</v>
      </c>
      <c r="AB13" s="21">
        <f>3+0.33</f>
        <v>3.33</v>
      </c>
      <c r="AC13" s="22">
        <f>5.19+0.25+0.25+1/17+0.25</f>
        <v>5.9988235294117649</v>
      </c>
      <c r="AD13" s="21">
        <v>4</v>
      </c>
      <c r="AE13" s="9">
        <v>497</v>
      </c>
      <c r="AF13" s="9">
        <v>2036</v>
      </c>
      <c r="AG13" s="23">
        <f ca="1">(AD13+1+(LOG(I13)*4/3)+N13)*(Q13/7)^0.5</f>
        <v>4.5808954918230125</v>
      </c>
      <c r="AH13" s="23">
        <f ca="1">(AD13+1+N13+(LOG(I13)*4/3))*(IF(Q13=7, (Q13/7)^0.5, ((Q13+1)/7)^0.5))</f>
        <v>5.0181195888903716</v>
      </c>
      <c r="AI13" s="120">
        <f t="shared" ca="1" si="21"/>
        <v>2.8905869823659796</v>
      </c>
      <c r="AJ13" s="120">
        <f t="shared" ca="1" si="22"/>
        <v>3.1664793893452692</v>
      </c>
      <c r="AK13" s="8">
        <f t="shared" ca="1" si="23"/>
        <v>1.4706281899255387</v>
      </c>
      <c r="AL13" s="8">
        <f ca="1">(AD13+LOG(I13)*4/3+N13)*0.7+(AC13+LOG(I13)*4/3+N13)*0.3</f>
        <v>5.0198357003567882</v>
      </c>
      <c r="AM13" s="8">
        <f ca="1">(0.5*(AC13+LOG(I13)*4/3+N13)+ 0.3*(AD13+LOG(I13)*4/3+N13))/10</f>
        <v>0.45355626779324892</v>
      </c>
      <c r="AN13" s="8">
        <f ca="1">(0.4*(Y13+LOG(I13)*4/3+N13)+0.3*(AD13+LOG(I13)*4/3+N13))/10</f>
        <v>0.38941320490732811</v>
      </c>
      <c r="AO13" s="20">
        <v>2</v>
      </c>
      <c r="AP13" s="20">
        <v>3</v>
      </c>
      <c r="AQ13" s="20">
        <v>1</v>
      </c>
      <c r="AR13" s="129">
        <f>IF(AP13=4,IF(AQ13=0,0.137+0.0697,0.137+0.02),IF(AP13=3,IF(AQ13=0,0.0958+0.0697,0.0958+0.02),IF(AP13=2,IF(AQ13=0,0.0415+0.0697,0.0415+0.02),IF(AP13=1,IF(AQ13=0,0.0294+0.0697,0.0294+0.02),IF(AP13=0,IF(AQ13=0,0.0063+0.0697,0.0063+0.02))))))</f>
        <v>0.1158</v>
      </c>
      <c r="AS13">
        <v>1470</v>
      </c>
    </row>
    <row r="14" spans="1:45" x14ac:dyDescent="0.25">
      <c r="A14" s="15" t="s">
        <v>293</v>
      </c>
      <c r="B14" s="15" t="s">
        <v>95</v>
      </c>
      <c r="C14" s="121">
        <f ca="1">((33*112)-(E14*112)-(F14))/112</f>
        <v>14.741071428571429</v>
      </c>
      <c r="D14" s="215" t="s">
        <v>295</v>
      </c>
      <c r="E14" s="16">
        <v>18</v>
      </c>
      <c r="F14" s="17">
        <f ca="1">8-159+16-570-5+D2-D1-2-19-112</f>
        <v>29</v>
      </c>
      <c r="G14" s="18" t="s">
        <v>296</v>
      </c>
      <c r="H14" s="4">
        <v>3</v>
      </c>
      <c r="I14" s="27">
        <v>1.1000000000000001</v>
      </c>
      <c r="J14" s="22">
        <f>LOG(I14)*4/3</f>
        <v>5.5190246877633437E-2</v>
      </c>
      <c r="K14" s="6">
        <f>(H14)*(H14)*(I14)</f>
        <v>9.9</v>
      </c>
      <c r="L14" s="6">
        <f>(H14+1)*(H14+1)*I14</f>
        <v>17.600000000000001</v>
      </c>
      <c r="M14" s="130">
        <v>43045</v>
      </c>
      <c r="N14" s="131">
        <f ca="1">IF((TODAY()-M14)&gt;335,1,((TODAY()-M14)^0.64)/(336^0.64))</f>
        <v>0.4455392504211515</v>
      </c>
      <c r="O14" s="19">
        <v>5</v>
      </c>
      <c r="P14" s="20">
        <f>O14*10+19</f>
        <v>69</v>
      </c>
      <c r="Q14" s="20">
        <v>6</v>
      </c>
      <c r="R14" s="115">
        <f>(Q14/7)^0.5</f>
        <v>0.92582009977255142</v>
      </c>
      <c r="S14" s="115">
        <f>IF(Q14=7,1,((Q14+0.99)/7)^0.5)</f>
        <v>0.99928545900129484</v>
      </c>
      <c r="T14" s="29">
        <v>1870</v>
      </c>
      <c r="U14" s="29">
        <f>T14-AS14</f>
        <v>200</v>
      </c>
      <c r="V14" s="29">
        <v>370</v>
      </c>
      <c r="W14" s="8">
        <f>T14/V14</f>
        <v>5.0540540540540544</v>
      </c>
      <c r="X14" s="21">
        <v>0</v>
      </c>
      <c r="Y14" s="22">
        <v>3</v>
      </c>
      <c r="Z14" s="21">
        <v>6</v>
      </c>
      <c r="AA14" s="22">
        <v>3</v>
      </c>
      <c r="AB14" s="21">
        <f>3.25+0.25+0.25+0.25+0.25</f>
        <v>4.25</v>
      </c>
      <c r="AC14" s="22">
        <f>4.22+0.33+0.33+1/17+1/17+1/17*79/90+0.33*11/90+1/17+1/17</f>
        <v>5.207261437908496</v>
      </c>
      <c r="AD14" s="21">
        <v>3</v>
      </c>
      <c r="AE14" s="9">
        <v>461</v>
      </c>
      <c r="AF14" s="9">
        <v>1941</v>
      </c>
      <c r="AG14" s="23">
        <f t="shared" ca="1" si="19"/>
        <v>4.1668658322384262</v>
      </c>
      <c r="AH14" s="23">
        <f t="shared" ca="1" si="20"/>
        <v>4.500729497298785</v>
      </c>
      <c r="AI14" s="120">
        <f t="shared" ca="1" si="21"/>
        <v>6.0185060317835291</v>
      </c>
      <c r="AJ14" s="120">
        <f t="shared" ca="1" si="22"/>
        <v>6.500729497298785</v>
      </c>
      <c r="AK14" s="8">
        <f t="shared" ca="1" si="23"/>
        <v>1.5047109308536255</v>
      </c>
      <c r="AL14" s="8">
        <f t="shared" ca="1" si="24"/>
        <v>4.1629079286713342</v>
      </c>
      <c r="AM14" s="8">
        <f t="shared" ca="1" si="25"/>
        <v>0.39042143167932758</v>
      </c>
      <c r="AN14" s="8">
        <f t="shared" ca="1" si="26"/>
        <v>0.24505106481091493</v>
      </c>
      <c r="AO14" s="20">
        <v>2</v>
      </c>
      <c r="AP14" s="20">
        <v>3</v>
      </c>
      <c r="AQ14" s="20">
        <v>2</v>
      </c>
      <c r="AR14" s="129">
        <f>IF(AP14=4,IF(AQ14=0,0.137+0.0697,0.137+0.02),IF(AP14=3,IF(AQ14=0,0.0958+0.0697,0.0958+0.02),IF(AP14=2,IF(AQ14=0,0.0415+0.0697,0.0415+0.02),IF(AP14=1,IF(AQ14=0,0.0294+0.0697,0.0294+0.02),IF(AP14=0,IF(AQ14=0,0.0063+0.0697,0.0063+0.02))))))</f>
        <v>0.1158</v>
      </c>
      <c r="AS14">
        <v>1670</v>
      </c>
    </row>
    <row r="15" spans="1:45" x14ac:dyDescent="0.25">
      <c r="A15" s="15" t="s">
        <v>367</v>
      </c>
      <c r="B15" s="24" t="s">
        <v>95</v>
      </c>
      <c r="C15" s="121">
        <f ca="1">((33*112)-(E15*112)-(F15))/112</f>
        <v>14.848214285714286</v>
      </c>
      <c r="D15" s="216" t="s">
        <v>300</v>
      </c>
      <c r="E15" s="1">
        <v>18</v>
      </c>
      <c r="F15" s="2">
        <f ca="1">8-159+16-570-5+D2-D1-2-31-112</f>
        <v>17</v>
      </c>
      <c r="G15" s="3" t="s">
        <v>0</v>
      </c>
      <c r="H15" s="4">
        <v>4</v>
      </c>
      <c r="I15" s="5">
        <v>0.5</v>
      </c>
      <c r="J15" s="22">
        <f>LOG(I15)*4/3</f>
        <v>-0.40137332755197491</v>
      </c>
      <c r="K15" s="6">
        <f>(H15)*(H15)*(I15)</f>
        <v>8</v>
      </c>
      <c r="L15" s="6">
        <f>(H15+1)*(H15+1)*I15</f>
        <v>12.5</v>
      </c>
      <c r="M15" s="130">
        <v>43046</v>
      </c>
      <c r="N15" s="131">
        <f ca="1">IF((TODAY()-M15)&gt;335,1,((TODAY()-M15)^0.64)/(336^0.64))</f>
        <v>0.44253200842626411</v>
      </c>
      <c r="O15" s="25">
        <v>5</v>
      </c>
      <c r="P15" s="20">
        <f>O15*10+19</f>
        <v>69</v>
      </c>
      <c r="Q15" s="26">
        <v>7</v>
      </c>
      <c r="R15" s="115">
        <f>(Q15/7)^0.5</f>
        <v>1</v>
      </c>
      <c r="S15" s="115">
        <f>IF(Q15=7,1,((Q15+0.99)/7)^0.5)</f>
        <v>1</v>
      </c>
      <c r="T15" s="29">
        <v>1350</v>
      </c>
      <c r="U15" s="29">
        <f>T15-AS15</f>
        <v>80</v>
      </c>
      <c r="V15" s="7">
        <v>350</v>
      </c>
      <c r="W15" s="8">
        <f>T15/V15</f>
        <v>3.8571428571428572</v>
      </c>
      <c r="X15" s="21">
        <v>0</v>
      </c>
      <c r="Y15" s="22">
        <v>2</v>
      </c>
      <c r="Z15" s="21">
        <v>5</v>
      </c>
      <c r="AA15" s="22">
        <v>3</v>
      </c>
      <c r="AB15" s="21">
        <v>3</v>
      </c>
      <c r="AC15" s="22">
        <f>5+1/20+1/20+1/20+1/20+1/20+1/20+1/20</f>
        <v>5.3499999999999988</v>
      </c>
      <c r="AD15" s="21">
        <v>5</v>
      </c>
      <c r="AE15" s="9">
        <v>387</v>
      </c>
      <c r="AF15" s="9">
        <v>1844</v>
      </c>
      <c r="AG15" s="23">
        <f t="shared" ca="1" si="19"/>
        <v>6.0411586808742888</v>
      </c>
      <c r="AH15" s="23">
        <f t="shared" ca="1" si="20"/>
        <v>6.0411586808742888</v>
      </c>
      <c r="AI15" s="120">
        <f t="shared" ca="1" si="21"/>
        <v>5.0411586808742888</v>
      </c>
      <c r="AJ15" s="120">
        <f t="shared" ca="1" si="22"/>
        <v>5.0411586808742888</v>
      </c>
      <c r="AK15" s="8">
        <f t="shared" ca="1" si="23"/>
        <v>1.0154345053278584</v>
      </c>
      <c r="AL15" s="8">
        <f t="shared" ca="1" si="24"/>
        <v>5.1461586808742883</v>
      </c>
      <c r="AM15" s="8">
        <f t="shared" ca="1" si="25"/>
        <v>0.42079269446994305</v>
      </c>
      <c r="AN15" s="8">
        <f t="shared" ca="1" si="26"/>
        <v>0.23288110766120021</v>
      </c>
      <c r="AO15" s="20">
        <v>4</v>
      </c>
      <c r="AP15" s="20">
        <v>2</v>
      </c>
      <c r="AQ15" s="20">
        <v>2</v>
      </c>
      <c r="AR15" s="129">
        <f>IF(AP15=4,IF(AQ15=0,0.137+0.0697,0.137+0.02),IF(AP15=3,IF(AQ15=0,0.0958+0.0697,0.0958+0.02),IF(AP15=2,IF(AQ15=0,0.0415+0.0697,0.0415+0.02),IF(AP15=1,IF(AQ15=0,0.0294+0.0697,0.0294+0.02),IF(AP15=0,IF(AQ15=0,0.0063+0.0697,0.0063+0.02))))))</f>
        <v>6.1499999999999999E-2</v>
      </c>
      <c r="AS15">
        <v>1270</v>
      </c>
    </row>
    <row r="16" spans="1:45" x14ac:dyDescent="0.25">
      <c r="A16" s="15" t="s">
        <v>371</v>
      </c>
      <c r="B16" s="15" t="s">
        <v>95</v>
      </c>
      <c r="C16" s="121">
        <f t="shared" ref="C16:C17" ca="1" si="44">((33*112)-(E16*112)-(F16))/112</f>
        <v>15.116071428571429</v>
      </c>
      <c r="D16" s="215" t="s">
        <v>302</v>
      </c>
      <c r="E16" s="16">
        <v>17</v>
      </c>
      <c r="F16" s="2">
        <f ca="1">8-159+16-570-5+D2-D1-2-12-49</f>
        <v>99</v>
      </c>
      <c r="G16" s="18" t="s">
        <v>177</v>
      </c>
      <c r="H16" s="4">
        <v>3</v>
      </c>
      <c r="I16" s="27">
        <v>0.5</v>
      </c>
      <c r="J16" s="22">
        <f t="shared" ref="J16:J17" si="45">LOG(I16)*4/3</f>
        <v>-0.40137332755197491</v>
      </c>
      <c r="K16" s="6">
        <f t="shared" ref="K16:K17" si="46">(H16)*(H16)*(I16)</f>
        <v>4.5</v>
      </c>
      <c r="L16" s="6">
        <f t="shared" ref="L16:L17" si="47">(H16+1)*(H16+1)*I16</f>
        <v>8</v>
      </c>
      <c r="M16" s="130">
        <v>43046</v>
      </c>
      <c r="N16" s="131">
        <f t="shared" ref="N16" ca="1" si="48">IF((TODAY()-M16)&gt;335,1,((TODAY()-M16)^0.64)/(336^0.64))</f>
        <v>0.44253200842626411</v>
      </c>
      <c r="O16" s="19">
        <v>4</v>
      </c>
      <c r="P16" s="20">
        <f t="shared" ref="P16:P17" si="49">O16*10+19</f>
        <v>59</v>
      </c>
      <c r="Q16" s="26">
        <v>6</v>
      </c>
      <c r="R16" s="115">
        <f t="shared" ref="R16:R17" si="50">(Q16/7)^0.5</f>
        <v>0.92582009977255142</v>
      </c>
      <c r="S16" s="115">
        <f t="shared" ref="S16:S17" si="51">IF(Q16=7,1,((Q16+0.99)/7)^0.5)</f>
        <v>0.99928545900129484</v>
      </c>
      <c r="T16" s="29">
        <v>670</v>
      </c>
      <c r="U16" s="29">
        <f t="shared" ref="U16:U18" si="52">T16-AS16</f>
        <v>0</v>
      </c>
      <c r="V16" s="29">
        <v>270</v>
      </c>
      <c r="W16" s="8">
        <f t="shared" ref="W16:W17" si="53">T16/V16</f>
        <v>2.4814814814814814</v>
      </c>
      <c r="X16" s="21">
        <v>0</v>
      </c>
      <c r="Y16" s="22">
        <v>3</v>
      </c>
      <c r="Z16" s="21">
        <v>4</v>
      </c>
      <c r="AA16" s="22">
        <v>4</v>
      </c>
      <c r="AB16" s="21">
        <f>3+(0.25*0.16*31/90)+(0.25*0.16*3/90)</f>
        <v>3.0151111111111111</v>
      </c>
      <c r="AC16" s="22">
        <f>4+1/17+1/17+1/17</f>
        <v>4.1764705882352935</v>
      </c>
      <c r="AD16" s="21">
        <v>1.3</v>
      </c>
      <c r="AE16" s="9">
        <v>352</v>
      </c>
      <c r="AF16" s="9">
        <v>1986</v>
      </c>
      <c r="AG16" s="23">
        <f t="shared" ca="1" si="19"/>
        <v>2.1674917635104092</v>
      </c>
      <c r="AH16" s="23">
        <f t="shared" ca="1" si="20"/>
        <v>2.341158680874289</v>
      </c>
      <c r="AI16" s="120">
        <f t="shared" ca="1" si="21"/>
        <v>3.7413859331237465</v>
      </c>
      <c r="AJ16" s="120">
        <f t="shared" ca="1" si="22"/>
        <v>4.0411586808742888</v>
      </c>
      <c r="AK16" s="8">
        <f t="shared" ca="1" si="23"/>
        <v>1.0593347301058391</v>
      </c>
      <c r="AL16" s="8">
        <f t="shared" ca="1" si="24"/>
        <v>2.2040998573448771</v>
      </c>
      <c r="AM16" s="8">
        <f t="shared" ca="1" si="25"/>
        <v>0.25111622388170785</v>
      </c>
      <c r="AN16" s="8">
        <f t="shared" ca="1" si="26"/>
        <v>0.16188110766120026</v>
      </c>
      <c r="AO16" s="20">
        <v>1</v>
      </c>
      <c r="AP16" s="20">
        <v>3</v>
      </c>
      <c r="AQ16" s="20">
        <v>1</v>
      </c>
      <c r="AR16" s="129">
        <f t="shared" ref="AR16:AR17" si="54">IF(AP16=4,IF(AQ16=0,0.137+0.0697,0.137+0.02),IF(AP16=3,IF(AQ16=0,0.0958+0.0697,0.0958+0.02),IF(AP16=2,IF(AQ16=0,0.0415+0.0697,0.0415+0.02),IF(AP16=1,IF(AQ16=0,0.0294+0.0697,0.0294+0.02),IF(AP16=0,IF(AQ16=0,0.0063+0.0697,0.0063+0.02))))))</f>
        <v>0.1158</v>
      </c>
      <c r="AS16">
        <v>670</v>
      </c>
    </row>
    <row r="17" spans="1:45" x14ac:dyDescent="0.25">
      <c r="A17" s="15" t="s">
        <v>564</v>
      </c>
      <c r="B17" s="15" t="s">
        <v>95</v>
      </c>
      <c r="C17" s="121">
        <f t="shared" ca="1" si="44"/>
        <v>13.696428571428571</v>
      </c>
      <c r="D17" s="215" t="s">
        <v>565</v>
      </c>
      <c r="E17" s="16">
        <v>19</v>
      </c>
      <c r="F17" s="2">
        <f ca="1">8-159+16-570-5+D2-D1-2-12-49-65</f>
        <v>34</v>
      </c>
      <c r="G17" s="18"/>
      <c r="H17" s="227">
        <v>5</v>
      </c>
      <c r="I17" s="27">
        <v>1</v>
      </c>
      <c r="J17" s="22">
        <f t="shared" si="45"/>
        <v>0</v>
      </c>
      <c r="K17" s="6">
        <f t="shared" si="46"/>
        <v>25</v>
      </c>
      <c r="L17" s="6">
        <f t="shared" si="47"/>
        <v>36</v>
      </c>
      <c r="M17" s="130">
        <v>43108</v>
      </c>
      <c r="N17" s="131">
        <v>1.5</v>
      </c>
      <c r="O17" s="19">
        <v>3.5</v>
      </c>
      <c r="P17" s="20">
        <f t="shared" si="49"/>
        <v>54</v>
      </c>
      <c r="Q17" s="26">
        <v>6</v>
      </c>
      <c r="R17" s="115">
        <f t="shared" si="50"/>
        <v>0.92582009977255142</v>
      </c>
      <c r="S17" s="115">
        <f t="shared" si="51"/>
        <v>0.99928545900129484</v>
      </c>
      <c r="T17" s="29">
        <v>1090</v>
      </c>
      <c r="U17" s="29">
        <f t="shared" si="52"/>
        <v>110</v>
      </c>
      <c r="V17" s="29">
        <v>330</v>
      </c>
      <c r="W17" s="8">
        <f t="shared" si="53"/>
        <v>3.3030303030303032</v>
      </c>
      <c r="X17" s="21">
        <v>0</v>
      </c>
      <c r="Y17" s="22">
        <v>4</v>
      </c>
      <c r="Z17" s="21">
        <v>5</v>
      </c>
      <c r="AA17" s="22">
        <v>2</v>
      </c>
      <c r="AB17" s="21">
        <f>3+0.25</f>
        <v>3.25</v>
      </c>
      <c r="AC17" s="22">
        <f>5+1/20+1/20+1/20</f>
        <v>5.1499999999999995</v>
      </c>
      <c r="AD17" s="21">
        <v>2</v>
      </c>
      <c r="AE17" s="9">
        <v>414</v>
      </c>
      <c r="AF17" s="9">
        <v>1728</v>
      </c>
      <c r="AG17" s="23">
        <f t="shared" si="19"/>
        <v>4.1661904489764812</v>
      </c>
      <c r="AH17" s="23">
        <f t="shared" si="20"/>
        <v>4.5</v>
      </c>
      <c r="AI17" s="120">
        <f t="shared" si="21"/>
        <v>6.017830648521584</v>
      </c>
      <c r="AJ17" s="120">
        <f t="shared" si="22"/>
        <v>6.5</v>
      </c>
      <c r="AK17" s="8">
        <f t="shared" ref="AK17" si="55">(((Y17+LOG(I17)*4/3+N17)+(AB17+LOG(I17)*4/3+N17)*2)/8)*(Q17/7)^0.5</f>
        <v>1.735912687073534</v>
      </c>
      <c r="AL17" s="8">
        <f t="shared" ref="AL17" si="56">(AD17+LOG(I17)*4/3+N17)*0.7+(AC17+LOG(I17)*4/3+N17)*0.3</f>
        <v>4.4449999999999994</v>
      </c>
      <c r="AM17" s="8">
        <f t="shared" ref="AM17" si="57">(0.5*(AC17+LOG(I17)*4/3+N17)+ 0.3*(AD17+LOG(I17)*4/3+N17))/10</f>
        <v>0.4375</v>
      </c>
      <c r="AN17" s="8">
        <f t="shared" si="26"/>
        <v>0.32500000000000001</v>
      </c>
      <c r="AO17" s="20">
        <v>2</v>
      </c>
      <c r="AP17" s="20">
        <v>2</v>
      </c>
      <c r="AQ17" s="20">
        <v>2</v>
      </c>
      <c r="AR17" s="129">
        <f t="shared" si="54"/>
        <v>6.1499999999999999E-2</v>
      </c>
      <c r="AS17" s="193">
        <v>980</v>
      </c>
    </row>
    <row r="18" spans="1:45" x14ac:dyDescent="0.25">
      <c r="A18" s="15" t="s">
        <v>31</v>
      </c>
      <c r="B18" s="15" t="s">
        <v>71</v>
      </c>
      <c r="C18" s="121">
        <f ca="1">((33*112)-(E18*112)-(F18))/112</f>
        <v>15.107142857142858</v>
      </c>
      <c r="D18" s="226" t="s">
        <v>294</v>
      </c>
      <c r="E18" s="16">
        <v>17</v>
      </c>
      <c r="F18" s="17">
        <f ca="1">8-159+16-570-5+D2-D1-62</f>
        <v>100</v>
      </c>
      <c r="G18" s="18" t="s">
        <v>45</v>
      </c>
      <c r="H18" s="4">
        <v>1</v>
      </c>
      <c r="I18" s="27">
        <v>1.5</v>
      </c>
      <c r="J18" s="22">
        <f>LOG(I18)*4/3</f>
        <v>0.23478834540757498</v>
      </c>
      <c r="K18" s="6">
        <f>(H18)*(H18)*(I18)</f>
        <v>1.5</v>
      </c>
      <c r="L18" s="6">
        <f>(H18+1)*(H18+1)*I18</f>
        <v>6</v>
      </c>
      <c r="M18" s="130">
        <v>43046</v>
      </c>
      <c r="N18" s="131">
        <v>1.5</v>
      </c>
      <c r="O18" s="19">
        <v>5</v>
      </c>
      <c r="P18" s="20">
        <f>O18*10+19</f>
        <v>69</v>
      </c>
      <c r="Q18" s="20">
        <v>6</v>
      </c>
      <c r="R18" s="115">
        <f>(Q18/7)^0.5</f>
        <v>0.92582009977255142</v>
      </c>
      <c r="S18" s="115">
        <f>IF(Q18=7,1,((Q18+0.99)/7)^0.5)</f>
        <v>0.99928545900129484</v>
      </c>
      <c r="T18" s="29">
        <v>3610</v>
      </c>
      <c r="U18" s="29">
        <f t="shared" si="52"/>
        <v>0</v>
      </c>
      <c r="V18" s="29">
        <v>350</v>
      </c>
      <c r="W18" s="8">
        <f>T18/V18</f>
        <v>10.314285714285715</v>
      </c>
      <c r="X18" s="21">
        <v>0</v>
      </c>
      <c r="Y18" s="22">
        <v>2</v>
      </c>
      <c r="Z18" s="21">
        <v>5.7</v>
      </c>
      <c r="AA18" s="22">
        <v>5.5</v>
      </c>
      <c r="AB18" s="21">
        <f>4.75+0.25+0.25+0.25</f>
        <v>5.5</v>
      </c>
      <c r="AC18" s="22">
        <f>4+0.34+0.33+0.33+0.25+0.25</f>
        <v>5.5</v>
      </c>
      <c r="AD18" s="21">
        <v>5</v>
      </c>
      <c r="AE18" s="9">
        <v>480</v>
      </c>
      <c r="AF18" s="9">
        <v>2007</v>
      </c>
      <c r="AG18" s="23">
        <f t="shared" si="19"/>
        <v>7.1610225176648088</v>
      </c>
      <c r="AH18" s="23">
        <f t="shared" si="20"/>
        <v>7.7347883454075745</v>
      </c>
      <c r="AI18" s="120">
        <f t="shared" si="21"/>
        <v>6.8832764877330446</v>
      </c>
      <c r="AJ18" s="120">
        <f t="shared" si="22"/>
        <v>7.4347883454075756</v>
      </c>
      <c r="AK18" s="8">
        <f t="shared" si="23"/>
        <v>2.1067458817664586</v>
      </c>
      <c r="AL18" s="8">
        <f t="shared" si="24"/>
        <v>6.884788345407574</v>
      </c>
      <c r="AM18" s="8">
        <f t="shared" si="25"/>
        <v>0.56378306763260588</v>
      </c>
      <c r="AN18" s="8">
        <f t="shared" si="26"/>
        <v>0.35143518417853026</v>
      </c>
      <c r="AO18" s="20">
        <v>4</v>
      </c>
      <c r="AP18" s="20">
        <v>3</v>
      </c>
      <c r="AQ18" s="20">
        <v>2</v>
      </c>
      <c r="AR18" s="129">
        <f>IF(AP18=4,IF(AQ18=0,0.137+0.0697,0.137+0.02),IF(AP18=3,IF(AQ18=0,0.0958+0.0697,0.0958+0.02),IF(AP18=2,IF(AQ18=0,0.0415+0.0697,0.0415+0.02),IF(AP18=1,IF(AQ18=0,0.0294+0.0697,0.0294+0.02),IF(AP18=0,IF(AQ18=0,0.0063+0.0697,0.0063+0.02))))))</f>
        <v>0.1158</v>
      </c>
      <c r="AS18">
        <v>3610</v>
      </c>
    </row>
    <row r="19" spans="1:45" x14ac:dyDescent="0.25">
      <c r="A19" s="15" t="s">
        <v>36</v>
      </c>
      <c r="B19" s="15" t="s">
        <v>71</v>
      </c>
      <c r="C19" s="121">
        <f ca="1">((33*112)-(E19*112)-(F19))/112</f>
        <v>15.107142857142858</v>
      </c>
      <c r="D19" s="226" t="s">
        <v>384</v>
      </c>
      <c r="E19" s="16">
        <v>17</v>
      </c>
      <c r="F19" s="2">
        <f ca="1">8-159+16-570-5+D2-D1-2-31-25-4</f>
        <v>100</v>
      </c>
      <c r="G19" s="18" t="s">
        <v>296</v>
      </c>
      <c r="H19" s="40">
        <v>6</v>
      </c>
      <c r="I19" s="27">
        <v>1.4</v>
      </c>
      <c r="J19" s="22">
        <f>LOG(I19)*4/3</f>
        <v>0.19483738090431735</v>
      </c>
      <c r="K19" s="6">
        <f>(H19)*(H19)*(I19)</f>
        <v>50.4</v>
      </c>
      <c r="L19" s="6">
        <f>(H19+1)*(H19+1)*I19</f>
        <v>68.599999999999994</v>
      </c>
      <c r="M19" s="130">
        <v>43054</v>
      </c>
      <c r="N19" s="131">
        <f ca="1">IF((TODAY()-M19)&gt;335,1,((TODAY()-M19)^0.64)/(336^0.64))</f>
        <v>0.41804388130271769</v>
      </c>
      <c r="O19" s="19">
        <v>4.7</v>
      </c>
      <c r="P19" s="20">
        <f>O19*10+19</f>
        <v>66</v>
      </c>
      <c r="Q19" s="26">
        <v>6</v>
      </c>
      <c r="R19" s="115">
        <f>(Q19/7)^0.5</f>
        <v>0.92582009977255142</v>
      </c>
      <c r="S19" s="115">
        <f>IF(Q19=7,1,((Q19+0.99)/7)^0.5)</f>
        <v>0.99928545900129484</v>
      </c>
      <c r="T19" s="29">
        <v>2410</v>
      </c>
      <c r="U19" s="29">
        <f>T19-AS19</f>
        <v>200</v>
      </c>
      <c r="V19" s="29">
        <v>290</v>
      </c>
      <c r="W19" s="8">
        <f>T19/V19</f>
        <v>8.3103448275862064</v>
      </c>
      <c r="X19" s="21">
        <v>0</v>
      </c>
      <c r="Y19" s="22">
        <v>3</v>
      </c>
      <c r="Z19" s="21">
        <v>5</v>
      </c>
      <c r="AA19" s="22">
        <v>4</v>
      </c>
      <c r="AB19" s="21">
        <f>4.5+0.25+0.25</f>
        <v>5</v>
      </c>
      <c r="AC19" s="22">
        <f>4.03+0.34+0.33+0.33+0.33*85/90+0.33+0.33</f>
        <v>6.0016666666666669</v>
      </c>
      <c r="AD19" s="21">
        <v>3</v>
      </c>
      <c r="AE19" s="9">
        <v>510</v>
      </c>
      <c r="AF19" s="9">
        <v>2009</v>
      </c>
      <c r="AG19" s="23">
        <f t="shared" ca="1" si="19"/>
        <v>4.2706981904154508</v>
      </c>
      <c r="AH19" s="23">
        <f t="shared" ca="1" si="20"/>
        <v>4.6128812622070354</v>
      </c>
      <c r="AI19" s="120">
        <f t="shared" ca="1" si="21"/>
        <v>5.1965182901880018</v>
      </c>
      <c r="AJ19" s="120">
        <f t="shared" ca="1" si="22"/>
        <v>5.6128812622070354</v>
      </c>
      <c r="AK19" s="8">
        <f t="shared" ca="1" si="23"/>
        <v>1.7172393338773628</v>
      </c>
      <c r="AL19" s="8">
        <f t="shared" ca="1" si="24"/>
        <v>4.5133812622070355</v>
      </c>
      <c r="AM19" s="8">
        <f t="shared" ca="1" si="25"/>
        <v>0.43911383430989614</v>
      </c>
      <c r="AN19" s="8">
        <f t="shared" ca="1" si="26"/>
        <v>0.25290168835449245</v>
      </c>
      <c r="AO19" s="20">
        <v>2</v>
      </c>
      <c r="AP19" s="20">
        <v>2</v>
      </c>
      <c r="AQ19" s="20">
        <v>1</v>
      </c>
      <c r="AR19" s="129">
        <f>IF(AP19=4,IF(AQ19=0,0.137+0.0697,0.137+0.02),IF(AP19=3,IF(AQ19=0,0.0958+0.0697,0.0958+0.02),IF(AP19=2,IF(AQ19=0,0.0415+0.0697,0.0415+0.02),IF(AP19=1,IF(AQ19=0,0.0294+0.0697,0.0294+0.02),IF(AP19=0,IF(AQ19=0,0.0063+0.0697,0.0063+0.02))))))</f>
        <v>6.1499999999999999E-2</v>
      </c>
      <c r="AS19" s="193">
        <v>2210</v>
      </c>
    </row>
    <row r="20" spans="1:45" x14ac:dyDescent="0.25">
      <c r="A20" s="15" t="s">
        <v>365</v>
      </c>
      <c r="B20" s="15" t="s">
        <v>71</v>
      </c>
      <c r="C20" s="121">
        <f t="shared" ref="C20:C23" ca="1" si="58">((33*112)-(E20*112)-(F20))/112</f>
        <v>15.035714285714286</v>
      </c>
      <c r="D20" s="215" t="s">
        <v>303</v>
      </c>
      <c r="E20" s="16">
        <v>17</v>
      </c>
      <c r="F20" s="2">
        <f ca="1">8-159+16-570-5+D2-D1-2-12-49+9</f>
        <v>108</v>
      </c>
      <c r="G20" s="18" t="s">
        <v>45</v>
      </c>
      <c r="H20" s="4">
        <v>3</v>
      </c>
      <c r="I20" s="27">
        <v>1.1000000000000001</v>
      </c>
      <c r="J20" s="22">
        <f t="shared" ref="J20:J23" si="59">LOG(I20)*4/3</f>
        <v>5.5190246877633437E-2</v>
      </c>
      <c r="K20" s="6">
        <f t="shared" ref="K20:K23" si="60">(H20)*(H20)*(I20)</f>
        <v>9.9</v>
      </c>
      <c r="L20" s="6">
        <f t="shared" ref="L20:L23" si="61">(H20+1)*(H20+1)*I20</f>
        <v>17.600000000000001</v>
      </c>
      <c r="M20" s="130">
        <v>43046</v>
      </c>
      <c r="N20" s="131">
        <f t="shared" ref="N20" ca="1" si="62">IF((TODAY()-M20)&gt;335,1,((TODAY()-M20)^0.64)/(336^0.64))</f>
        <v>0.44253200842626411</v>
      </c>
      <c r="O20" s="19">
        <v>5</v>
      </c>
      <c r="P20" s="20">
        <f t="shared" ref="P20:P23" si="63">O20*10+19</f>
        <v>69</v>
      </c>
      <c r="Q20" s="26">
        <v>7</v>
      </c>
      <c r="R20" s="115">
        <f t="shared" ref="R20:R23" si="64">(Q20/7)^0.5</f>
        <v>1</v>
      </c>
      <c r="S20" s="115">
        <f t="shared" ref="S20:S23" si="65">IF(Q20=7,1,((Q20+0.99)/7)^0.5)</f>
        <v>1</v>
      </c>
      <c r="T20" s="29">
        <v>860</v>
      </c>
      <c r="U20" s="29">
        <f t="shared" ref="U20" si="66">T20-AS20</f>
        <v>100</v>
      </c>
      <c r="V20" s="29">
        <v>270</v>
      </c>
      <c r="W20" s="8">
        <f t="shared" ref="W20:W23" si="67">T20/V20</f>
        <v>3.1851851851851851</v>
      </c>
      <c r="X20" s="21">
        <v>0</v>
      </c>
      <c r="Y20" s="22">
        <v>4</v>
      </c>
      <c r="Z20" s="21">
        <v>2</v>
      </c>
      <c r="AA20" s="22">
        <v>5</v>
      </c>
      <c r="AB20" s="21">
        <f>3.67+(0.25*0.16)+0.25+0.25*0.16+0.25</f>
        <v>4.25</v>
      </c>
      <c r="AC20" s="22">
        <f>4+1/17+1/17+1/17+1/17*12/90+1/17+1/17+1/17</f>
        <v>4.3607843137254889</v>
      </c>
      <c r="AD20" s="21">
        <v>4</v>
      </c>
      <c r="AE20" s="9">
        <v>393</v>
      </c>
      <c r="AF20" s="9">
        <v>1960</v>
      </c>
      <c r="AG20" s="23">
        <f t="shared" ca="1" si="19"/>
        <v>5.4977222553038976</v>
      </c>
      <c r="AH20" s="23">
        <f t="shared" ca="1" si="20"/>
        <v>5.4977222553038976</v>
      </c>
      <c r="AI20" s="120">
        <f t="shared" ca="1" si="21"/>
        <v>2.4977222553038976</v>
      </c>
      <c r="AJ20" s="120">
        <f t="shared" ca="1" si="22"/>
        <v>2.4977222553038976</v>
      </c>
      <c r="AK20" s="8">
        <f t="shared" ca="1" si="23"/>
        <v>1.7491458457389615</v>
      </c>
      <c r="AL20" s="8">
        <f t="shared" ca="1" si="24"/>
        <v>4.6059575494215439</v>
      </c>
      <c r="AM20" s="8">
        <f t="shared" ca="1" si="25"/>
        <v>0.37785699611058626</v>
      </c>
      <c r="AN20" s="8">
        <f t="shared" ca="1" si="26"/>
        <v>0.31484055787127285</v>
      </c>
      <c r="AO20" s="20">
        <v>3</v>
      </c>
      <c r="AP20" s="20">
        <v>4</v>
      </c>
      <c r="AQ20" s="20">
        <v>3</v>
      </c>
      <c r="AR20" s="129">
        <f t="shared" ref="AR20" si="68">IF(AP20=4,IF(AQ20=0,0.137+0.0697,0.137+0.02),IF(AP20=3,IF(AQ20=0,0.0958+0.0697,0.0958+0.02),IF(AP20=2,IF(AQ20=0,0.0415+0.0697,0.0415+0.02),IF(AP20=1,IF(AQ20=0,0.0294+0.0697,0.0294+0.02),IF(AP20=0,IF(AQ20=0,0.0063+0.0697,0.0063+0.02))))))</f>
        <v>0.157</v>
      </c>
      <c r="AS20">
        <v>760</v>
      </c>
    </row>
    <row r="21" spans="1:45" x14ac:dyDescent="0.25">
      <c r="A21" s="15" t="s">
        <v>307</v>
      </c>
      <c r="B21" s="24" t="s">
        <v>44</v>
      </c>
      <c r="C21" s="121">
        <f t="shared" ca="1" si="58"/>
        <v>15.125</v>
      </c>
      <c r="D21" s="216" t="s">
        <v>298</v>
      </c>
      <c r="E21" s="1">
        <v>17</v>
      </c>
      <c r="F21" s="2">
        <f ca="1">8-159+16-570-5+D2-D1-2-62</f>
        <v>98</v>
      </c>
      <c r="G21" s="3" t="s">
        <v>0</v>
      </c>
      <c r="H21" s="4">
        <v>4</v>
      </c>
      <c r="I21" s="5">
        <v>1.1000000000000001</v>
      </c>
      <c r="J21" s="22">
        <f t="shared" si="59"/>
        <v>5.5190246877633437E-2</v>
      </c>
      <c r="K21" s="6">
        <f t="shared" si="60"/>
        <v>17.600000000000001</v>
      </c>
      <c r="L21" s="6">
        <f t="shared" si="61"/>
        <v>27.500000000000004</v>
      </c>
      <c r="M21" s="130">
        <v>43045</v>
      </c>
      <c r="N21" s="131">
        <f ca="1">IF((TODAY()-M21)&gt;335,1,((TODAY()-M21)^0.64)/(336^0.64))</f>
        <v>0.4455392504211515</v>
      </c>
      <c r="O21" s="25">
        <v>5</v>
      </c>
      <c r="P21" s="20">
        <f t="shared" si="63"/>
        <v>69</v>
      </c>
      <c r="Q21" s="26">
        <v>6</v>
      </c>
      <c r="R21" s="115">
        <f t="shared" si="64"/>
        <v>0.92582009977255142</v>
      </c>
      <c r="S21" s="115">
        <f t="shared" si="65"/>
        <v>0.99928545900129484</v>
      </c>
      <c r="T21" s="29">
        <v>1300</v>
      </c>
      <c r="U21" s="29">
        <f>T21-AS21</f>
        <v>220</v>
      </c>
      <c r="V21" s="7">
        <v>310</v>
      </c>
      <c r="W21" s="8">
        <f t="shared" si="67"/>
        <v>4.193548387096774</v>
      </c>
      <c r="X21" s="21">
        <v>1</v>
      </c>
      <c r="Y21" s="22">
        <v>4</v>
      </c>
      <c r="Z21" s="21">
        <v>2</v>
      </c>
      <c r="AA21" s="22">
        <v>3</v>
      </c>
      <c r="AB21" s="21">
        <f>3.75+0.25+0.34+0.33+0.33</f>
        <v>5</v>
      </c>
      <c r="AC21" s="22">
        <f>5+1/20+1/20+1/20*5/90+1/20+1/20+1/20+1/20</f>
        <v>5.3027777777777771</v>
      </c>
      <c r="AD21" s="21">
        <v>6</v>
      </c>
      <c r="AE21" s="9">
        <v>436</v>
      </c>
      <c r="AF21" s="9">
        <v>1937</v>
      </c>
      <c r="AG21" s="23">
        <f ca="1">(AD21+1+(LOG(I21)*4/3)+N21)*(Q21/7)^0.5</f>
        <v>6.9443261315560809</v>
      </c>
      <c r="AH21" s="23">
        <f ca="1">(AD21+1+N21+(LOG(I21)*4/3))*(IF(Q21=7, (Q21/7)^0.5, ((Q21+1)/7)^0.5))</f>
        <v>7.500729497298785</v>
      </c>
      <c r="AI21" s="120">
        <f ca="1">(Z21+N21+(LOG(I21)*4/3))*(Q21/7)^0.5</f>
        <v>2.3152256326933234</v>
      </c>
      <c r="AJ21" s="120">
        <f ca="1">(Z21+N21+(LOG(I21)*4/3))*(IF(Q21=7, (Q21/7)^0.5, ((Q21+1)/7)^0.5))</f>
        <v>2.500729497298785</v>
      </c>
      <c r="AK21" s="8">
        <f ca="1">(((Y21+LOG(I21)*4/3+N21)+(AB21+LOG(I21)*4/3+N21)*2)/8)*(Q21/7)^0.5</f>
        <v>1.7940297120325477</v>
      </c>
      <c r="AL21" s="8">
        <f ca="1">(AD21+LOG(I21)*4/3+N21)*0.7+(AC21+LOG(I21)*4/3+N21)*0.3</f>
        <v>6.2915628306321185</v>
      </c>
      <c r="AM21" s="8">
        <f ca="1">(0.5*(AC21+LOG(I21)*4/3+N21)+ 0.3*(AD21+LOG(I21)*4/3+N21))/10</f>
        <v>0.48519724867279168</v>
      </c>
      <c r="AN21" s="8">
        <f ca="1">(0.4*(Y21+LOG(I21)*4/3+N21)+0.3*(AD21+LOG(I21)*4/3+N21))/10</f>
        <v>0.37505106481091499</v>
      </c>
      <c r="AO21" s="20">
        <v>1</v>
      </c>
      <c r="AP21" s="20">
        <v>1</v>
      </c>
      <c r="AQ21" s="20">
        <v>2</v>
      </c>
      <c r="AR21" s="129">
        <f>IF(AP21=4,IF(AQ21=0,0.137+0.0697,0.137+0.02),IF(AP21=3,IF(AQ21=0,0.0958+0.0697,0.0958+0.02),IF(AP21=2,IF(AQ21=0,0.0415+0.0697,0.0415+0.02),IF(AP21=1,IF(AQ21=0,0.0294+0.0697,0.0294+0.02),IF(AP21=0,IF(AQ21=0,0.0063+0.0697,0.0063+0.02))))))</f>
        <v>4.9399999999999999E-2</v>
      </c>
      <c r="AS21">
        <v>1080</v>
      </c>
    </row>
    <row r="22" spans="1:45" x14ac:dyDescent="0.25">
      <c r="A22" s="15" t="s">
        <v>366</v>
      </c>
      <c r="B22" s="15" t="s">
        <v>44</v>
      </c>
      <c r="C22" s="121">
        <f t="shared" ca="1" si="58"/>
        <v>14.741071428571429</v>
      </c>
      <c r="D22" s="215" t="s">
        <v>305</v>
      </c>
      <c r="E22" s="16">
        <v>18</v>
      </c>
      <c r="F22" s="2">
        <f ca="1">8-159+16-570-5+D2-D1-2-12-49+9-11+44-112</f>
        <v>29</v>
      </c>
      <c r="G22" s="18" t="s">
        <v>70</v>
      </c>
      <c r="H22" s="4">
        <v>3</v>
      </c>
      <c r="I22" s="27">
        <v>0.5</v>
      </c>
      <c r="J22" s="22">
        <f t="shared" si="59"/>
        <v>-0.40137332755197491</v>
      </c>
      <c r="K22" s="6">
        <f t="shared" si="60"/>
        <v>4.5</v>
      </c>
      <c r="L22" s="6">
        <f t="shared" si="61"/>
        <v>8</v>
      </c>
      <c r="M22" s="130">
        <v>43046</v>
      </c>
      <c r="N22" s="131">
        <f t="shared" ref="N22:N23" ca="1" si="69">IF((TODAY()-M22)&gt;335,1,((TODAY()-M22)^0.64)/(336^0.64))</f>
        <v>0.44253200842626411</v>
      </c>
      <c r="O22" s="19">
        <v>5</v>
      </c>
      <c r="P22" s="20">
        <f t="shared" si="63"/>
        <v>69</v>
      </c>
      <c r="Q22" s="26">
        <v>5</v>
      </c>
      <c r="R22" s="115">
        <f t="shared" si="64"/>
        <v>0.84515425472851657</v>
      </c>
      <c r="S22" s="115">
        <f t="shared" si="65"/>
        <v>0.92504826128926143</v>
      </c>
      <c r="T22" s="29">
        <v>2290</v>
      </c>
      <c r="U22" s="29">
        <f t="shared" ref="U22:U23" si="70">T22-AS22</f>
        <v>160</v>
      </c>
      <c r="V22" s="29">
        <v>370</v>
      </c>
      <c r="W22" s="8">
        <f t="shared" si="67"/>
        <v>6.1891891891891895</v>
      </c>
      <c r="X22" s="21">
        <v>0</v>
      </c>
      <c r="Y22" s="22">
        <v>5</v>
      </c>
      <c r="Z22" s="21">
        <v>2</v>
      </c>
      <c r="AA22" s="22">
        <v>3</v>
      </c>
      <c r="AB22" s="21">
        <v>5</v>
      </c>
      <c r="AC22" s="22">
        <f>6+1/23+1/23+1/23+1/23+1/23+1/23+1/23</f>
        <v>6.3043478260869579</v>
      </c>
      <c r="AD22" s="21">
        <v>3</v>
      </c>
      <c r="AE22" s="9">
        <v>480</v>
      </c>
      <c r="AF22" s="9">
        <v>1920</v>
      </c>
      <c r="AG22" s="23">
        <f t="shared" ref="AG22:AG23" ca="1" si="71">(AD22+1+(LOG(I22)*4/3)+N22)*(Q22/7)^0.5</f>
        <v>3.4154024531739853</v>
      </c>
      <c r="AH22" s="23">
        <f t="shared" ref="AH22:AH23" ca="1" si="72">(AD22+1+N22+(LOG(I22)*4/3))*(IF(Q22=7, (Q22/7)^0.5, ((Q22+1)/7)^0.5))</f>
        <v>3.7413859331237465</v>
      </c>
      <c r="AI22" s="120">
        <f t="shared" ref="AI22:AI23" ca="1" si="73">(Z22+N22+(LOG(I22)*4/3))*(Q22/7)^0.5</f>
        <v>1.7250939437169519</v>
      </c>
      <c r="AJ22" s="120">
        <f t="shared" ref="AJ22:AJ23" ca="1" si="74">(Z22+N22+(LOG(I22)*4/3))*(IF(Q22=7, (Q22/7)^0.5, ((Q22+1)/7)^0.5))</f>
        <v>1.8897457335786438</v>
      </c>
      <c r="AK22" s="8">
        <f t="shared" ref="AK22:AK23" ca="1" si="75">(((Y22+LOG(I22)*4/3+N22)+(AB22+LOG(I22)*4/3+N22)*2)/8)*(Q22/7)^0.5</f>
        <v>1.5977087654634379</v>
      </c>
      <c r="AL22" s="8">
        <f t="shared" ref="AL22:AL23" ca="1" si="76">(AD22+LOG(I22)*4/3+N22)*0.7+(AC22+LOG(I22)*4/3+N22)*0.3</f>
        <v>4.0324630287003762</v>
      </c>
      <c r="AM22" s="8">
        <f t="shared" ref="AM22:AM23" ca="1" si="77">(0.5*(AC22+LOG(I22)*4/3+N22)+ 0.3*(AD22+LOG(I22)*4/3+N22))/10</f>
        <v>0.40851008577429104</v>
      </c>
      <c r="AN22" s="8">
        <f t="shared" ref="AN22:AN23" ca="1" si="78">(0.4*(Y22+LOG(I22)*4/3+N22)+0.3*(AD22+LOG(I22)*4/3+N22))/10</f>
        <v>0.29288110766120024</v>
      </c>
      <c r="AO22" s="20">
        <v>2</v>
      </c>
      <c r="AP22" s="20">
        <v>3</v>
      </c>
      <c r="AQ22" s="20">
        <v>1</v>
      </c>
      <c r="AR22" s="129">
        <f t="shared" ref="AR22:AR23" si="79">IF(AP22=4,IF(AQ22=0,0.137+0.0697,0.137+0.02),IF(AP22=3,IF(AQ22=0,0.0958+0.0697,0.0958+0.02),IF(AP22=2,IF(AQ22=0,0.0415+0.0697,0.0415+0.02),IF(AP22=1,IF(AQ22=0,0.0294+0.0697,0.0294+0.02),IF(AP22=0,IF(AQ22=0,0.0063+0.0697,0.0063+0.02))))))</f>
        <v>0.1158</v>
      </c>
      <c r="AS22">
        <v>2130</v>
      </c>
    </row>
    <row r="23" spans="1:45" x14ac:dyDescent="0.25">
      <c r="A23" s="15" t="s">
        <v>368</v>
      </c>
      <c r="B23" s="15" t="s">
        <v>44</v>
      </c>
      <c r="C23" s="121">
        <f t="shared" ca="1" si="58"/>
        <v>15.133928571428571</v>
      </c>
      <c r="D23" s="215" t="s">
        <v>304</v>
      </c>
      <c r="E23" s="16">
        <v>17</v>
      </c>
      <c r="F23" s="2">
        <f ca="1">8-159+16-570-5+D2-D1-2-12-49+9-11</f>
        <v>97</v>
      </c>
      <c r="G23" s="18" t="s">
        <v>296</v>
      </c>
      <c r="H23" s="4">
        <v>4</v>
      </c>
      <c r="I23" s="27">
        <v>0.5</v>
      </c>
      <c r="J23" s="22">
        <f t="shared" si="59"/>
        <v>-0.40137332755197491</v>
      </c>
      <c r="K23" s="6">
        <f t="shared" si="60"/>
        <v>8</v>
      </c>
      <c r="L23" s="6">
        <f t="shared" si="61"/>
        <v>12.5</v>
      </c>
      <c r="M23" s="130">
        <v>43046</v>
      </c>
      <c r="N23" s="131">
        <f t="shared" ca="1" si="69"/>
        <v>0.44253200842626411</v>
      </c>
      <c r="O23" s="19">
        <v>5</v>
      </c>
      <c r="P23" s="20">
        <f t="shared" si="63"/>
        <v>69</v>
      </c>
      <c r="Q23" s="26">
        <v>6</v>
      </c>
      <c r="R23" s="115">
        <f t="shared" si="64"/>
        <v>0.92582009977255142</v>
      </c>
      <c r="S23" s="115">
        <f t="shared" si="65"/>
        <v>0.99928545900129484</v>
      </c>
      <c r="T23" s="29">
        <v>690</v>
      </c>
      <c r="U23" s="29">
        <f t="shared" si="70"/>
        <v>-10</v>
      </c>
      <c r="V23" s="29">
        <v>290</v>
      </c>
      <c r="W23" s="8">
        <f t="shared" si="67"/>
        <v>2.3793103448275863</v>
      </c>
      <c r="X23" s="21">
        <v>0</v>
      </c>
      <c r="Y23" s="22">
        <v>4</v>
      </c>
      <c r="Z23" s="21">
        <v>2</v>
      </c>
      <c r="AA23" s="22">
        <v>2</v>
      </c>
      <c r="AB23" s="21">
        <f>3+(0.25*0.16)+(0.25*0.16*3/90)+0.25*3/90+0.25*0.16</f>
        <v>3.0896666666666666</v>
      </c>
      <c r="AC23" s="22">
        <f>5+1/20+1/20*5/90+1/20+1/20+1/20+1/20</f>
        <v>5.2527777777777773</v>
      </c>
      <c r="AD23" s="21">
        <v>2.5</v>
      </c>
      <c r="AE23" s="9">
        <v>334</v>
      </c>
      <c r="AF23" s="9">
        <v>1923</v>
      </c>
      <c r="AG23" s="23">
        <f t="shared" ca="1" si="71"/>
        <v>3.278475883237471</v>
      </c>
      <c r="AH23" s="23">
        <f t="shared" ca="1" si="72"/>
        <v>3.5411586808742892</v>
      </c>
      <c r="AI23" s="120">
        <f t="shared" ca="1" si="73"/>
        <v>1.8897457335786438</v>
      </c>
      <c r="AJ23" s="120">
        <f t="shared" ca="1" si="74"/>
        <v>2.0411586808742892</v>
      </c>
      <c r="AK23" s="8">
        <f t="shared" ca="1" si="75"/>
        <v>1.1923185005481685</v>
      </c>
      <c r="AL23" s="8">
        <f t="shared" ca="1" si="76"/>
        <v>3.366992014207622</v>
      </c>
      <c r="AM23" s="8">
        <f t="shared" ca="1" si="77"/>
        <v>0.34093158335883195</v>
      </c>
      <c r="AN23" s="8">
        <f t="shared" ca="1" si="78"/>
        <v>0.23788110766120027</v>
      </c>
      <c r="AO23" s="20">
        <v>1</v>
      </c>
      <c r="AP23" s="20">
        <v>2</v>
      </c>
      <c r="AQ23" s="20">
        <v>1</v>
      </c>
      <c r="AR23" s="129">
        <f t="shared" si="79"/>
        <v>6.1499999999999999E-2</v>
      </c>
      <c r="AS23">
        <v>700</v>
      </c>
    </row>
    <row r="24" spans="1:45" x14ac:dyDescent="0.25">
      <c r="A24" s="15"/>
      <c r="B24" s="15"/>
      <c r="C24" s="121"/>
      <c r="D24" s="28" t="s">
        <v>183</v>
      </c>
      <c r="E24" s="16"/>
      <c r="F24" s="17"/>
      <c r="G24" s="18"/>
      <c r="H24" s="4"/>
      <c r="I24" s="27"/>
      <c r="J24" s="22"/>
      <c r="K24" s="6"/>
      <c r="L24" s="6"/>
      <c r="M24" s="130"/>
      <c r="N24" s="131"/>
      <c r="O24" s="19"/>
      <c r="P24" s="20"/>
      <c r="Q24" s="20"/>
      <c r="R24" s="115"/>
      <c r="S24" s="115"/>
      <c r="T24" s="29"/>
      <c r="U24" s="29"/>
      <c r="V24" s="29"/>
      <c r="W24" s="8"/>
      <c r="X24" s="21"/>
      <c r="Y24" s="22"/>
      <c r="Z24" s="21"/>
      <c r="AA24" s="22"/>
      <c r="AB24" s="21"/>
      <c r="AC24" s="22"/>
      <c r="AD24" s="21"/>
      <c r="AE24" s="9"/>
      <c r="AF24" s="9"/>
      <c r="AG24" s="23"/>
      <c r="AH24" s="23"/>
      <c r="AI24" s="120"/>
      <c r="AJ24" s="120"/>
      <c r="AK24" s="8"/>
      <c r="AL24" s="8"/>
      <c r="AM24" s="8"/>
      <c r="AN24" s="8"/>
      <c r="AO24" s="20">
        <v>0</v>
      </c>
      <c r="AP24" s="20">
        <v>4</v>
      </c>
      <c r="AQ24" s="20">
        <v>0</v>
      </c>
      <c r="AR24" s="129">
        <f t="shared" ref="AR24" si="80">IF(AP24=4,IF(AQ24=0,0.137+0.0697,0.137+0.02),IF(AP24=3,IF(AQ24=0,0.0958+0.0697,0.0958+0.02),IF(AP24=2,IF(AQ24=0,0.0415+0.0697,0.0415+0.02),IF(AP24=1,IF(AQ24=0,0.0294+0.0697,0.0294+0.02),IF(AP24=0,IF(AQ24=0,0.0063+0.0697,0.0063+0.02))))))</f>
        <v>0.20669999999999999</v>
      </c>
    </row>
    <row r="25" spans="1:45" x14ac:dyDescent="0.25">
      <c r="V25" s="69"/>
    </row>
    <row r="27" spans="1:45" x14ac:dyDescent="0.25">
      <c r="V27" s="69"/>
    </row>
  </sheetData>
  <conditionalFormatting sqref="U2">
    <cfRule type="dataBar" priority="470">
      <dataBar>
        <cfvo type="min"/>
        <cfvo type="max"/>
        <color rgb="FF63C384"/>
      </dataBar>
      <extLst>
        <ext xmlns:x14="http://schemas.microsoft.com/office/spreadsheetml/2009/9/main" uri="{B025F937-C7B1-47D3-B67F-A62EFF666E3E}">
          <x14:id>{1A3317A4-2E15-4A61-81B2-0B5998394877}</x14:id>
        </ext>
      </extLst>
    </cfRule>
  </conditionalFormatting>
  <conditionalFormatting sqref="I11 I18:I24">
    <cfRule type="cellIs" dxfId="24" priority="99" operator="lessThan">
      <formula>6</formula>
    </cfRule>
  </conditionalFormatting>
  <conditionalFormatting sqref="N18:N24">
    <cfRule type="cellIs" dxfId="23" priority="98" operator="lessThan">
      <formula>0.75</formula>
    </cfRule>
  </conditionalFormatting>
  <conditionalFormatting sqref="P11 P18:P24">
    <cfRule type="cellIs" dxfId="22" priority="96" operator="greaterThan">
      <formula>90</formula>
    </cfRule>
    <cfRule type="cellIs" dxfId="21" priority="97" operator="lessThan">
      <formula>85</formula>
    </cfRule>
  </conditionalFormatting>
  <conditionalFormatting sqref="I4:I10 I12:I16">
    <cfRule type="cellIs" dxfId="20" priority="40" operator="lessThan">
      <formula>6</formula>
    </cfRule>
  </conditionalFormatting>
  <conditionalFormatting sqref="N4:N16">
    <cfRule type="cellIs" dxfId="19" priority="39" operator="lessThan">
      <formula>0.75</formula>
    </cfRule>
  </conditionalFormatting>
  <conditionalFormatting sqref="P4:P10 P12:P16">
    <cfRule type="cellIs" dxfId="18" priority="37" operator="greaterThan">
      <formula>90</formula>
    </cfRule>
    <cfRule type="cellIs" dxfId="17" priority="38" operator="lessThan">
      <formula>85</formula>
    </cfRule>
  </conditionalFormatting>
  <conditionalFormatting sqref="C24">
    <cfRule type="colorScale" priority="5007">
      <colorScale>
        <cfvo type="min"/>
        <cfvo type="max"/>
        <color rgb="FFFFEF9C"/>
        <color rgb="FF63BE7B"/>
      </colorScale>
    </cfRule>
  </conditionalFormatting>
  <conditionalFormatting sqref="I17">
    <cfRule type="cellIs" dxfId="16" priority="20" operator="lessThan">
      <formula>6</formula>
    </cfRule>
  </conditionalFormatting>
  <conditionalFormatting sqref="N17">
    <cfRule type="cellIs" dxfId="15" priority="19" operator="lessThan">
      <formula>0.75</formula>
    </cfRule>
  </conditionalFormatting>
  <conditionalFormatting sqref="P17">
    <cfRule type="cellIs" dxfId="14" priority="17" operator="greaterThan">
      <formula>90</formula>
    </cfRule>
    <cfRule type="cellIs" dxfId="13" priority="18" operator="lessThan">
      <formula>85</formula>
    </cfRule>
  </conditionalFormatting>
  <conditionalFormatting sqref="C4:C23">
    <cfRule type="colorScale" priority="5016">
      <colorScale>
        <cfvo type="min"/>
        <cfvo type="max"/>
        <color rgb="FFFFEF9C"/>
        <color rgb="FF63BE7B"/>
      </colorScale>
    </cfRule>
  </conditionalFormatting>
  <conditionalFormatting sqref="R4:S23">
    <cfRule type="colorScale" priority="5017">
      <colorScale>
        <cfvo type="min"/>
        <cfvo type="percentile" val="50"/>
        <cfvo type="max"/>
        <color rgb="FFF8696B"/>
        <color rgb="FFFFEB84"/>
        <color rgb="FF63BE7B"/>
      </colorScale>
    </cfRule>
  </conditionalFormatting>
  <conditionalFormatting sqref="T4:T23">
    <cfRule type="dataBar" priority="5018">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3">
    <cfRule type="dataBar" priority="5019">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3">
    <cfRule type="dataBar" priority="5020">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23">
    <cfRule type="dataBar" priority="5021">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23">
    <cfRule type="colorScale" priority="5022">
      <colorScale>
        <cfvo type="min"/>
        <cfvo type="max"/>
        <color rgb="FFFCFCFF"/>
        <color rgb="FFF8696B"/>
      </colorScale>
    </cfRule>
  </conditionalFormatting>
  <conditionalFormatting sqref="AE4:AE23">
    <cfRule type="dataBar" priority="5023">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23">
    <cfRule type="dataBar" priority="5024">
      <dataBar>
        <cfvo type="min"/>
        <cfvo type="max"/>
        <color rgb="FF638EC6"/>
      </dataBar>
      <extLst>
        <ext xmlns:x14="http://schemas.microsoft.com/office/spreadsheetml/2009/9/main" uri="{B025F937-C7B1-47D3-B67F-A62EFF666E3E}">
          <x14:id>{39454924-5FFD-4BA1-95CE-A7F67257BF61}</x14:id>
        </ext>
      </extLst>
    </cfRule>
  </conditionalFormatting>
  <conditionalFormatting sqref="AG4:AH23">
    <cfRule type="colorScale" priority="5025">
      <colorScale>
        <cfvo type="min"/>
        <cfvo type="percentile" val="50"/>
        <cfvo type="max"/>
        <color rgb="FFF8696B"/>
        <color rgb="FFFCFCFF"/>
        <color rgb="FF63BE7B"/>
      </colorScale>
    </cfRule>
  </conditionalFormatting>
  <conditionalFormatting sqref="AI4:AJ23">
    <cfRule type="colorScale" priority="5026">
      <colorScale>
        <cfvo type="min"/>
        <cfvo type="percentile" val="50"/>
        <cfvo type="max"/>
        <color rgb="FFF8696B"/>
        <color rgb="FFFFEB84"/>
        <color rgb="FF63BE7B"/>
      </colorScale>
    </cfRule>
  </conditionalFormatting>
  <conditionalFormatting sqref="AK4:AK23">
    <cfRule type="colorScale" priority="5027">
      <colorScale>
        <cfvo type="min"/>
        <cfvo type="percentile" val="50"/>
        <cfvo type="max"/>
        <color rgb="FFF8696B"/>
        <color rgb="FFFCFCFF"/>
        <color rgb="FF63BE7B"/>
      </colorScale>
    </cfRule>
  </conditionalFormatting>
  <conditionalFormatting sqref="AL4:AL23">
    <cfRule type="colorScale" priority="5028">
      <colorScale>
        <cfvo type="min"/>
        <cfvo type="percentile" val="50"/>
        <cfvo type="max"/>
        <color rgb="FFF8696B"/>
        <color rgb="FFFFEB84"/>
        <color rgb="FF63BE7B"/>
      </colorScale>
    </cfRule>
  </conditionalFormatting>
  <conditionalFormatting sqref="AM4:AN23">
    <cfRule type="colorScale" priority="5029">
      <colorScale>
        <cfvo type="min"/>
        <cfvo type="percentile" val="50"/>
        <cfvo type="max"/>
        <color rgb="FFF8696B"/>
        <color rgb="FFFCFCFF"/>
        <color rgb="FF63BE7B"/>
      </colorScale>
    </cfRule>
  </conditionalFormatting>
  <conditionalFormatting sqref="AR4:AR23">
    <cfRule type="colorScale" priority="5030">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T4:T23</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U4:U23</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V4:V23</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W4:W23</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AE4:AE23</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AF4:AF23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20" sqref="J2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200" t="s">
        <v>338</v>
      </c>
      <c r="F1" s="201" t="s">
        <v>339</v>
      </c>
      <c r="G1" s="202"/>
      <c r="H1" s="202"/>
      <c r="I1" s="203" t="s">
        <v>338</v>
      </c>
      <c r="J1" s="204" t="s">
        <v>339</v>
      </c>
      <c r="K1" s="89"/>
      <c r="P1" s="200" t="s">
        <v>338</v>
      </c>
      <c r="Q1" s="201" t="s">
        <v>339</v>
      </c>
      <c r="R1" s="200"/>
      <c r="S1" s="201"/>
    </row>
    <row r="2" spans="1:19" x14ac:dyDescent="0.25">
      <c r="A2" s="205" t="s">
        <v>3</v>
      </c>
      <c r="B2" s="205" t="s">
        <v>340</v>
      </c>
      <c r="C2" s="205" t="s">
        <v>341</v>
      </c>
      <c r="D2" s="205" t="s">
        <v>18</v>
      </c>
      <c r="E2" s="200" t="s">
        <v>8</v>
      </c>
      <c r="F2" s="201" t="s">
        <v>8</v>
      </c>
      <c r="G2" s="202" t="s">
        <v>7</v>
      </c>
      <c r="H2" s="202" t="s">
        <v>7</v>
      </c>
      <c r="I2" s="203" t="s">
        <v>342</v>
      </c>
      <c r="J2" s="204" t="s">
        <v>342</v>
      </c>
      <c r="K2" s="89"/>
      <c r="P2" s="200" t="s">
        <v>8</v>
      </c>
      <c r="Q2" s="201" t="s">
        <v>8</v>
      </c>
      <c r="R2" s="200" t="s">
        <v>7</v>
      </c>
      <c r="S2" s="201" t="s">
        <v>7</v>
      </c>
    </row>
    <row r="3" spans="1:19" x14ac:dyDescent="0.25">
      <c r="A3" s="206" t="str">
        <f>PLANTILLA!D4</f>
        <v>Alberto Ercilla</v>
      </c>
      <c r="B3" s="207">
        <f>PLANTILLA!E4</f>
        <v>22</v>
      </c>
      <c r="C3" s="207">
        <f>PLANTILLA!H4</f>
        <v>4</v>
      </c>
      <c r="D3" s="208">
        <f>PLANTILLA!I4</f>
        <v>2.4</v>
      </c>
      <c r="E3" s="209">
        <f>D3</f>
        <v>2.4</v>
      </c>
      <c r="F3" s="209">
        <f>E3+0.1</f>
        <v>2.5</v>
      </c>
      <c r="G3" s="209">
        <f>C3</f>
        <v>4</v>
      </c>
      <c r="H3" s="209">
        <f>G3+0.99</f>
        <v>4.99</v>
      </c>
      <c r="I3" s="210">
        <f>G3*G3*E3</f>
        <v>38.4</v>
      </c>
      <c r="J3" s="210">
        <f>H3*H3*F3</f>
        <v>62.250250000000008</v>
      </c>
      <c r="K3" s="211"/>
      <c r="N3" s="52" t="s">
        <v>342</v>
      </c>
      <c r="O3" t="str">
        <f>A4</f>
        <v>Marc Dolz</v>
      </c>
      <c r="P3" s="212">
        <f>E4</f>
        <v>1</v>
      </c>
      <c r="Q3" s="212">
        <f t="shared" ref="Q3:S3" si="0">F4</f>
        <v>1.1000000000000001</v>
      </c>
      <c r="R3" s="212">
        <f t="shared" si="0"/>
        <v>3</v>
      </c>
      <c r="S3" s="212">
        <f t="shared" si="0"/>
        <v>3.99</v>
      </c>
    </row>
    <row r="4" spans="1:19" x14ac:dyDescent="0.25">
      <c r="A4" s="206" t="str">
        <f>PLANTILLA!D5</f>
        <v>Marc Dolz</v>
      </c>
      <c r="B4" s="207">
        <f>PLANTILLA!E5</f>
        <v>17</v>
      </c>
      <c r="C4" s="207">
        <f>PLANTILLA!H5</f>
        <v>3</v>
      </c>
      <c r="D4" s="208">
        <f>PLANTILLA!I5</f>
        <v>1</v>
      </c>
      <c r="E4" s="209">
        <f t="shared" ref="E4:E21" si="1">D4</f>
        <v>1</v>
      </c>
      <c r="F4" s="209">
        <f t="shared" ref="F4:F21" si="2">E4+0.1</f>
        <v>1.1000000000000001</v>
      </c>
      <c r="G4" s="209">
        <f t="shared" ref="G4:G21" si="3">C4</f>
        <v>3</v>
      </c>
      <c r="H4" s="209">
        <f t="shared" ref="H4:H21" si="4">G4+0.99</f>
        <v>3.99</v>
      </c>
      <c r="I4" s="210">
        <f t="shared" ref="I4:I21" si="5">G4*G4*E4</f>
        <v>9</v>
      </c>
      <c r="J4" s="210">
        <f t="shared" ref="J4:J21" si="6">H4*H4*F4</f>
        <v>17.512110000000003</v>
      </c>
      <c r="K4" s="211"/>
      <c r="O4" t="str">
        <f>A5</f>
        <v>Manuel Parejo</v>
      </c>
      <c r="P4" s="212">
        <f>E5</f>
        <v>1.3</v>
      </c>
      <c r="Q4" s="212">
        <f>F5</f>
        <v>1.4000000000000001</v>
      </c>
      <c r="R4" s="212">
        <f>G5</f>
        <v>1</v>
      </c>
      <c r="S4" s="212">
        <f>H5</f>
        <v>1.99</v>
      </c>
    </row>
    <row r="5" spans="1:19" x14ac:dyDescent="0.25">
      <c r="A5" s="206" t="str">
        <f>PLANTILLA!D6</f>
        <v>Manuel Parejo</v>
      </c>
      <c r="B5" s="207">
        <f>PLANTILLA!E6</f>
        <v>17</v>
      </c>
      <c r="C5" s="207">
        <f>PLANTILLA!H6</f>
        <v>1</v>
      </c>
      <c r="D5" s="208">
        <f>PLANTILLA!I6</f>
        <v>1.3</v>
      </c>
      <c r="E5" s="209">
        <f t="shared" si="1"/>
        <v>1.3</v>
      </c>
      <c r="F5" s="209">
        <f t="shared" si="2"/>
        <v>1.4000000000000001</v>
      </c>
      <c r="G5" s="209">
        <f t="shared" si="3"/>
        <v>1</v>
      </c>
      <c r="H5" s="209">
        <f t="shared" si="4"/>
        <v>1.99</v>
      </c>
      <c r="I5" s="210">
        <f t="shared" si="5"/>
        <v>1.3</v>
      </c>
      <c r="J5" s="210">
        <f t="shared" si="6"/>
        <v>5.5441400000000005</v>
      </c>
      <c r="K5" s="211"/>
      <c r="L5" s="139"/>
      <c r="O5" t="str">
        <f>A8</f>
        <v>Roberto Montero</v>
      </c>
      <c r="P5" s="212">
        <f>E8</f>
        <v>0.5</v>
      </c>
      <c r="Q5" s="212">
        <f>F8</f>
        <v>0.6</v>
      </c>
      <c r="R5" s="212">
        <f>G8</f>
        <v>2</v>
      </c>
      <c r="S5" s="212">
        <f>H8</f>
        <v>2.99</v>
      </c>
    </row>
    <row r="6" spans="1:19" x14ac:dyDescent="0.25">
      <c r="A6" s="206" t="str">
        <f>PLANTILLA!D7</f>
        <v>Valeri Gomis</v>
      </c>
      <c r="B6" s="207">
        <f>PLANTILLA!E7</f>
        <v>17</v>
      </c>
      <c r="C6" s="207">
        <f>PLANTILLA!H7</f>
        <v>6</v>
      </c>
      <c r="D6" s="208">
        <f>PLANTILLA!I7</f>
        <v>1.5</v>
      </c>
      <c r="E6" s="209">
        <f t="shared" si="1"/>
        <v>1.5</v>
      </c>
      <c r="F6" s="209">
        <f t="shared" si="2"/>
        <v>1.6</v>
      </c>
      <c r="G6" s="209">
        <f t="shared" si="3"/>
        <v>6</v>
      </c>
      <c r="H6" s="209">
        <f t="shared" si="4"/>
        <v>6.99</v>
      </c>
      <c r="I6" s="210">
        <f t="shared" si="5"/>
        <v>54</v>
      </c>
      <c r="J6" s="210">
        <f t="shared" si="6"/>
        <v>78.17616000000001</v>
      </c>
      <c r="K6" s="211"/>
      <c r="O6" t="str">
        <f>A11</f>
        <v>Fernando Gazón</v>
      </c>
      <c r="P6" s="212">
        <f>E11</f>
        <v>1.1000000000000001</v>
      </c>
      <c r="Q6" s="212">
        <f t="shared" ref="Q6:S6" si="7">F11</f>
        <v>1.2000000000000002</v>
      </c>
      <c r="R6" s="212">
        <f t="shared" si="7"/>
        <v>3</v>
      </c>
      <c r="S6" s="212">
        <f t="shared" si="7"/>
        <v>3.99</v>
      </c>
    </row>
    <row r="7" spans="1:19" x14ac:dyDescent="0.25">
      <c r="A7" s="206" t="str">
        <f>PLANTILLA!D8</f>
        <v>J. G. de Minaya</v>
      </c>
      <c r="B7" s="207">
        <f>PLANTILLA!E8</f>
        <v>18</v>
      </c>
      <c r="C7" s="207">
        <f>PLANTILLA!H8</f>
        <v>0</v>
      </c>
      <c r="D7" s="208">
        <f>PLANTILLA!I8</f>
        <v>1.7</v>
      </c>
      <c r="E7" s="209">
        <f t="shared" si="1"/>
        <v>1.7</v>
      </c>
      <c r="F7" s="209">
        <f t="shared" si="2"/>
        <v>1.8</v>
      </c>
      <c r="G7" s="209">
        <f t="shared" si="3"/>
        <v>0</v>
      </c>
      <c r="H7" s="209">
        <f t="shared" si="4"/>
        <v>0.99</v>
      </c>
      <c r="I7" s="210">
        <f t="shared" si="5"/>
        <v>0</v>
      </c>
      <c r="J7" s="210">
        <f t="shared" si="6"/>
        <v>1.7641800000000001</v>
      </c>
      <c r="K7" s="211"/>
      <c r="O7" t="str">
        <f>A3</f>
        <v>Alberto Ercilla</v>
      </c>
      <c r="P7" s="212">
        <f>E3</f>
        <v>2.4</v>
      </c>
      <c r="Q7" s="212">
        <f>F3</f>
        <v>2.5</v>
      </c>
      <c r="R7" s="212">
        <f>G3</f>
        <v>4</v>
      </c>
      <c r="S7" s="212">
        <f>H3</f>
        <v>4.99</v>
      </c>
    </row>
    <row r="8" spans="1:19" x14ac:dyDescent="0.25">
      <c r="A8" s="206" t="str">
        <f>PLANTILLA!D9</f>
        <v>Roberto Montero</v>
      </c>
      <c r="B8" s="207">
        <f>PLANTILLA!E9</f>
        <v>18</v>
      </c>
      <c r="C8" s="207">
        <f>PLANTILLA!H9</f>
        <v>2</v>
      </c>
      <c r="D8" s="208">
        <f>PLANTILLA!I9</f>
        <v>0.5</v>
      </c>
      <c r="E8" s="209">
        <f t="shared" si="1"/>
        <v>0.5</v>
      </c>
      <c r="F8" s="209">
        <f t="shared" si="2"/>
        <v>0.6</v>
      </c>
      <c r="G8" s="209">
        <f t="shared" si="3"/>
        <v>2</v>
      </c>
      <c r="H8" s="209">
        <f t="shared" si="4"/>
        <v>2.99</v>
      </c>
      <c r="I8" s="210">
        <f t="shared" si="5"/>
        <v>2</v>
      </c>
      <c r="J8" s="210">
        <f t="shared" si="6"/>
        <v>5.3640600000000003</v>
      </c>
      <c r="K8" s="211"/>
      <c r="O8" t="str">
        <f>A13</f>
        <v>Julio Calle</v>
      </c>
      <c r="P8" s="212">
        <f>E13</f>
        <v>0.5</v>
      </c>
      <c r="Q8" s="212">
        <f>F13</f>
        <v>0.6</v>
      </c>
      <c r="R8" s="212">
        <f>G13</f>
        <v>3</v>
      </c>
      <c r="S8" s="212">
        <f>H13</f>
        <v>3.99</v>
      </c>
    </row>
    <row r="9" spans="1:19" x14ac:dyDescent="0.25">
      <c r="A9" s="206" t="str">
        <f>PLANTILLA!D10</f>
        <v>Eckardt Hägerling</v>
      </c>
      <c r="B9" s="207">
        <f>PLANTILLA!E10</f>
        <v>17</v>
      </c>
      <c r="C9" s="207">
        <f>PLANTILLA!H10</f>
        <v>3</v>
      </c>
      <c r="D9" s="208">
        <f>PLANTILLA!I10</f>
        <v>1.3</v>
      </c>
      <c r="E9" s="209">
        <f t="shared" si="1"/>
        <v>1.3</v>
      </c>
      <c r="F9" s="209">
        <f t="shared" si="2"/>
        <v>1.4000000000000001</v>
      </c>
      <c r="G9" s="209">
        <f t="shared" si="3"/>
        <v>3</v>
      </c>
      <c r="H9" s="209">
        <f t="shared" si="4"/>
        <v>3.99</v>
      </c>
      <c r="I9" s="210">
        <f t="shared" si="5"/>
        <v>11.700000000000001</v>
      </c>
      <c r="J9" s="210">
        <f t="shared" si="6"/>
        <v>22.288140000000006</v>
      </c>
      <c r="K9" s="211"/>
      <c r="O9" t="str">
        <f>A16</f>
        <v>Paulo Beltrán</v>
      </c>
      <c r="P9" s="212">
        <f>E16</f>
        <v>1.1000000000000001</v>
      </c>
      <c r="Q9" s="212">
        <f>F16</f>
        <v>1.2000000000000002</v>
      </c>
      <c r="R9" s="212">
        <f>G16</f>
        <v>3</v>
      </c>
      <c r="S9" s="212">
        <f>H16</f>
        <v>3.99</v>
      </c>
    </row>
    <row r="10" spans="1:19" x14ac:dyDescent="0.25">
      <c r="A10" s="206" t="str">
        <f>PLANTILLA!D13</f>
        <v>Raul Riquelme</v>
      </c>
      <c r="B10" s="207">
        <f>PLANTILLA!E13</f>
        <v>17</v>
      </c>
      <c r="C10" s="207">
        <f>PLANTILLA!H13</f>
        <v>6</v>
      </c>
      <c r="D10" s="208">
        <f>PLANTILLA!I13</f>
        <v>1.3</v>
      </c>
      <c r="E10" s="209">
        <f t="shared" si="1"/>
        <v>1.3</v>
      </c>
      <c r="F10" s="209">
        <f t="shared" si="2"/>
        <v>1.4000000000000001</v>
      </c>
      <c r="G10" s="209">
        <f t="shared" si="3"/>
        <v>6</v>
      </c>
      <c r="H10" s="209">
        <f t="shared" si="4"/>
        <v>6.99</v>
      </c>
      <c r="I10" s="210">
        <f t="shared" si="5"/>
        <v>46.800000000000004</v>
      </c>
      <c r="J10" s="210">
        <f t="shared" si="6"/>
        <v>68.404140000000012</v>
      </c>
      <c r="K10" s="211"/>
      <c r="O10" t="str">
        <f>A14</f>
        <v>Enrique Cubas</v>
      </c>
      <c r="P10" s="212">
        <f>E14</f>
        <v>1.5</v>
      </c>
      <c r="Q10" s="212">
        <f>F14</f>
        <v>1.6</v>
      </c>
      <c r="R10" s="212">
        <f>G14</f>
        <v>1</v>
      </c>
      <c r="S10" s="212">
        <f>H14</f>
        <v>1.99</v>
      </c>
    </row>
    <row r="11" spans="1:19" x14ac:dyDescent="0.25">
      <c r="A11" s="206" t="str">
        <f>PLANTILLA!D14</f>
        <v>Fernando Gazón</v>
      </c>
      <c r="B11" s="207">
        <f>PLANTILLA!E14</f>
        <v>18</v>
      </c>
      <c r="C11" s="207">
        <f>PLANTILLA!H14</f>
        <v>3</v>
      </c>
      <c r="D11" s="208">
        <f>PLANTILLA!I14</f>
        <v>1.1000000000000001</v>
      </c>
      <c r="E11" s="209">
        <f t="shared" si="1"/>
        <v>1.1000000000000001</v>
      </c>
      <c r="F11" s="209">
        <f t="shared" si="2"/>
        <v>1.2000000000000002</v>
      </c>
      <c r="G11" s="209">
        <f t="shared" si="3"/>
        <v>3</v>
      </c>
      <c r="H11" s="209">
        <f t="shared" si="4"/>
        <v>3.99</v>
      </c>
      <c r="I11" s="210">
        <f t="shared" si="5"/>
        <v>9.9</v>
      </c>
      <c r="J11" s="210">
        <f t="shared" si="6"/>
        <v>19.104120000000005</v>
      </c>
      <c r="K11" s="211"/>
      <c r="O11" t="str">
        <f>A10</f>
        <v>Raul Riquelme</v>
      </c>
      <c r="P11" s="212">
        <f>E10</f>
        <v>1.3</v>
      </c>
      <c r="Q11" s="212">
        <f>F10</f>
        <v>1.4000000000000001</v>
      </c>
      <c r="R11" s="212">
        <f>G10</f>
        <v>6</v>
      </c>
      <c r="S11" s="212">
        <f>H10</f>
        <v>6.99</v>
      </c>
    </row>
    <row r="12" spans="1:19" x14ac:dyDescent="0.25">
      <c r="A12" s="206" t="str">
        <f>PLANTILLA!D15</f>
        <v>Roberto Abenoza</v>
      </c>
      <c r="B12" s="207">
        <f>PLANTILLA!E15</f>
        <v>18</v>
      </c>
      <c r="C12" s="207">
        <f>PLANTILLA!H15</f>
        <v>4</v>
      </c>
      <c r="D12" s="208">
        <f>PLANTILLA!I15</f>
        <v>0.5</v>
      </c>
      <c r="E12" s="209">
        <f t="shared" si="1"/>
        <v>0.5</v>
      </c>
      <c r="F12" s="209">
        <f t="shared" si="2"/>
        <v>0.6</v>
      </c>
      <c r="G12" s="209">
        <f t="shared" si="3"/>
        <v>4</v>
      </c>
      <c r="H12" s="209">
        <f t="shared" si="4"/>
        <v>4.99</v>
      </c>
      <c r="I12" s="210">
        <f t="shared" si="5"/>
        <v>8</v>
      </c>
      <c r="J12" s="210">
        <f t="shared" si="6"/>
        <v>14.940060000000001</v>
      </c>
      <c r="K12" s="211"/>
      <c r="O12" t="str">
        <f>A7</f>
        <v>J. G. de Minaya</v>
      </c>
      <c r="P12" s="212">
        <f>E7</f>
        <v>1.7</v>
      </c>
      <c r="Q12" s="212">
        <f t="shared" ref="Q12:S12" si="8">F7</f>
        <v>1.8</v>
      </c>
      <c r="R12" s="212">
        <f t="shared" si="8"/>
        <v>0</v>
      </c>
      <c r="S12" s="212">
        <f t="shared" si="8"/>
        <v>0.99</v>
      </c>
    </row>
    <row r="13" spans="1:19" x14ac:dyDescent="0.25">
      <c r="A13" s="206" t="str">
        <f>PLANTILLA!D16</f>
        <v>Julio Calle</v>
      </c>
      <c r="B13" s="207">
        <f>PLANTILLA!E16</f>
        <v>17</v>
      </c>
      <c r="C13" s="207">
        <f>PLANTILLA!H16</f>
        <v>3</v>
      </c>
      <c r="D13" s="208">
        <f>PLANTILLA!I16</f>
        <v>0.5</v>
      </c>
      <c r="E13" s="209">
        <f t="shared" si="1"/>
        <v>0.5</v>
      </c>
      <c r="F13" s="209">
        <f t="shared" si="2"/>
        <v>0.6</v>
      </c>
      <c r="G13" s="209">
        <f t="shared" si="3"/>
        <v>3</v>
      </c>
      <c r="H13" s="209">
        <f t="shared" si="4"/>
        <v>3.99</v>
      </c>
      <c r="I13" s="210">
        <f t="shared" si="5"/>
        <v>4.5</v>
      </c>
      <c r="J13" s="210">
        <f t="shared" si="6"/>
        <v>9.5520600000000009</v>
      </c>
      <c r="K13" s="211"/>
      <c r="O13" t="str">
        <f>A12</f>
        <v>Roberto Abenoza</v>
      </c>
      <c r="P13" s="212">
        <f>E12</f>
        <v>0.5</v>
      </c>
      <c r="Q13" s="212">
        <f>F12</f>
        <v>0.6</v>
      </c>
      <c r="R13" s="212">
        <f>G12</f>
        <v>4</v>
      </c>
      <c r="S13" s="212">
        <f>H12</f>
        <v>4.99</v>
      </c>
    </row>
    <row r="14" spans="1:19" x14ac:dyDescent="0.25">
      <c r="A14" s="206" t="str">
        <f>PLANTILLA!D18</f>
        <v>Enrique Cubas</v>
      </c>
      <c r="B14" s="207">
        <f>PLANTILLA!E18</f>
        <v>17</v>
      </c>
      <c r="C14" s="207">
        <f>PLANTILLA!H18</f>
        <v>1</v>
      </c>
      <c r="D14" s="208">
        <f>PLANTILLA!I18</f>
        <v>1.5</v>
      </c>
      <c r="E14" s="209">
        <f t="shared" si="1"/>
        <v>1.5</v>
      </c>
      <c r="F14" s="209">
        <f t="shared" si="2"/>
        <v>1.6</v>
      </c>
      <c r="G14" s="209">
        <f t="shared" si="3"/>
        <v>1</v>
      </c>
      <c r="H14" s="209">
        <f t="shared" si="4"/>
        <v>1.99</v>
      </c>
      <c r="I14" s="210">
        <f t="shared" si="5"/>
        <v>1.5</v>
      </c>
      <c r="J14" s="210">
        <f t="shared" si="6"/>
        <v>6.3361600000000005</v>
      </c>
      <c r="K14" s="211"/>
      <c r="P14" s="37">
        <f>SUM(P4:P13)/10</f>
        <v>1.19</v>
      </c>
      <c r="Q14" s="37">
        <f>SUM(Q4:Q13)/10</f>
        <v>1.29</v>
      </c>
      <c r="R14" s="37"/>
      <c r="S14" s="37"/>
    </row>
    <row r="15" spans="1:19" x14ac:dyDescent="0.25">
      <c r="A15" s="206" t="str">
        <f>PLANTILLA!D19</f>
        <v>J. G. Peñuela</v>
      </c>
      <c r="B15" s="207">
        <f>PLANTILLA!E19</f>
        <v>17</v>
      </c>
      <c r="C15" s="207">
        <f>PLANTILLA!H19</f>
        <v>6</v>
      </c>
      <c r="D15" s="208">
        <f>PLANTILLA!I19</f>
        <v>1.4</v>
      </c>
      <c r="E15" s="209">
        <f t="shared" si="1"/>
        <v>1.4</v>
      </c>
      <c r="F15" s="209">
        <f t="shared" si="2"/>
        <v>1.5</v>
      </c>
      <c r="G15" s="209">
        <f t="shared" si="3"/>
        <v>6</v>
      </c>
      <c r="H15" s="209">
        <f t="shared" si="4"/>
        <v>6.99</v>
      </c>
      <c r="I15" s="210">
        <f t="shared" si="5"/>
        <v>50.4</v>
      </c>
      <c r="J15" s="210">
        <f t="shared" si="6"/>
        <v>73.290150000000011</v>
      </c>
      <c r="K15" s="211"/>
    </row>
    <row r="16" spans="1:19" x14ac:dyDescent="0.25">
      <c r="A16" s="206" t="str">
        <f>PLANTILLA!D20</f>
        <v>Paulo Beltrán</v>
      </c>
      <c r="B16" s="207">
        <f>PLANTILLA!E20</f>
        <v>17</v>
      </c>
      <c r="C16" s="207">
        <f>PLANTILLA!H20</f>
        <v>3</v>
      </c>
      <c r="D16" s="208">
        <f>PLANTILLA!I20</f>
        <v>1.1000000000000001</v>
      </c>
      <c r="E16" s="209">
        <f t="shared" si="1"/>
        <v>1.1000000000000001</v>
      </c>
      <c r="F16" s="209">
        <f t="shared" si="2"/>
        <v>1.2000000000000002</v>
      </c>
      <c r="G16" s="209">
        <f t="shared" si="3"/>
        <v>3</v>
      </c>
      <c r="H16" s="209">
        <f t="shared" si="4"/>
        <v>3.99</v>
      </c>
      <c r="I16" s="210">
        <f t="shared" si="5"/>
        <v>9.9</v>
      </c>
      <c r="J16" s="210">
        <f t="shared" si="6"/>
        <v>19.104120000000005</v>
      </c>
      <c r="K16" s="211"/>
      <c r="L16" s="71" t="s">
        <v>343</v>
      </c>
      <c r="O16" t="s">
        <v>344</v>
      </c>
      <c r="P16" s="32">
        <f>SUM(P3:P13)</f>
        <v>12.9</v>
      </c>
      <c r="Q16" s="32">
        <f>SUM(Q3:Q13)</f>
        <v>14.000000000000002</v>
      </c>
      <c r="R16" s="32"/>
    </row>
    <row r="17" spans="1:18" x14ac:dyDescent="0.25">
      <c r="A17" s="206" t="str">
        <f>PLANTILLA!D22</f>
        <v>Nicolás Eans</v>
      </c>
      <c r="B17" s="207">
        <f>PLANTILLA!E22</f>
        <v>18</v>
      </c>
      <c r="C17" s="207">
        <f>PLANTILLA!H22</f>
        <v>3</v>
      </c>
      <c r="D17" s="208">
        <f>PLANTILLA!I22</f>
        <v>0.5</v>
      </c>
      <c r="E17" s="209">
        <f t="shared" si="1"/>
        <v>0.5</v>
      </c>
      <c r="F17" s="209">
        <f t="shared" si="2"/>
        <v>0.6</v>
      </c>
      <c r="G17" s="209">
        <f t="shared" si="3"/>
        <v>3</v>
      </c>
      <c r="H17" s="209">
        <f t="shared" si="4"/>
        <v>3.99</v>
      </c>
      <c r="I17" s="210">
        <f t="shared" si="5"/>
        <v>4.5</v>
      </c>
      <c r="J17" s="210">
        <f t="shared" si="6"/>
        <v>9.5520600000000009</v>
      </c>
      <c r="K17" s="211"/>
      <c r="O17" t="s">
        <v>345</v>
      </c>
      <c r="P17" s="37">
        <f>P16/17</f>
        <v>0.75882352941176467</v>
      </c>
      <c r="Q17" s="37">
        <f>Q16/17</f>
        <v>0.82352941176470595</v>
      </c>
      <c r="R17" s="37"/>
    </row>
    <row r="18" spans="1:18" x14ac:dyDescent="0.25">
      <c r="A18" s="206" t="str">
        <f>PLANTILLA!D23</f>
        <v>Noel Fuster</v>
      </c>
      <c r="B18" s="207">
        <f>PLANTILLA!E23</f>
        <v>17</v>
      </c>
      <c r="C18" s="207">
        <f>PLANTILLA!H23</f>
        <v>4</v>
      </c>
      <c r="D18" s="208">
        <f>PLANTILLA!I23</f>
        <v>0.5</v>
      </c>
      <c r="E18" s="209">
        <f t="shared" si="1"/>
        <v>0.5</v>
      </c>
      <c r="F18" s="209">
        <f t="shared" si="2"/>
        <v>0.6</v>
      </c>
      <c r="G18" s="209">
        <f t="shared" si="3"/>
        <v>4</v>
      </c>
      <c r="H18" s="209">
        <f t="shared" si="4"/>
        <v>4.99</v>
      </c>
      <c r="I18" s="210">
        <f t="shared" si="5"/>
        <v>8</v>
      </c>
      <c r="J18" s="210">
        <f t="shared" si="6"/>
        <v>14.940060000000001</v>
      </c>
      <c r="K18" s="211"/>
      <c r="L18" s="71" t="s">
        <v>346</v>
      </c>
      <c r="O18" t="s">
        <v>347</v>
      </c>
      <c r="P18" s="32">
        <f>R3^2</f>
        <v>9</v>
      </c>
      <c r="Q18" s="32">
        <f>S3^2</f>
        <v>15.920100000000001</v>
      </c>
      <c r="R18" s="32"/>
    </row>
    <row r="19" spans="1:18" x14ac:dyDescent="0.25">
      <c r="A19" s="206" t="e">
        <f>PLANTILLA!#REF!</f>
        <v>#REF!</v>
      </c>
      <c r="B19" s="207" t="e">
        <f>PLANTILLA!#REF!</f>
        <v>#REF!</v>
      </c>
      <c r="C19" s="207" t="e">
        <f>PLANTILLA!#REF!</f>
        <v>#REF!</v>
      </c>
      <c r="D19" s="208" t="e">
        <f>PLANTILLA!#REF!</f>
        <v>#REF!</v>
      </c>
      <c r="E19" s="209" t="e">
        <f t="shared" si="1"/>
        <v>#REF!</v>
      </c>
      <c r="F19" s="209" t="e">
        <f t="shared" si="2"/>
        <v>#REF!</v>
      </c>
      <c r="G19" s="209" t="e">
        <f t="shared" si="3"/>
        <v>#REF!</v>
      </c>
      <c r="H19" s="209" t="e">
        <f t="shared" si="4"/>
        <v>#REF!</v>
      </c>
      <c r="I19" s="210" t="e">
        <f t="shared" si="5"/>
        <v>#REF!</v>
      </c>
      <c r="J19" s="210" t="e">
        <f t="shared" si="6"/>
        <v>#REF!</v>
      </c>
      <c r="K19" s="211"/>
      <c r="L19" s="71" t="s">
        <v>348</v>
      </c>
      <c r="O19" t="s">
        <v>349</v>
      </c>
      <c r="P19" s="32">
        <f>P18*P3</f>
        <v>9</v>
      </c>
      <c r="Q19" s="32">
        <f>Q18*Q3</f>
        <v>17.512110000000003</v>
      </c>
      <c r="R19" s="32"/>
    </row>
    <row r="20" spans="1:18" x14ac:dyDescent="0.25">
      <c r="A20" s="206" t="e">
        <f>PLANTILLA!#REF!</f>
        <v>#REF!</v>
      </c>
      <c r="B20" s="207" t="e">
        <f>PLANTILLA!#REF!</f>
        <v>#REF!</v>
      </c>
      <c r="C20" s="207" t="e">
        <f>PLANTILLA!#REF!</f>
        <v>#REF!</v>
      </c>
      <c r="D20" s="208" t="e">
        <f>PLANTILLA!#REF!</f>
        <v>#REF!</v>
      </c>
      <c r="E20" s="209" t="e">
        <f t="shared" si="1"/>
        <v>#REF!</v>
      </c>
      <c r="F20" s="209" t="e">
        <f t="shared" si="2"/>
        <v>#REF!</v>
      </c>
      <c r="G20" s="209" t="e">
        <f t="shared" si="3"/>
        <v>#REF!</v>
      </c>
      <c r="H20" s="209" t="e">
        <f t="shared" si="4"/>
        <v>#REF!</v>
      </c>
      <c r="I20" s="210" t="e">
        <f t="shared" si="5"/>
        <v>#REF!</v>
      </c>
      <c r="J20" s="210" t="e">
        <f t="shared" si="6"/>
        <v>#REF!</v>
      </c>
      <c r="K20" s="211"/>
      <c r="L20" s="71" t="s">
        <v>350</v>
      </c>
      <c r="O20" t="s">
        <v>351</v>
      </c>
      <c r="P20" s="37">
        <f>(P19^(2/3))/30</f>
        <v>0.14422495703074084</v>
      </c>
      <c r="Q20" s="37">
        <f>(Q19^(2/3))/30</f>
        <v>0.22478693358879417</v>
      </c>
      <c r="R20" s="37"/>
    </row>
    <row r="21" spans="1:18" x14ac:dyDescent="0.25">
      <c r="A21" s="206" t="str">
        <f>PLANTILLA!D24</f>
        <v>A. Ilisie</v>
      </c>
      <c r="B21" s="207">
        <f>PLANTILLA!E24</f>
        <v>0</v>
      </c>
      <c r="C21" s="207">
        <f>PLANTILLA!H24</f>
        <v>0</v>
      </c>
      <c r="D21" s="208">
        <f>PLANTILLA!I24</f>
        <v>0</v>
      </c>
      <c r="E21" s="209">
        <f t="shared" si="1"/>
        <v>0</v>
      </c>
      <c r="F21" s="209">
        <f t="shared" si="2"/>
        <v>0.1</v>
      </c>
      <c r="G21" s="209">
        <f t="shared" si="3"/>
        <v>0</v>
      </c>
      <c r="H21" s="209">
        <f t="shared" si="4"/>
        <v>0.99</v>
      </c>
      <c r="I21" s="210">
        <f t="shared" si="5"/>
        <v>0</v>
      </c>
      <c r="J21" s="210">
        <f t="shared" si="6"/>
        <v>9.801E-2</v>
      </c>
      <c r="K21" s="211"/>
      <c r="L21" s="71" t="s">
        <v>352</v>
      </c>
      <c r="O21" s="110" t="s">
        <v>169</v>
      </c>
      <c r="P21" s="157">
        <f>P17+P20</f>
        <v>0.90304848644250546</v>
      </c>
      <c r="Q21" s="157">
        <f>Q17+Q20</f>
        <v>1.0483163453535</v>
      </c>
    </row>
    <row r="22" spans="1:18" x14ac:dyDescent="0.25">
      <c r="A22" s="206"/>
      <c r="B22" s="207"/>
      <c r="C22" s="207"/>
      <c r="D22" s="208"/>
      <c r="E22" s="209"/>
      <c r="F22" s="209"/>
      <c r="G22" s="209"/>
      <c r="H22" s="209"/>
      <c r="I22" s="210"/>
      <c r="J22" s="210"/>
      <c r="K22" s="211"/>
      <c r="L22" t="s">
        <v>353</v>
      </c>
    </row>
    <row r="23" spans="1:18" x14ac:dyDescent="0.25">
      <c r="A23" s="206"/>
      <c r="B23" s="207"/>
      <c r="C23" s="207"/>
      <c r="D23" s="208"/>
      <c r="E23" s="209"/>
      <c r="F23" s="209"/>
      <c r="G23" s="209"/>
      <c r="H23" s="209"/>
      <c r="I23" s="210"/>
      <c r="J23" s="210"/>
      <c r="K23" s="211"/>
      <c r="O23" s="30"/>
    </row>
    <row r="24" spans="1:18" x14ac:dyDescent="0.25">
      <c r="A24" s="206"/>
      <c r="B24" s="207"/>
      <c r="C24" s="207"/>
      <c r="D24" s="208"/>
      <c r="E24" s="209"/>
      <c r="F24" s="209"/>
      <c r="G24" s="209"/>
      <c r="H24" s="209"/>
      <c r="I24" s="210"/>
      <c r="J24" s="210"/>
    </row>
    <row r="25" spans="1:18" x14ac:dyDescent="0.25">
      <c r="A25" s="206"/>
      <c r="B25" s="207"/>
      <c r="C25" s="207"/>
      <c r="D25" s="208"/>
      <c r="E25" s="209"/>
      <c r="F25" s="209"/>
      <c r="G25" s="209"/>
      <c r="H25" s="209"/>
      <c r="I25" s="210"/>
      <c r="J25" s="210"/>
    </row>
    <row r="26" spans="1:18" x14ac:dyDescent="0.25">
      <c r="A26" s="206"/>
      <c r="B26" s="207"/>
      <c r="C26" s="207"/>
      <c r="D26" s="208"/>
      <c r="E26" s="209"/>
      <c r="F26" s="209"/>
      <c r="G26" s="209"/>
      <c r="H26" s="209"/>
      <c r="I26" s="210"/>
      <c r="J26" s="210"/>
    </row>
    <row r="27" spans="1:18" x14ac:dyDescent="0.25">
      <c r="A27" s="206"/>
      <c r="B27" s="207"/>
      <c r="C27" s="207"/>
      <c r="D27" s="208"/>
      <c r="E27" s="209"/>
      <c r="F27" s="209"/>
      <c r="G27" s="209"/>
      <c r="H27" s="209"/>
      <c r="I27" s="210"/>
      <c r="J27" s="210"/>
    </row>
    <row r="28" spans="1:18" x14ac:dyDescent="0.25">
      <c r="A28" s="206"/>
      <c r="B28" s="207"/>
      <c r="C28" s="207"/>
      <c r="D28" s="208"/>
      <c r="E28" s="209"/>
      <c r="F28" s="209"/>
      <c r="G28" s="209"/>
      <c r="H28" s="209"/>
      <c r="I28" s="210"/>
      <c r="J28" s="210"/>
    </row>
    <row r="29" spans="1:18" x14ac:dyDescent="0.25">
      <c r="A29" s="206"/>
      <c r="B29" s="207"/>
      <c r="C29" s="207"/>
      <c r="D29" s="208"/>
      <c r="E29" s="209"/>
      <c r="F29" s="209"/>
      <c r="G29" s="209"/>
      <c r="H29" s="209"/>
      <c r="I29" s="210"/>
      <c r="J29" s="210"/>
    </row>
    <row r="30" spans="1:18" x14ac:dyDescent="0.25">
      <c r="A30" s="206"/>
      <c r="B30" s="207"/>
      <c r="C30" s="207"/>
      <c r="D30" s="208"/>
      <c r="E30" s="209"/>
      <c r="F30" s="209"/>
      <c r="G30" s="209"/>
      <c r="H30" s="209"/>
      <c r="I30" s="210"/>
      <c r="J30" s="210"/>
    </row>
    <row r="31" spans="1:18" x14ac:dyDescent="0.25">
      <c r="A31" s="206"/>
      <c r="B31" s="207"/>
      <c r="C31" s="207"/>
      <c r="D31" s="208"/>
      <c r="E31" s="209"/>
      <c r="F31" s="209"/>
      <c r="G31" s="209"/>
      <c r="H31" s="209"/>
      <c r="I31" s="210"/>
      <c r="J31" s="210"/>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Alberto Ercilla</v>
      </c>
      <c r="B3">
        <f>PLANTILLA!E4</f>
        <v>22</v>
      </c>
      <c r="C3" s="33">
        <f ca="1">PLANTILLA!F4</f>
        <v>47</v>
      </c>
      <c r="D3" s="65" t="str">
        <f>PLANTILLA!G4</f>
        <v>IMP</v>
      </c>
      <c r="E3" s="30">
        <f>PLANTILLA!M4</f>
        <v>43097</v>
      </c>
      <c r="F3" s="47">
        <f>PLANTILLA!Q4</f>
        <v>6</v>
      </c>
      <c r="G3" s="48">
        <f>(F3/7)^0.5</f>
        <v>0.92582009977255142</v>
      </c>
      <c r="H3" s="48">
        <f>IF(F3=7,1,((F3+0.99)/7)^0.5)</f>
        <v>0.99928545900129484</v>
      </c>
      <c r="I3" s="51">
        <f t="shared" ref="I3" ca="1" si="0">IF(TODAY()-E3&gt;335,1,((TODAY()-E3)^0.5)/336^0.5)</f>
        <v>0.35773760003135047</v>
      </c>
      <c r="J3" s="39">
        <f>PLANTILLA!I4</f>
        <v>2.4</v>
      </c>
      <c r="K3" s="46">
        <f>PLANTILLA!X4</f>
        <v>0</v>
      </c>
      <c r="L3" s="46">
        <f>PLANTILLA!Y4</f>
        <v>7</v>
      </c>
      <c r="M3" s="46">
        <f>PLANTILLA!Z4</f>
        <v>2</v>
      </c>
      <c r="N3" s="46">
        <f>PLANTILLA!AA4</f>
        <v>5</v>
      </c>
      <c r="O3" s="46">
        <f>PLANTILLA!AB4</f>
        <v>7.0305555555555559</v>
      </c>
      <c r="P3" s="46">
        <f>PLANTILLA!AC4</f>
        <v>5.2380952380952372</v>
      </c>
      <c r="Q3" s="46">
        <f>PLANTILLA!AD4</f>
        <v>4</v>
      </c>
      <c r="R3" s="46">
        <f>((2*(O3+1))+(L3+1))/8</f>
        <v>3.0076388888888888</v>
      </c>
      <c r="S3" s="46">
        <f>(0.5*P3+ 0.3*Q3)/10</f>
        <v>0.38190476190476186</v>
      </c>
      <c r="T3" s="46">
        <f>(0.4*L3+0.3*Q3)/10</f>
        <v>0.4</v>
      </c>
      <c r="U3" s="46">
        <f ca="1">IF(TODAY()-E3&gt;335,(Q3+1+(LOG(J3)*4/3))*(F3/7)^0.5,(Q3+((TODAY()-E3)^0.5)/(336^0.5)+(LOG(J3)*4/3))*(F3/7)^0.5)</f>
        <v>4.5038240059584025</v>
      </c>
      <c r="V3" s="46">
        <f ca="1">IF(F3=7,U3,IF(TODAY()-E3&gt;335,(Q3+1+(LOG(J3)*4/3))*((F3+0.99)/7)^0.5,(Q3+((TODAY()-E3)^0.5)/(336^0.5)+(LOG(J3)*4/3))*((F3+0.99)/7)^0.5))</f>
        <v>4.8612099047761745</v>
      </c>
      <c r="W3" s="37">
        <f ca="1">IF(TODAY()-E3&gt;335,((K3+1+(LOG(J3)*4/3))*0.597)+((L3+1+(LOG(J3)*4/3))*0.276),((K3+(((TODAY()-E3)^0.5)/(336^0.5))+(LOG(J3)*4/3))*0.597)+((L3+(((TODAY()-E3)^0.5)/(336^0.5))+(LOG(J3)*4/3))*0.276))</f>
        <v>2.6868708101796783</v>
      </c>
      <c r="X3" s="37">
        <f ca="1">IF(TODAY()-E3&gt;335,((K3+1+(LOG(J3)*4/3))*0.866)+((L3+1+(LOG(J3)*4/3))*0.425),((K3+(((TODAY()-E3)^0.5)/(336^0.5))+(LOG(J3)*4/3))*0.866)+((L3+(((TODAY()-E3)^0.5)/(336^0.5))+(LOG(J3)*4/3))*0.425))</f>
        <v>4.0913095257067171</v>
      </c>
      <c r="Y3" s="37">
        <f ca="1">W3</f>
        <v>2.6868708101796783</v>
      </c>
      <c r="Z3" s="37">
        <f ca="1">IF(TODAY()-E3&gt;335,((L3+1+(LOG(J3)*4/3))*0.516),((L3+(((TODAY()-E3)^0.5)/(336^0.516))+(LOG(J3)*4/3))*0.516))</f>
        <v>4.0417725040281498</v>
      </c>
      <c r="AA3" s="37">
        <f ca="1">IF(TODAY()-E3&gt;335,((L3+1+(LOG(J3)*4/3))*1),((L3+(((TODAY()-E3)^0.5)/(336^0.5))+(LOG(J3)*4/3))*1))</f>
        <v>7.8646859223134911</v>
      </c>
      <c r="AB3" s="37">
        <f ca="1">Z3/2</f>
        <v>2.0208862520140749</v>
      </c>
      <c r="AC3" s="37">
        <f ca="1">IF(TODAY()-E3&gt;335,((M3+1+(LOG(J3)*4/3))*0.238),((M3+(((TODAY()-E3)^0.5)/(336^0.238))+(LOG(J3)*4/3))*0.238))</f>
        <v>0.98753278914765497</v>
      </c>
      <c r="AD3" s="37">
        <f ca="1">IF(TODAY()-E3&gt;335,((L3+1+(LOG(J3)*4/3))*0.378),((L3+(((TODAY()-E3)^0.5)/(336^0.516))+(LOG(J3)*4/3))*0.378))</f>
        <v>2.9608333459741099</v>
      </c>
      <c r="AE3" s="37">
        <f ca="1">IF(TODAY()-E3&gt;335,((L3+1+(LOG(J3)*4/3))*0.723),((L3+(((TODAY()-E3)^0.5)/(336^0.5))+(LOG(J3)*4/3))*0.723))</f>
        <v>5.686167921832654</v>
      </c>
      <c r="AF3" s="37">
        <f ca="1">AD3/2</f>
        <v>1.4804166729870549</v>
      </c>
      <c r="AG3" s="37">
        <f ca="1">IF(TODAY()-E3&gt;335,((M3+1+(LOG(J3)*4/3))*0.385),((M3+(((TODAY()-E3)^0.5)/(336^0.238))+(LOG(J3)*4/3))*0.385))</f>
        <v>1.5974795118565008</v>
      </c>
      <c r="AH3" s="37">
        <f ca="1">IF(TODAY()-E3&gt;335,((L3+1+(LOG(J3)*4/3))*0.92),((L3+(((TODAY()-E3)^0.5)/(336^0.5))+(LOG(J3)*4/3))*0.92))</f>
        <v>7.2355110485284122</v>
      </c>
      <c r="AI3" s="37">
        <f ca="1">IF(TODAY()-E3&gt;335,((L3+1+(LOG(J3)*4/3))*0.414),((L3+(((TODAY()-E3)^0.5)/(336^0.414))+(LOG(J3)*4/3))*0.414))</f>
        <v>3.3521240946758044</v>
      </c>
      <c r="AJ3" s="37">
        <f ca="1">IF(TODAY()-E3&gt;335,((M3+1+(LOG(J3)*4/3))*0.167),((M3+(((TODAY()-E3)^0.5)/(336^0.5))+(LOG(J3)*4/3))*0.167))</f>
        <v>0.47840254902635321</v>
      </c>
      <c r="AK3" s="37">
        <f ca="1">IF(TODAY()-E3&gt;335,((N3+1+(LOG(J3)*4/3))*0.588),((N3+(((TODAY()-E3)^0.5)/(336^0.5))+(LOG(J3)*4/3))*0.588))</f>
        <v>3.4484353223203326</v>
      </c>
      <c r="AL3" s="37">
        <f ca="1">IF(TODAY()-E3&gt;335,((L3+1+(LOG(J3)*4/3))*0.754),((L3+(((TODAY()-E3)^0.5)/(336^0.5))+(LOG(J3)*4/3))*0.754))</f>
        <v>5.9299731854243722</v>
      </c>
      <c r="AM3" s="37">
        <f ca="1">IF(TODAY()-E3&gt;335,((L3+1+(LOG(J3)*4/3))*0.708),((L3+(((TODAY()-E3)^0.5)/(336^0.414))+(LOG(J3)*4/3))*0.708))</f>
        <v>5.7326180169818111</v>
      </c>
      <c r="AN3" s="37">
        <f ca="1">IF(TODAY()-E3&gt;335,((Q3+1+(LOG(J3)*4/3))*0.167),((Q3+(((TODAY()-E3)^0.5)/(336^0.5))+(LOG(J3)*4/3))*0.167))</f>
        <v>0.812402549026353</v>
      </c>
      <c r="AO3" s="37">
        <f ca="1">IF(TODAY()-E3&gt;335,((R3+1+(LOG(J3)*4/3))*0.288),((R3+(((TODAY()-E3)^0.5)/(336^0.5))+(LOG(J3)*4/3))*0.288))</f>
        <v>1.1152295456262855</v>
      </c>
      <c r="AP3" s="37">
        <f ca="1">IF(TODAY()-E3&gt;335,((L3+1+(LOG(J3)*4/3))*0.27),((L3+(((TODAY()-E3)^0.5)/(336^0.5))+(LOG(J3)*4/3))*0.27))</f>
        <v>2.1234651990246429</v>
      </c>
      <c r="AQ3" s="37">
        <f ca="1">IF(TODAY()-E3&gt;335,((L3+1+(LOG(J3)*4/3))*0.594),((L3+(((TODAY()-E3)^0.5)/(336^0.5))+(LOG(J3)*4/3))*0.594))</f>
        <v>4.6716234378542136</v>
      </c>
      <c r="AR3" s="37">
        <f ca="1">AP3/2</f>
        <v>1.0617325995123215</v>
      </c>
      <c r="AS3" s="37">
        <f ca="1">IF(TODAY()-E3&gt;335,((M3+1+(LOG(J3)*4/3))*0.944),((M3+(((TODAY()-E3)^0.5)/(336^0.5))+(LOG(J3)*4/3))*0.944))</f>
        <v>2.7042635106639361</v>
      </c>
      <c r="AT3" s="37">
        <f ca="1">IF(TODAY()-E3&gt;335,((O3+1+(LOG(J3)*4/3))*0.13),((O3+(((TODAY()-E3)^0.5)/(336^0.5))+(LOG(J3)*4/3))*0.13))</f>
        <v>1.0263813921229763</v>
      </c>
      <c r="AU3" s="37">
        <f ca="1">IF(TODAY()-E3&gt;335,((P3+1+(LOG(J3)*4/3))*0.173)+((O3+1+(LOG(J3)*4/3))*0.12),((P3+(((TODAY()-E3)^0.5)/(336^0.5))+(LOG(J3)*4/3))*0.173)+((O3+(((TODAY()-E3)^0.5)/(336^0.5))+(LOG(J3)*4/3))*0.12))</f>
        <v>2.0032101180949953</v>
      </c>
      <c r="AV3" s="37">
        <f ca="1">AT3/2</f>
        <v>0.51319069606148815</v>
      </c>
      <c r="AW3" s="37">
        <f ca="1">IF(TODAY()-E3&gt;335,((L3+1+(LOG(J3)*4/3))*0.189),((L3+(((TODAY()-E3)^0.5)/(336^0.5))+(LOG(J3)*4/3))*0.189))</f>
        <v>1.4864256393172499</v>
      </c>
      <c r="AX3" s="37">
        <f ca="1">IF(TODAY()-E3&gt;335,((L3+1+(LOG(J3)*4/3))*0.4),((L3+(((TODAY()-E3)^0.5)/(336^0.5))+(LOG(J3)*4/3))*0.4))</f>
        <v>3.1458743689253965</v>
      </c>
      <c r="AY3" s="37">
        <f ca="1">AW3/2</f>
        <v>0.74321281965862496</v>
      </c>
      <c r="AZ3" s="37">
        <f ca="1">IF(TODAY()-E3&gt;335,((M3+1+(LOG(J3)*4/3))*1),((M3+(((TODAY()-E3)^0.5)/(336^0.5))+(LOG(J3)*4/3))*1))</f>
        <v>2.864685922313492</v>
      </c>
      <c r="BA3" s="37">
        <f ca="1">IF(TODAY()-E3&gt;335,((O3+1+(LOG(J3)*4/3))*0.253),((O3+(((TODAY()-E3)^0.5)/(336^0.5))+(LOG(J3)*4/3))*0.253))</f>
        <v>1.997496093900869</v>
      </c>
      <c r="BB3" s="37">
        <f ca="1">IF(TODAY()-E3&gt;335,((P3+1+(LOG(J3)*4/3))*0.21)+((O3+1+(LOG(J3)*4/3))*0.341),((P3+(((TODAY()-E3)^0.5)/(336^0.5))+(LOG(J3)*4/3))*0.21)+((O3+(((TODAY()-E3)^0.5)/(336^0.5))+(LOG(J3)*4/3))*0.341))</f>
        <v>3.9738613876391788</v>
      </c>
      <c r="BC3" s="37">
        <f ca="1">BA3/2</f>
        <v>0.99874804695043451</v>
      </c>
      <c r="BD3" s="37">
        <f ca="1">IF(TODAY()-E3&gt;335,((L3+1+(LOG(J3)*4/3))*0.291),((L3+(((TODAY()-E3)^0.5)/(336^0.5))+(LOG(J3)*4/3))*0.291))</f>
        <v>2.2886236033932259</v>
      </c>
      <c r="BE3" s="37">
        <f ca="1">IF(TODAY()-E3&gt;335,((L3+1+(LOG(J3)*4/3))*0.348),((L3+(((TODAY()-E3)^0.5)/(336^0.5))+(LOG(J3)*4/3))*0.348))</f>
        <v>2.7369107009650948</v>
      </c>
      <c r="BF3" s="37">
        <f ca="1">IF(TODAY()-E3&gt;335,((M3+1+(LOG(J3)*4/3))*0.881),((M3+(((TODAY()-E3)^0.5)/(336^0.5))+(LOG(J3)*4/3))*0.881))</f>
        <v>2.5237882975581862</v>
      </c>
      <c r="BG3" s="37">
        <f ca="1">IF(TODAY()-E3&gt;335,((N3+1+(LOG(J3)*4/3))*0.574)+((O3+1+(LOG(J3)*4/3))*0.315),((N3+(((TODAY()-E3)^0.5)/(336^0.5))+(LOG(J3)*4/3))*0.574)+((O3+(((TODAY()-E3)^0.5)/(336^0.5))+(LOG(J3)*4/3))*0.315))</f>
        <v>5.853330784936694</v>
      </c>
      <c r="BH3" s="37">
        <f ca="1">IF(TODAY()-E3&gt;335,((O3+1+(LOG(J3)*4/3))*0.241),((O3+(((TODAY()-E3)^0.5)/(336^0.5))+(LOG(J3)*4/3))*0.241))</f>
        <v>1.9027531961664406</v>
      </c>
      <c r="BI3" s="37">
        <f ca="1">IF(TODAY()-E3&gt;335,((L3+1+(LOG(J3)*4/3))*0.485),((L3+(((TODAY()-E3)^0.5)/(336^0.5))+(LOG(J3)*4/3))*0.485))</f>
        <v>3.814372672322043</v>
      </c>
      <c r="BJ3" s="37">
        <f ca="1">IF(TODAY()-E3&gt;335,((L3+1+(LOG(J3)*4/3))*0.264),((L3+(((TODAY()-E3)^0.5)/(336^0.5))+(LOG(J3)*4/3))*0.264))</f>
        <v>2.0762770834907616</v>
      </c>
      <c r="BK3" s="37">
        <f ca="1">IF(TODAY()-E3&gt;335,((M3+1+(LOG(J3)*4/3))*0.381),((M3+(((TODAY()-E3)^0.5)/(336^0.5))+(LOG(J3)*4/3))*0.381))</f>
        <v>1.0914453364014405</v>
      </c>
      <c r="BL3" s="37">
        <f ca="1">IF(TODAY()-E3&gt;335,((N3+1+(LOG(J3)*4/3))*0.673)+((O3+1+(LOG(J3)*4/3))*0.201),((N3+(((TODAY()-E3)^0.5)/(336^0.5))+(LOG(J3)*4/3))*0.673)+((O3+(((TODAY()-E3)^0.5)/(336^0.5))+(LOG(J3)*4/3))*0.201))</f>
        <v>5.5338771627686585</v>
      </c>
      <c r="BM3" s="37">
        <f ca="1">IF(TODAY()-E3&gt;335,((O3+1+(LOG(J3)*4/3))*0.052),((O3+(((TODAY()-E3)^0.5)/(336^0.5))+(LOG(J3)*4/3))*0.052))</f>
        <v>0.41055255684919045</v>
      </c>
      <c r="BN3" s="37">
        <f ca="1">IF(TODAY()-E3&gt;335,((L3+1+(LOG(J3)*4/3))*0.18),((L3+(((TODAY()-E3)^0.5)/(336^0.5))+(LOG(J3)*4/3))*0.18))</f>
        <v>1.4156434660164283</v>
      </c>
      <c r="BO3" s="37">
        <f ca="1">IF(TODAY()-E3&gt;335,((L3+1+(LOG(J3)*4/3))*0.068),((L3+(((TODAY()-E3)^0.5)/(336^0.5))+(LOG(J3)*4/3))*0.068))</f>
        <v>0.53479864271731747</v>
      </c>
      <c r="BP3" s="37">
        <f ca="1">IF(TODAY()-E3&gt;335,((M3+1+(LOG(J3)*4/3))*0.305),((M3+(((TODAY()-E3)^0.5)/(336^0.5))+(LOG(J3)*4/3))*0.305))</f>
        <v>0.87372920630561501</v>
      </c>
      <c r="BQ3" s="37">
        <f ca="1">IF(TODAY()-E3&gt;335,((N3+1+(LOG(J3)*4/3))*1)+((O3+1+(LOG(J3)*4/3))*0.286),((N3+(((TODAY()-E3)^0.5)/(336^0.5))+(LOG(J3)*4/3))*1)+((O3+(((TODAY()-E3)^0.5)/(336^0.5))+(LOG(J3)*4/3))*0.286))</f>
        <v>8.1227249849840391</v>
      </c>
      <c r="BR3" s="37">
        <f ca="1">IF(TODAY()-E3&gt;335,((O3+1+(LOG(J3)*4/3))*0.135),((O3+(((TODAY()-E3)^0.5)/(336^0.5))+(LOG(J3)*4/3))*0.135))</f>
        <v>1.0658575995123216</v>
      </c>
      <c r="BS3" s="37">
        <f ca="1">IF(TODAY()-E3&gt;335,((L3+1+(LOG(J3)*4/3))*0.284),((L3+(((TODAY()-E3)^0.5)/(336^0.5))+(LOG(J3)*4/3))*0.284))</f>
        <v>2.2335708019370313</v>
      </c>
      <c r="BT3" s="37">
        <f ca="1">IF(TODAY()-E3&gt;335,((L3+1+(LOG(J3)*4/3))*0.244),((L3+(((TODAY()-E3)^0.5)/(336^0.5))+(LOG(J3)*4/3))*0.244))</f>
        <v>1.9189833650444919</v>
      </c>
      <c r="BU3" s="37">
        <f ca="1">IF(TODAY()-E3&gt;335,((M3+1+(LOG(J3)*4/3))*0.631),((M3+(((TODAY()-E3)^0.5)/(336^0.5))+(LOG(J3)*4/3))*0.631))</f>
        <v>1.8076168169798135</v>
      </c>
      <c r="BV3" s="37">
        <f ca="1">IF(TODAY()-E3&gt;335,((N3+1+(LOG(J3)*4/3))*0.702)+((O3+1+(LOG(J3)*4/3))*0.193),((N3+(((TODAY()-E3)^0.5)/(336^0.5))+(LOG(J3)*4/3))*0.702)+((O3+(((TODAY()-E3)^0.5)/(336^0.5))+(LOG(J3)*4/3))*0.193))</f>
        <v>5.6407911226927965</v>
      </c>
      <c r="BW3" s="37">
        <f ca="1">IF(TODAY()-E3&gt;335,((O3+1+(LOG(J3)*4/3))*0.148),((O3+(((TODAY()-E3)^0.5)/(336^0.5))+(LOG(J3)*4/3))*0.148))</f>
        <v>1.1684957387246191</v>
      </c>
      <c r="BX3" s="37">
        <f ca="1">IF(TODAY()-E3&gt;335,((M3+1+(LOG(J3)*4/3))*0.406),((M3+(((TODAY()-E3)^0.5)/(336^0.5))+(LOG(J3)*4/3))*0.406))</f>
        <v>1.1630624844592778</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3.5933783496523128</v>
      </c>
      <c r="BZ3" s="37">
        <f ca="1">IF(D3="TEC",IF(TODAY()-E3&gt;335,((O3+1+(LOG(J3)*4/3))*0.543)+((P3+1+(LOG(J3)*4/3))*0.583),((O3+(((TODAY()-E3)^0.5)/(336^0.5))+(LOG(J3)*4/3))*0.543)+((P3+(((TODAY()-E3)^0.5)/(336^0.5))+(LOG(J3)*4/3))*0.583)),IF(TODAY()-E3&gt;335,((O3+1+(LOG(J3)*4/3))*0.543)+((P3+1+(LOG(J3)*4/3))*0.583),((O3+(((TODAY()-E3)^0.5)/(336^0.5))+(LOG(J3)*4/3))*0.543)+((P3+(((TODAY()-E3)^0.5)/(336^0.5))+(LOG(J3)*4/3))*0.583)))</f>
        <v>7.8450375390011811</v>
      </c>
      <c r="CA3" s="37">
        <f ca="1">BY3</f>
        <v>3.5933783496523128</v>
      </c>
      <c r="CB3" s="37">
        <f ca="1">IF(TODAY()-E3&gt;335,((P3+1+(LOG(J3)*4/3))*0.26)+((N3+1+(LOG(J3)*4/3))*0.221)+((O3+1+(LOG(J3)*4/3))*0.142),((P3+(((TODAY()-E3)^0.5)/(336^0.5))+(LOG(J3)*4/3))*0.26)+((N3+(((TODAY()-E3)^0.5)/(336^0.5))+(LOG(J3)*4/3))*0.221)+((P3+(((TODAY()-E3)^0.5)/(336^0.5))+(LOG(J3)*4/3))*0.142))</f>
        <v>3.7494136153155901</v>
      </c>
      <c r="CC3" s="37">
        <f ca="1">IF(TODAY()-E3&gt;335,((P3+1+(LOG(J3)*4/3))*1)+((O3+1+(LOG(J3)*4/3))*0.369),((P3+(((TODAY()-E3)^0.5)/(336^0.5))+(LOG(J3)*4/3))*1)+((O3+(((TODAY()-E3)^0.5)/(336^0.5))+(LOG(J3)*4/3))*0.369))</f>
        <v>9.0161252657424065</v>
      </c>
      <c r="CD3" s="37">
        <f ca="1">CB3</f>
        <v>3.7494136153155901</v>
      </c>
      <c r="CE3" s="37">
        <f ca="1">IF(TODAY()-E3&gt;335,((M3+1+(LOG(J3)*4/3))*0.25),((M3+(((TODAY()-E3)^0.5)/(336^0.5))+(LOG(J3)*4/3))*0.25))</f>
        <v>0.71617148057837299</v>
      </c>
    </row>
    <row r="4" spans="1:83" x14ac:dyDescent="0.25">
      <c r="A4" t="str">
        <f>PLANTILLA!D5</f>
        <v>Marc Dolz</v>
      </c>
      <c r="B4">
        <f>PLANTILLA!E5</f>
        <v>17</v>
      </c>
      <c r="C4" s="33">
        <f ca="1">PLANTILLA!F5</f>
        <v>101</v>
      </c>
      <c r="D4" s="220" t="str">
        <f>PLANTILLA!G5</f>
        <v>POT</v>
      </c>
      <c r="E4" s="30">
        <f>PLANTILLA!M5</f>
        <v>43046</v>
      </c>
      <c r="F4" s="47">
        <f>PLANTILLA!Q5</f>
        <v>4</v>
      </c>
      <c r="G4" s="48">
        <f t="shared" ref="G4:G19" si="1">(F4/7)^0.5</f>
        <v>0.7559289460184544</v>
      </c>
      <c r="H4" s="48">
        <f t="shared" ref="H4:H19" si="2">IF(F4=7,1,((F4+0.99)/7)^0.5)</f>
        <v>0.84430867747355465</v>
      </c>
      <c r="I4" s="51">
        <f t="shared" ref="I4:I19" ca="1" si="3">IF(TODAY()-E4&gt;335,1,((TODAY()-E4)^0.5)/336^0.5)</f>
        <v>0.52892523551245385</v>
      </c>
      <c r="J4" s="39">
        <f>PLANTILLA!I5</f>
        <v>1</v>
      </c>
      <c r="K4" s="46">
        <f>PLANTILLA!X5</f>
        <v>0</v>
      </c>
      <c r="L4" s="46">
        <f>PLANTILLA!Y5</f>
        <v>4</v>
      </c>
      <c r="M4" s="46">
        <f>PLANTILLA!Z5</f>
        <v>4</v>
      </c>
      <c r="N4" s="46">
        <f>PLANTILLA!AA5</f>
        <v>3</v>
      </c>
      <c r="O4" s="46">
        <f>PLANTILLA!AB5</f>
        <v>4.2926666666666664</v>
      </c>
      <c r="P4" s="46">
        <f>PLANTILLA!AC5</f>
        <v>3.2000000000000006</v>
      </c>
      <c r="Q4" s="46">
        <f>PLANTILLA!AD5</f>
        <v>0.4</v>
      </c>
      <c r="R4" s="46">
        <f t="shared" ref="R4:R5" si="4">((2*(O4+1))+(L4+1))/8</f>
        <v>1.9481666666666666</v>
      </c>
      <c r="S4" s="46">
        <f t="shared" ref="S4:S5" si="5">(0.5*P4+ 0.3*Q4)/10</f>
        <v>0.17200000000000001</v>
      </c>
      <c r="T4" s="46">
        <f t="shared" ref="T4:T5" si="6">(0.4*L4+0.3*Q4)/10</f>
        <v>0.17200000000000001</v>
      </c>
      <c r="U4" s="46">
        <f t="shared" ref="U4:U5" ca="1" si="7">IF(TODAY()-E4&gt;335,(Q4+1+(LOG(J4)*4/3))*(F4/7)^0.5,(Q4+((TODAY()-E4)^0.5)/(336^0.5)+(LOG(J4)*4/3))*(F4/7)^0.5)</f>
        <v>0.70220147421087376</v>
      </c>
      <c r="V4" s="46">
        <f t="shared" ref="V4:V5" ca="1" si="8">IF(F4=7,U4,IF(TODAY()-E4&gt;335,(Q4+1+(LOG(J4)*4/3))*((F4+0.99)/7)^0.5,(Q4+((TODAY()-E4)^0.5)/(336^0.5)+(LOG(J4)*4/3))*((F4+0.99)/7)^0.5))</f>
        <v>0.78429963706733019</v>
      </c>
      <c r="W4" s="37">
        <f t="shared" ref="W4:W5" ca="1" si="9">IF(TODAY()-E4&gt;335,((K4+1+(LOG(J4)*4/3))*0.597)+((L4+1+(LOG(J4)*4/3))*0.276),((K4+(((TODAY()-E4)^0.5)/(336^0.5))+(LOG(J4)*4/3))*0.597)+((L4+(((TODAY()-E4)^0.5)/(336^0.5))+(LOG(J4)*4/3))*0.276))</f>
        <v>1.5657517306023723</v>
      </c>
      <c r="X4" s="37">
        <f t="shared" ref="X4:X5" ca="1" si="10">IF(TODAY()-E4&gt;335,((K4+1+(LOG(J4)*4/3))*0.866)+((L4+1+(LOG(J4)*4/3))*0.425),((K4+(((TODAY()-E4)^0.5)/(336^0.5))+(LOG(J4)*4/3))*0.866)+((L4+(((TODAY()-E4)^0.5)/(336^0.5))+(LOG(J4)*4/3))*0.425))</f>
        <v>2.3828424790465776</v>
      </c>
      <c r="Y4" s="37">
        <f t="shared" ref="Y4:Y5" ca="1" si="11">W4</f>
        <v>1.5657517306023723</v>
      </c>
      <c r="Z4" s="37">
        <f t="shared" ref="Z4:Z5" ca="1" si="12">IF(TODAY()-E4&gt;335,((L4+1+(LOG(J4)*4/3))*0.516),((L4+(((TODAY()-E4)^0.5)/(336^0.516))+(LOG(J4)*4/3))*0.516))</f>
        <v>2.3126695230026599</v>
      </c>
      <c r="AA4" s="37">
        <f t="shared" ref="AA4:AA5" ca="1" si="13">IF(TODAY()-E4&gt;335,((L4+1+(LOG(J4)*4/3))*1),((L4+(((TODAY()-E4)^0.5)/(336^0.5))+(LOG(J4)*4/3))*1))</f>
        <v>4.5289252355124541</v>
      </c>
      <c r="AB4" s="37">
        <f t="shared" ref="AB4:AB5" ca="1" si="14">Z4/2</f>
        <v>1.15633476150133</v>
      </c>
      <c r="AC4" s="37">
        <f t="shared" ref="AC4:AC5" ca="1" si="15">IF(TODAY()-E4&gt;335,((M4+1+(LOG(J4)*4/3))*0.238),((M4+(((TODAY()-E4)^0.5)/(336^0.238))+(LOG(J4)*4/3))*0.238))</f>
        <v>1.5299258705103547</v>
      </c>
      <c r="AD4" s="37">
        <f t="shared" ref="AD4:AD5" ca="1" si="16">IF(TODAY()-E4&gt;335,((L4+1+(LOG(J4)*4/3))*0.378),((L4+(((TODAY()-E4)^0.5)/(336^0.516))+(LOG(J4)*4/3))*0.378))</f>
        <v>1.6941648831298552</v>
      </c>
      <c r="AE4" s="37">
        <f t="shared" ref="AE4:AE5" ca="1" si="17">IF(TODAY()-E4&gt;335,((L4+1+(LOG(J4)*4/3))*0.723),((L4+(((TODAY()-E4)^0.5)/(336^0.5))+(LOG(J4)*4/3))*0.723))</f>
        <v>3.274412945275504</v>
      </c>
      <c r="AF4" s="37">
        <f t="shared" ref="AF4:AF5" ca="1" si="18">AD4/2</f>
        <v>0.84708244156492762</v>
      </c>
      <c r="AG4" s="37">
        <f t="shared" ref="AG4:AG5" ca="1" si="19">IF(TODAY()-E4&gt;335,((M4+1+(LOG(J4)*4/3))*0.385),((M4+(((TODAY()-E4)^0.5)/(336^0.238))+(LOG(J4)*4/3))*0.385))</f>
        <v>2.474880084649103</v>
      </c>
      <c r="AH4" s="37">
        <f t="shared" ref="AH4:AH5" ca="1" si="20">IF(TODAY()-E4&gt;335,((L4+1+(LOG(J4)*4/3))*0.92),((L4+(((TODAY()-E4)^0.5)/(336^0.5))+(LOG(J4)*4/3))*0.92))</f>
        <v>4.1666112166714582</v>
      </c>
      <c r="AI4" s="37">
        <f t="shared" ref="AI4:AI5" ca="1" si="21">IF(TODAY()-E4&gt;335,((L4+1+(LOG(J4)*4/3))*0.414),((L4+(((TODAY()-E4)^0.5)/(336^0.414))+(LOG(J4)*4/3))*0.414))</f>
        <v>2.017126872780743</v>
      </c>
      <c r="AJ4" s="37">
        <f t="shared" ref="AJ4:AJ5" ca="1" si="22">IF(TODAY()-E4&gt;335,((M4+1+(LOG(J4)*4/3))*0.167),((M4+(((TODAY()-E4)^0.5)/(336^0.5))+(LOG(J4)*4/3))*0.167))</f>
        <v>0.75633051433057985</v>
      </c>
      <c r="AK4" s="37">
        <f t="shared" ref="AK4:AK5" ca="1" si="23">IF(TODAY()-E4&gt;335,((N4+1+(LOG(J4)*4/3))*0.588),((N4+(((TODAY()-E4)^0.5)/(336^0.5))+(LOG(J4)*4/3))*0.588))</f>
        <v>2.075008038481323</v>
      </c>
      <c r="AL4" s="37">
        <f t="shared" ref="AL4:AL5" ca="1" si="24">IF(TODAY()-E4&gt;335,((L4+1+(LOG(J4)*4/3))*0.754),((L4+(((TODAY()-E4)^0.5)/(336^0.5))+(LOG(J4)*4/3))*0.754))</f>
        <v>3.4148096275763904</v>
      </c>
      <c r="AM4" s="37">
        <f t="shared" ref="AM4:AM5" ca="1" si="25">IF(TODAY()-E4&gt;335,((L4+1+(LOG(J4)*4/3))*0.708),((L4+(((TODAY()-E4)^0.5)/(336^0.414))+(LOG(J4)*4/3))*0.708))</f>
        <v>3.4495792896830095</v>
      </c>
      <c r="AN4" s="37">
        <f t="shared" ref="AN4:AN5" ca="1" si="26">IF(TODAY()-E4&gt;335,((Q4+1+(LOG(J4)*4/3))*0.167),((Q4+(((TODAY()-E4)^0.5)/(336^0.5))+(LOG(J4)*4/3))*0.167))</f>
        <v>0.15513051433057981</v>
      </c>
      <c r="AO4" s="37">
        <f t="shared" ref="AO4:AO5" ca="1" si="27">IF(TODAY()-E4&gt;335,((R4+1+(LOG(J4)*4/3))*0.288),((R4+(((TODAY()-E4)^0.5)/(336^0.5))+(LOG(J4)*4/3))*0.288))</f>
        <v>0.71340246782758665</v>
      </c>
      <c r="AP4" s="37">
        <f t="shared" ref="AP4:AP5" ca="1" si="28">IF(TODAY()-E4&gt;335,((L4+1+(LOG(J4)*4/3))*0.27),((L4+(((TODAY()-E4)^0.5)/(336^0.5))+(LOG(J4)*4/3))*0.27))</f>
        <v>1.2228098135883627</v>
      </c>
      <c r="AQ4" s="37">
        <f t="shared" ref="AQ4:AQ5" ca="1" si="29">IF(TODAY()-E4&gt;335,((L4+1+(LOG(J4)*4/3))*0.594),((L4+(((TODAY()-E4)^0.5)/(336^0.5))+(LOG(J4)*4/3))*0.594))</f>
        <v>2.6901815898943977</v>
      </c>
      <c r="AR4" s="37">
        <f t="shared" ref="AR4:AR5" ca="1" si="30">AP4/2</f>
        <v>0.61140490679418136</v>
      </c>
      <c r="AS4" s="37">
        <f t="shared" ref="AS4:AS5" ca="1" si="31">IF(TODAY()-E4&gt;335,((M4+1+(LOG(J4)*4/3))*0.944),((M4+(((TODAY()-E4)^0.5)/(336^0.5))+(LOG(J4)*4/3))*0.944))</f>
        <v>4.2753054223237568</v>
      </c>
      <c r="AT4" s="37">
        <f t="shared" ref="AT4:AT5" ca="1" si="32">IF(TODAY()-E4&gt;335,((O4+1+(LOG(J4)*4/3))*0.13),((O4+(((TODAY()-E4)^0.5)/(336^0.5))+(LOG(J4)*4/3))*0.13))</f>
        <v>0.62680694728328568</v>
      </c>
      <c r="AU4" s="37">
        <f t="shared" ref="AU4:AU5" ca="1" si="33">IF(TODAY()-E4&gt;335,((P4+1+(LOG(J4)*4/3))*0.173)+((O4+1+(LOG(J4)*4/3))*0.12),((P4+(((TODAY()-E4)^0.5)/(336^0.5))+(LOG(J4)*4/3))*0.173)+((O4+(((TODAY()-E4)^0.5)/(336^0.5))+(LOG(J4)*4/3))*0.12))</f>
        <v>1.223695094005149</v>
      </c>
      <c r="AV4" s="37">
        <f t="shared" ref="AV4:AV5" ca="1" si="34">AT4/2</f>
        <v>0.31340347364164284</v>
      </c>
      <c r="AW4" s="37">
        <f t="shared" ref="AW4:AW5" ca="1" si="35">IF(TODAY()-E4&gt;335,((L4+1+(LOG(J4)*4/3))*0.189),((L4+(((TODAY()-E4)^0.5)/(336^0.5))+(LOG(J4)*4/3))*0.189))</f>
        <v>0.85596686951185386</v>
      </c>
      <c r="AX4" s="37">
        <f t="shared" ref="AX4:AX5" ca="1" si="36">IF(TODAY()-E4&gt;335,((L4+1+(LOG(J4)*4/3))*0.4),((L4+(((TODAY()-E4)^0.5)/(336^0.5))+(LOG(J4)*4/3))*0.4))</f>
        <v>1.8115700942049817</v>
      </c>
      <c r="AY4" s="37">
        <f t="shared" ref="AY4:AY5" ca="1" si="37">AW4/2</f>
        <v>0.42798343475592693</v>
      </c>
      <c r="AZ4" s="37">
        <f t="shared" ref="AZ4:AZ5" ca="1" si="38">IF(TODAY()-E4&gt;335,((M4+1+(LOG(J4)*4/3))*1),((M4+(((TODAY()-E4)^0.5)/(336^0.5))+(LOG(J4)*4/3))*1))</f>
        <v>4.5289252355124541</v>
      </c>
      <c r="BA4" s="37">
        <f t="shared" ref="BA4:BA5" ca="1" si="39">IF(TODAY()-E4&gt;335,((O4+1+(LOG(J4)*4/3))*0.253),((O4+(((TODAY()-E4)^0.5)/(336^0.5))+(LOG(J4)*4/3))*0.253))</f>
        <v>1.2198627512513176</v>
      </c>
      <c r="BB4" s="37">
        <f t="shared" ref="BB4:BB5" ca="1" si="40">IF(TODAY()-E4&gt;335,((P4+1+(LOG(J4)*4/3))*0.21)+((O4+1+(LOG(J4)*4/3))*0.341),((P4+(((TODAY()-E4)^0.5)/(336^0.5))+(LOG(J4)*4/3))*0.21)+((O4+(((TODAY()-E4)^0.5)/(336^0.5))+(LOG(J4)*4/3))*0.341))</f>
        <v>2.4272371381006956</v>
      </c>
      <c r="BC4" s="37">
        <f t="shared" ref="BC4:BC5" ca="1" si="41">BA4/2</f>
        <v>0.6099313756256588</v>
      </c>
      <c r="BD4" s="37">
        <f t="shared" ref="BD4:BD5" ca="1" si="42">IF(TODAY()-E4&gt;335,((L4+1+(LOG(J4)*4/3))*0.291),((L4+(((TODAY()-E4)^0.5)/(336^0.5))+(LOG(J4)*4/3))*0.291))</f>
        <v>1.317917243534124</v>
      </c>
      <c r="BE4" s="37">
        <f t="shared" ref="BE4:BE5" ca="1" si="43">IF(TODAY()-E4&gt;335,((L4+1+(LOG(J4)*4/3))*0.348),((L4+(((TODAY()-E4)^0.5)/(336^0.5))+(LOG(J4)*4/3))*0.348))</f>
        <v>1.5760659819583338</v>
      </c>
      <c r="BF4" s="37">
        <f t="shared" ref="BF4:BF5" ca="1" si="44">IF(TODAY()-E4&gt;335,((M4+1+(LOG(J4)*4/3))*0.881),((M4+(((TODAY()-E4)^0.5)/(336^0.5))+(LOG(J4)*4/3))*0.881))</f>
        <v>3.9899831324864721</v>
      </c>
      <c r="BG4" s="37">
        <f t="shared" ref="BG4:BG5" ca="1" si="45">IF(TODAY()-E4&gt;335,((N4+1+(LOG(J4)*4/3))*0.574)+((O4+1+(LOG(J4)*4/3))*0.315),((N4+(((TODAY()-E4)^0.5)/(336^0.5))+(LOG(J4)*4/3))*0.574)+((O4+(((TODAY()-E4)^0.5)/(336^0.5))+(LOG(J4)*4/3))*0.315))</f>
        <v>3.5444045343705715</v>
      </c>
      <c r="BH4" s="37">
        <f t="shared" ref="BH4:BH5" ca="1" si="46">IF(TODAY()-E4&gt;335,((O4+1+(LOG(J4)*4/3))*0.241),((O4+(((TODAY()-E4)^0.5)/(336^0.5))+(LOG(J4)*4/3))*0.241))</f>
        <v>1.1620036484251679</v>
      </c>
      <c r="BI4" s="37">
        <f t="shared" ref="BI4:BI5" ca="1" si="47">IF(TODAY()-E4&gt;335,((L4+1+(LOG(J4)*4/3))*0.485),((L4+(((TODAY()-E4)^0.5)/(336^0.5))+(LOG(J4)*4/3))*0.485))</f>
        <v>2.19652873922354</v>
      </c>
      <c r="BJ4" s="37">
        <f t="shared" ref="BJ4:BJ5" ca="1" si="48">IF(TODAY()-E4&gt;335,((L4+1+(LOG(J4)*4/3))*0.264),((L4+(((TODAY()-E4)^0.5)/(336^0.5))+(LOG(J4)*4/3))*0.264))</f>
        <v>1.1956362621752878</v>
      </c>
      <c r="BK4" s="37">
        <f t="shared" ref="BK4:BK5" ca="1" si="49">IF(TODAY()-E4&gt;335,((M4+1+(LOG(J4)*4/3))*0.381),((M4+(((TODAY()-E4)^0.5)/(336^0.5))+(LOG(J4)*4/3))*0.381))</f>
        <v>1.725520514730245</v>
      </c>
      <c r="BL4" s="37">
        <f t="shared" ref="BL4:BL5" ca="1" si="50">IF(TODAY()-E4&gt;335,((N4+1+(LOG(J4)*4/3))*0.673)+((O4+1+(LOG(J4)*4/3))*0.201),((N4+(((TODAY()-E4)^0.5)/(336^0.5))+(LOG(J4)*4/3))*0.673)+((O4+(((TODAY()-E4)^0.5)/(336^0.5))+(LOG(J4)*4/3))*0.201))</f>
        <v>3.3441066558378849</v>
      </c>
      <c r="BM4" s="37">
        <f t="shared" ref="BM4:BM5" ca="1" si="51">IF(TODAY()-E4&gt;335,((O4+1+(LOG(J4)*4/3))*0.052),((O4+(((TODAY()-E4)^0.5)/(336^0.5))+(LOG(J4)*4/3))*0.052))</f>
        <v>0.25072277891331424</v>
      </c>
      <c r="BN4" s="37">
        <f t="shared" ref="BN4:BN5" ca="1" si="52">IF(TODAY()-E4&gt;335,((L4+1+(LOG(J4)*4/3))*0.18),((L4+(((TODAY()-E4)^0.5)/(336^0.5))+(LOG(J4)*4/3))*0.18))</f>
        <v>0.81520654239224166</v>
      </c>
      <c r="BO4" s="37">
        <f t="shared" ref="BO4:BO5" ca="1" si="53">IF(TODAY()-E4&gt;335,((L4+1+(LOG(J4)*4/3))*0.068),((L4+(((TODAY()-E4)^0.5)/(336^0.5))+(LOG(J4)*4/3))*0.068))</f>
        <v>0.30796691601484688</v>
      </c>
      <c r="BP4" s="37">
        <f t="shared" ref="BP4:BP5" ca="1" si="54">IF(TODAY()-E4&gt;335,((M4+1+(LOG(J4)*4/3))*0.305),((M4+(((TODAY()-E4)^0.5)/(336^0.5))+(LOG(J4)*4/3))*0.305))</f>
        <v>1.3813221968312985</v>
      </c>
      <c r="BQ4" s="37">
        <f t="shared" ref="BQ4:BQ5" ca="1" si="55">IF(TODAY()-E4&gt;335,((N4+1+(LOG(J4)*4/3))*1)+((O4+1+(LOG(J4)*4/3))*0.286),((N4+(((TODAY()-E4)^0.5)/(336^0.5))+(LOG(J4)*4/3))*1)+((O4+(((TODAY()-E4)^0.5)/(336^0.5))+(LOG(J4)*4/3))*0.286))</f>
        <v>4.9079005195356826</v>
      </c>
      <c r="BR4" s="37">
        <f t="shared" ref="BR4:BR5" ca="1" si="56">IF(TODAY()-E4&gt;335,((O4+1+(LOG(J4)*4/3))*0.135),((O4+(((TODAY()-E4)^0.5)/(336^0.5))+(LOG(J4)*4/3))*0.135))</f>
        <v>0.65091490679418129</v>
      </c>
      <c r="BS4" s="37">
        <f t="shared" ref="BS4:BS5" ca="1" si="57">IF(TODAY()-E4&gt;335,((L4+1+(LOG(J4)*4/3))*0.284),((L4+(((TODAY()-E4)^0.5)/(336^0.5))+(LOG(J4)*4/3))*0.284))</f>
        <v>1.2862147668855368</v>
      </c>
      <c r="BT4" s="37">
        <f t="shared" ref="BT4:BT5" ca="1" si="58">IF(TODAY()-E4&gt;335,((L4+1+(LOG(J4)*4/3))*0.244),((L4+(((TODAY()-E4)^0.5)/(336^0.5))+(LOG(J4)*4/3))*0.244))</f>
        <v>1.1050577574650389</v>
      </c>
      <c r="BU4" s="37">
        <f t="shared" ref="BU4:BU5" ca="1" si="59">IF(TODAY()-E4&gt;335,((M4+1+(LOG(J4)*4/3))*0.631),((M4+(((TODAY()-E4)^0.5)/(336^0.5))+(LOG(J4)*4/3))*0.631))</f>
        <v>2.8577518236083583</v>
      </c>
      <c r="BV4" s="37">
        <f t="shared" ref="BV4:BV5" ca="1" si="60">IF(TODAY()-E4&gt;335,((N4+1+(LOG(J4)*4/3))*0.702)+((O4+1+(LOG(J4)*4/3))*0.193),((N4+(((TODAY()-E4)^0.5)/(336^0.5))+(LOG(J4)*4/3))*0.702)+((O4+(((TODAY()-E4)^0.5)/(336^0.5))+(LOG(J4)*4/3))*0.193))</f>
        <v>3.407872752450313</v>
      </c>
      <c r="BW4" s="37">
        <f t="shared" ref="BW4:BW5" ca="1" si="61">IF(TODAY()-E4&gt;335,((O4+1+(LOG(J4)*4/3))*0.148),((O4+(((TODAY()-E4)^0.5)/(336^0.5))+(LOG(J4)*4/3))*0.148))</f>
        <v>0.71359560152250978</v>
      </c>
      <c r="BX4" s="37">
        <f t="shared" ref="BX4:BX5" ca="1" si="62">IF(TODAY()-E4&gt;335,((M4+1+(LOG(J4)*4/3))*0.406),((M4+(((TODAY()-E4)^0.5)/(336^0.5))+(LOG(J4)*4/3))*0.406))</f>
        <v>1.8387436456180566</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2.1871367143686551</v>
      </c>
      <c r="BZ4" s="37">
        <f t="shared" ref="BZ4:BZ5" ca="1" si="64">IF(D4="TEC",IF(TODAY()-E4&gt;335,((O4+1+(LOG(J4)*4/3))*0.543)+((P4+1+(LOG(J4)*4/3))*0.583),((O4+(((TODAY()-E4)^0.5)/(336^0.5))+(LOG(J4)*4/3))*0.543)+((P4+(((TODAY()-E4)^0.5)/(336^0.5))+(LOG(J4)*4/3))*0.583)),IF(TODAY()-E4&gt;335,((O4+1+(LOG(J4)*4/3))*0.543)+((P4+1+(LOG(J4)*4/3))*0.583),((O4+(((TODAY()-E4)^0.5)/(336^0.5))+(LOG(J4)*4/3))*0.543)+((P4+(((TODAY()-E4)^0.5)/(336^0.5))+(LOG(J4)*4/3))*0.583)))</f>
        <v>4.7920878151870232</v>
      </c>
      <c r="CA4" s="37">
        <f t="shared" ref="CA4:CA5" ca="1" si="65">BY4</f>
        <v>2.1871367143686551</v>
      </c>
      <c r="CB4" s="37">
        <f t="shared" ref="CB4:CB5" ca="1" si="66">IF(TODAY()-E4&gt;335,((P4+1+(LOG(J4)*4/3))*0.26)+((N4+1+(LOG(J4)*4/3))*0.221)+((O4+1+(LOG(J4)*4/3))*0.142),((P4+(((TODAY()-E4)^0.5)/(336^0.5))+(LOG(J4)*4/3))*0.26)+((N4+(((TODAY()-E4)^0.5)/(336^0.5))+(LOG(J4)*4/3))*0.221)+((P4+(((TODAY()-E4)^0.5)/(336^0.5))+(LOG(J4)*4/3))*0.142))</f>
        <v>2.2789204217242589</v>
      </c>
      <c r="CC4" s="37">
        <f t="shared" ref="CC4:CC5" ca="1" si="67">IF(TODAY()-E4&gt;335,((P4+1+(LOG(J4)*4/3))*1)+((O4+1+(LOG(J4)*4/3))*0.369),((P4+(((TODAY()-E4)^0.5)/(336^0.5))+(LOG(J4)*4/3))*1)+((O4+(((TODAY()-E4)^0.5)/(336^0.5))+(LOG(J4)*4/3))*0.369))</f>
        <v>5.5080926474165501</v>
      </c>
      <c r="CD4" s="37">
        <f t="shared" ref="CD4:CD5" ca="1" si="68">CB4</f>
        <v>2.2789204217242589</v>
      </c>
      <c r="CE4" s="37">
        <f t="shared" ref="CE4:CE5" ca="1" si="69">IF(TODAY()-E4&gt;335,((M4+1+(LOG(J4)*4/3))*0.25),((M4+(((TODAY()-E4)^0.5)/(336^0.5))+(LOG(J4)*4/3))*0.25))</f>
        <v>1.1322313088781135</v>
      </c>
    </row>
    <row r="5" spans="1:83" x14ac:dyDescent="0.25">
      <c r="A5" t="str">
        <f>PLANTILLA!D6</f>
        <v>Manuel Parejo</v>
      </c>
      <c r="B5">
        <f>PLANTILLA!E6</f>
        <v>17</v>
      </c>
      <c r="C5" s="33">
        <f ca="1">PLANTILLA!F6</f>
        <v>48</v>
      </c>
      <c r="D5" s="220">
        <f>PLANTILLA!G6</f>
        <v>0</v>
      </c>
      <c r="E5" s="30">
        <f>PLANTILLA!M6</f>
        <v>43097</v>
      </c>
      <c r="F5" s="47">
        <f>PLANTILLA!Q6</f>
        <v>5</v>
      </c>
      <c r="G5" s="48">
        <f t="shared" si="1"/>
        <v>0.84515425472851657</v>
      </c>
      <c r="H5" s="48">
        <f t="shared" si="2"/>
        <v>0.92504826128926143</v>
      </c>
      <c r="I5" s="51">
        <f t="shared" ca="1" si="3"/>
        <v>0.35773760003135047</v>
      </c>
      <c r="J5" s="39">
        <f>PLANTILLA!I6</f>
        <v>1.3</v>
      </c>
      <c r="K5" s="46">
        <f>PLANTILLA!X6</f>
        <v>0</v>
      </c>
      <c r="L5" s="46">
        <f>PLANTILLA!Y6</f>
        <v>5</v>
      </c>
      <c r="M5" s="46">
        <f>PLANTILLA!Z6</f>
        <v>6.7</v>
      </c>
      <c r="N5" s="46">
        <f>PLANTILLA!AA6</f>
        <v>3</v>
      </c>
      <c r="O5" s="46">
        <f>PLANTILLA!AB6</f>
        <v>3</v>
      </c>
      <c r="P5" s="46">
        <f>PLANTILLA!AC6</f>
        <v>3.3259259259259268</v>
      </c>
      <c r="Q5" s="46">
        <f>PLANTILLA!AD6</f>
        <v>2</v>
      </c>
      <c r="R5" s="46">
        <f t="shared" si="4"/>
        <v>1.75</v>
      </c>
      <c r="S5" s="46">
        <f t="shared" si="5"/>
        <v>0.22629629629629636</v>
      </c>
      <c r="T5" s="46">
        <f t="shared" si="6"/>
        <v>0.26</v>
      </c>
      <c r="U5" s="46">
        <f t="shared" ca="1" si="7"/>
        <v>2.1210515762001019</v>
      </c>
      <c r="V5" s="46">
        <f t="shared" ca="1" si="8"/>
        <v>2.3215585340678624</v>
      </c>
      <c r="W5" s="37">
        <f t="shared" ca="1" si="9"/>
        <v>1.8249349869125269</v>
      </c>
      <c r="X5" s="37">
        <f t="shared" ca="1" si="10"/>
        <v>2.7829737320779748</v>
      </c>
      <c r="Y5" s="37">
        <f t="shared" ca="1" si="11"/>
        <v>1.8249349869125269</v>
      </c>
      <c r="Z5" s="37">
        <f t="shared" ca="1" si="12"/>
        <v>2.8265801961176686</v>
      </c>
      <c r="AA5" s="37">
        <f t="shared" ca="1" si="13"/>
        <v>5.5096620697737988</v>
      </c>
      <c r="AB5" s="37">
        <f t="shared" ca="1" si="14"/>
        <v>1.4132900980588343</v>
      </c>
      <c r="AC5" s="37">
        <f t="shared" ca="1" si="15"/>
        <v>2.0216371122432082</v>
      </c>
      <c r="AD5" s="37">
        <f t="shared" ca="1" si="16"/>
        <v>2.0706343297141063</v>
      </c>
      <c r="AE5" s="37">
        <f t="shared" ca="1" si="17"/>
        <v>3.9834856764464566</v>
      </c>
      <c r="AF5" s="37">
        <f t="shared" ca="1" si="18"/>
        <v>1.0353171648570532</v>
      </c>
      <c r="AG5" s="37">
        <f t="shared" ca="1" si="19"/>
        <v>3.2702953286287193</v>
      </c>
      <c r="AH5" s="37">
        <f t="shared" ca="1" si="20"/>
        <v>5.0688891041918955</v>
      </c>
      <c r="AI5" s="37">
        <f t="shared" ca="1" si="21"/>
        <v>2.377144219724372</v>
      </c>
      <c r="AJ5" s="37">
        <f t="shared" ca="1" si="22"/>
        <v>1.2040135656522244</v>
      </c>
      <c r="AK5" s="37">
        <f t="shared" ca="1" si="23"/>
        <v>2.063681297026994</v>
      </c>
      <c r="AL5" s="37">
        <f t="shared" ca="1" si="24"/>
        <v>4.1542852006094444</v>
      </c>
      <c r="AM5" s="37">
        <f t="shared" ca="1" si="25"/>
        <v>4.0652611293837086</v>
      </c>
      <c r="AN5" s="37">
        <f t="shared" ca="1" si="26"/>
        <v>0.41911356565222457</v>
      </c>
      <c r="AO5" s="37">
        <f t="shared" ca="1" si="27"/>
        <v>0.6507826760948543</v>
      </c>
      <c r="AP5" s="37">
        <f t="shared" ca="1" si="28"/>
        <v>1.4876087588389257</v>
      </c>
      <c r="AQ5" s="37">
        <f t="shared" ca="1" si="29"/>
        <v>3.2727392694456365</v>
      </c>
      <c r="AR5" s="37">
        <f t="shared" ca="1" si="30"/>
        <v>0.74380437941946287</v>
      </c>
      <c r="AS5" s="37">
        <f t="shared" ca="1" si="31"/>
        <v>6.805920993866466</v>
      </c>
      <c r="AT5" s="37">
        <f t="shared" ca="1" si="32"/>
        <v>0.45625606907059396</v>
      </c>
      <c r="AU5" s="37">
        <f t="shared" ca="1" si="33"/>
        <v>1.0847161716289087</v>
      </c>
      <c r="AV5" s="37">
        <f t="shared" ca="1" si="34"/>
        <v>0.22812803453529698</v>
      </c>
      <c r="AW5" s="37">
        <f t="shared" ca="1" si="35"/>
        <v>1.0413261311872479</v>
      </c>
      <c r="AX5" s="37">
        <f t="shared" ca="1" si="36"/>
        <v>2.2038648279095194</v>
      </c>
      <c r="AY5" s="37">
        <f t="shared" ca="1" si="37"/>
        <v>0.52066306559362396</v>
      </c>
      <c r="AZ5" s="37">
        <f t="shared" ca="1" si="38"/>
        <v>7.209662069773799</v>
      </c>
      <c r="BA5" s="37">
        <f t="shared" ca="1" si="39"/>
        <v>0.88794450365277133</v>
      </c>
      <c r="BB5" s="37">
        <f t="shared" ca="1" si="40"/>
        <v>2.0022682448898084</v>
      </c>
      <c r="BC5" s="37">
        <f t="shared" ca="1" si="41"/>
        <v>0.44397225182638567</v>
      </c>
      <c r="BD5" s="37">
        <f t="shared" ca="1" si="42"/>
        <v>1.6033116623041754</v>
      </c>
      <c r="BE5" s="37">
        <f t="shared" ca="1" si="43"/>
        <v>1.9173624002812819</v>
      </c>
      <c r="BF5" s="37">
        <f t="shared" ca="1" si="44"/>
        <v>6.3517122834707171</v>
      </c>
      <c r="BG5" s="37">
        <f t="shared" ca="1" si="45"/>
        <v>3.1200895800289077</v>
      </c>
      <c r="BH5" s="37">
        <f t="shared" ca="1" si="46"/>
        <v>0.84582855881548569</v>
      </c>
      <c r="BI5" s="37">
        <f t="shared" ca="1" si="47"/>
        <v>2.6721861038402923</v>
      </c>
      <c r="BJ5" s="37">
        <f t="shared" ca="1" si="48"/>
        <v>1.4545507864202829</v>
      </c>
      <c r="BK5" s="37">
        <f t="shared" ca="1" si="49"/>
        <v>2.7468812485838177</v>
      </c>
      <c r="BL5" s="37">
        <f t="shared" ca="1" si="50"/>
        <v>3.0674446489823013</v>
      </c>
      <c r="BM5" s="37">
        <f t="shared" ca="1" si="51"/>
        <v>0.18250242762823757</v>
      </c>
      <c r="BN5" s="37">
        <f t="shared" ca="1" si="52"/>
        <v>0.99173917255928379</v>
      </c>
      <c r="BO5" s="37">
        <f t="shared" ca="1" si="53"/>
        <v>0.37465702074461832</v>
      </c>
      <c r="BP5" s="37">
        <f t="shared" ca="1" si="54"/>
        <v>2.1989469312810086</v>
      </c>
      <c r="BQ5" s="37">
        <f t="shared" ca="1" si="55"/>
        <v>4.5134254217291065</v>
      </c>
      <c r="BR5" s="37">
        <f t="shared" ca="1" si="56"/>
        <v>0.47380437941946296</v>
      </c>
      <c r="BS5" s="37">
        <f t="shared" ca="1" si="57"/>
        <v>1.5647440278157587</v>
      </c>
      <c r="BT5" s="37">
        <f t="shared" ca="1" si="58"/>
        <v>1.3443575450248069</v>
      </c>
      <c r="BU5" s="37">
        <f t="shared" ca="1" si="59"/>
        <v>4.5492967660272674</v>
      </c>
      <c r="BV5" s="37">
        <f t="shared" ca="1" si="60"/>
        <v>3.1411475524475505</v>
      </c>
      <c r="BW5" s="37">
        <f t="shared" ca="1" si="61"/>
        <v>0.51942998632652237</v>
      </c>
      <c r="BX5" s="37">
        <f t="shared" ca="1" si="62"/>
        <v>2.9271228003281626</v>
      </c>
      <c r="BY5" s="37">
        <f t="shared" ca="1" si="63"/>
        <v>1.8699265309447424</v>
      </c>
      <c r="BZ5" s="37">
        <f t="shared" ca="1" si="64"/>
        <v>4.1418943053801138</v>
      </c>
      <c r="CA5" s="37">
        <f t="shared" ca="1" si="65"/>
        <v>1.8699265309447424</v>
      </c>
      <c r="CB5" s="37">
        <f t="shared" ca="1" si="66"/>
        <v>2.3175416916913001</v>
      </c>
      <c r="CC5" s="37">
        <f t="shared" ca="1" si="67"/>
        <v>5.1306532994462586</v>
      </c>
      <c r="CD5" s="37">
        <f t="shared" ca="1" si="68"/>
        <v>2.3175416916913001</v>
      </c>
      <c r="CE5" s="37">
        <f t="shared" ca="1" si="69"/>
        <v>1.8024155174434497</v>
      </c>
    </row>
    <row r="6" spans="1:83" x14ac:dyDescent="0.25">
      <c r="A6" t="str">
        <f>PLANTILLA!D7</f>
        <v>Valeri Gomis</v>
      </c>
      <c r="B6">
        <f>PLANTILLA!E7</f>
        <v>17</v>
      </c>
      <c r="C6" s="33">
        <f ca="1">PLANTILLA!F7</f>
        <v>104</v>
      </c>
      <c r="D6" s="220" t="str">
        <f>PLANTILLA!G7</f>
        <v>IMP</v>
      </c>
      <c r="E6" s="30">
        <f>PLANTILLA!M7</f>
        <v>43051</v>
      </c>
      <c r="F6" s="47">
        <f>PLANTILLA!Q7</f>
        <v>5</v>
      </c>
      <c r="G6" s="48">
        <f t="shared" si="1"/>
        <v>0.84515425472851657</v>
      </c>
      <c r="H6" s="48">
        <f t="shared" si="2"/>
        <v>0.92504826128926143</v>
      </c>
      <c r="I6" s="51">
        <f t="shared" ca="1" si="3"/>
        <v>0.51466586479088772</v>
      </c>
      <c r="J6" s="39">
        <f>PLANTILLA!I7</f>
        <v>1.5</v>
      </c>
      <c r="K6" s="46">
        <f>PLANTILLA!X7</f>
        <v>0</v>
      </c>
      <c r="L6" s="46">
        <f>PLANTILLA!Y7</f>
        <v>6</v>
      </c>
      <c r="M6" s="46">
        <f>PLANTILLA!Z7</f>
        <v>3</v>
      </c>
      <c r="N6" s="46">
        <f>PLANTILLA!AA7</f>
        <v>3</v>
      </c>
      <c r="O6" s="46">
        <f>PLANTILLA!AB7</f>
        <v>6.0000000000000009</v>
      </c>
      <c r="P6" s="46">
        <f>PLANTILLA!AC7</f>
        <v>5.33</v>
      </c>
      <c r="Q6" s="46">
        <f>PLANTILLA!AD7</f>
        <v>3</v>
      </c>
      <c r="R6" s="46">
        <f t="shared" ref="R6:R17" si="70">((2*(O6+1))+(L6+1))/8</f>
        <v>2.625</v>
      </c>
      <c r="S6" s="46">
        <f t="shared" ref="S6:S17" si="71">(0.5*P6+ 0.3*Q6)/10</f>
        <v>0.35649999999999998</v>
      </c>
      <c r="T6" s="46">
        <f t="shared" ref="T6:T17" si="72">(0.4*L6+0.3*Q6)/10</f>
        <v>0.33</v>
      </c>
      <c r="U6" s="46">
        <f t="shared" ref="U6:U17" ca="1" si="73">IF(TODAY()-E6&gt;335,(Q6+1+(LOG(J6)*4/3))*(F6/7)^0.5,(Q6+((TODAY()-E6)^0.5)/(336^0.5)+(LOG(J6)*4/3))*(F6/7)^0.5)</f>
        <v>3.1688671786589806</v>
      </c>
      <c r="V6" s="46">
        <f t="shared" ref="V6:V17" ca="1" si="74">IF(F6=7,U6,IF(TODAY()-E6&gt;335,(Q6+1+(LOG(J6)*4/3))*((F6+0.99)/7)^0.5,(Q6+((TODAY()-E6)^0.5)/(336^0.5)+(LOG(J6)*4/3))*((F6+0.99)/7)^0.5))</f>
        <v>3.468426097927789</v>
      </c>
      <c r="W6" s="37">
        <f t="shared" ref="W6:W17" ca="1" si="75">IF(TODAY()-E6&gt;335,((K6+1+(LOG(J6)*4/3))*0.597)+((L6+1+(LOG(J6)*4/3))*0.276),((K6+(((TODAY()-E6)^0.5)/(336^0.5))+(LOG(J6)*4/3))*0.597)+((L6+(((TODAY()-E6)^0.5)/(336^0.5))+(LOG(J6)*4/3))*0.276))</f>
        <v>2.3102735255032583</v>
      </c>
      <c r="X6" s="37">
        <f t="shared" ref="X6:X17" ca="1" si="76">IF(TODAY()-E6&gt;335,((K6+1+(LOG(J6)*4/3))*0.866)+((L6+1+(LOG(J6)*4/3))*0.425),((K6+(((TODAY()-E6)^0.5)/(336^0.5))+(LOG(J6)*4/3))*0.866)+((L6+(((TODAY()-E6)^0.5)/(336^0.5))+(LOG(J6)*4/3))*0.425))</f>
        <v>3.5175453853662155</v>
      </c>
      <c r="Y6" s="37">
        <f t="shared" ref="Y6:Y17" ca="1" si="77">W6</f>
        <v>2.3102735255032583</v>
      </c>
      <c r="Z6" s="37">
        <f t="shared" ref="Z6:Z17" ca="1" si="78">IF(TODAY()-E6&gt;335,((L6+1+(LOG(J6)*4/3))*0.516),((L6+(((TODAY()-E6)^0.5)/(336^0.516))+(LOG(J6)*4/3))*0.516))</f>
        <v>3.4591163921619392</v>
      </c>
      <c r="AA6" s="37">
        <f t="shared" ref="AA6:AA17" ca="1" si="79">IF(TODAY()-E6&gt;335,((L6+1+(LOG(J6)*4/3))*1),((L6+(((TODAY()-E6)^0.5)/(336^0.5))+(LOG(J6)*4/3))*1))</f>
        <v>6.7494542101984631</v>
      </c>
      <c r="AB6" s="37">
        <f t="shared" ref="AB6:AB17" ca="1" si="80">Z6/2</f>
        <v>1.7295581960809696</v>
      </c>
      <c r="AC6" s="37">
        <f t="shared" ref="AC6:AC17" ca="1" si="81">IF(TODAY()-E6&gt;335,((M6+1+(LOG(J6)*4/3))*0.238),((M6+(((TODAY()-E6)^0.5)/(336^0.238))+(LOG(J6)*4/3))*0.238))</f>
        <v>1.3322251109011907</v>
      </c>
      <c r="AD6" s="37">
        <f t="shared" ref="AD6:AD17" ca="1" si="82">IF(TODAY()-E6&gt;335,((L6+1+(LOG(J6)*4/3))*0.378),((L6+(((TODAY()-E6)^0.5)/(336^0.516))+(LOG(J6)*4/3))*0.378))</f>
        <v>2.5340038686767694</v>
      </c>
      <c r="AE6" s="37">
        <f t="shared" ref="AE6:AE17" ca="1" si="83">IF(TODAY()-E6&gt;335,((L6+1+(LOG(J6)*4/3))*0.723),((L6+(((TODAY()-E6)^0.5)/(336^0.5))+(LOG(J6)*4/3))*0.723))</f>
        <v>4.8798553939734886</v>
      </c>
      <c r="AF6" s="37">
        <f t="shared" ref="AF6:AF17" ca="1" si="84">AD6/2</f>
        <v>1.2670019343383847</v>
      </c>
      <c r="AG6" s="37">
        <f t="shared" ref="AG6:AG17" ca="1" si="85">IF(TODAY()-E6&gt;335,((M6+1+(LOG(J6)*4/3))*0.385),((M6+(((TODAY()-E6)^0.5)/(336^0.238))+(LOG(J6)*4/3))*0.385))</f>
        <v>2.1550700323401615</v>
      </c>
      <c r="AH6" s="37">
        <f t="shared" ref="AH6:AH17" ca="1" si="86">IF(TODAY()-E6&gt;335,((L6+1+(LOG(J6)*4/3))*0.92),((L6+(((TODAY()-E6)^0.5)/(336^0.5))+(LOG(J6)*4/3))*0.92))</f>
        <v>6.2094978733825865</v>
      </c>
      <c r="AI6" s="37">
        <f t="shared" ref="AI6:AI17" ca="1" si="87">IF(TODAY()-E6&gt;335,((L6+1+(LOG(J6)*4/3))*0.414),((L6+(((TODAY()-E6)^0.5)/(336^0.414))+(LOG(J6)*4/3))*0.414))</f>
        <v>2.932593577006442</v>
      </c>
      <c r="AJ6" s="37">
        <f t="shared" ref="AJ6:AJ17" ca="1" si="88">IF(TODAY()-E6&gt;335,((M6+1+(LOG(J6)*4/3))*0.167),((M6+(((TODAY()-E6)^0.5)/(336^0.5))+(LOG(J6)*4/3))*0.167))</f>
        <v>0.62615885310314334</v>
      </c>
      <c r="AK6" s="37">
        <f t="shared" ref="AK6:AK17" ca="1" si="89">IF(TODAY()-E6&gt;335,((N6+1+(LOG(J6)*4/3))*0.588),((N6+(((TODAY()-E6)^0.5)/(336^0.5))+(LOG(J6)*4/3))*0.588))</f>
        <v>2.2046790755966961</v>
      </c>
      <c r="AL6" s="37">
        <f t="shared" ref="AL6:AL17" ca="1" si="90">IF(TODAY()-E6&gt;335,((L6+1+(LOG(J6)*4/3))*0.754),((L6+(((TODAY()-E6)^0.5)/(336^0.5))+(LOG(J6)*4/3))*0.754))</f>
        <v>5.0890884744896416</v>
      </c>
      <c r="AM6" s="37">
        <f t="shared" ref="AM6:AM17" ca="1" si="91">IF(TODAY()-E6&gt;335,((L6+1+(LOG(J6)*4/3))*0.708),((L6+(((TODAY()-E6)^0.5)/(336^0.414))+(LOG(J6)*4/3))*0.708))</f>
        <v>5.0151600302429005</v>
      </c>
      <c r="AN6" s="37">
        <f t="shared" ref="AN6:AN17" ca="1" si="92">IF(TODAY()-E6&gt;335,((Q6+1+(LOG(J6)*4/3))*0.167),((Q6+(((TODAY()-E6)^0.5)/(336^0.5))+(LOG(J6)*4/3))*0.167))</f>
        <v>0.62615885310314334</v>
      </c>
      <c r="AO6" s="37">
        <f t="shared" ref="AO6:AO17" ca="1" si="93">IF(TODAY()-E6&gt;335,((R6+1+(LOG(J6)*4/3))*0.288),((R6+(((TODAY()-E6)^0.5)/(336^0.5))+(LOG(J6)*4/3))*0.288))</f>
        <v>0.97184281253715721</v>
      </c>
      <c r="AP6" s="37">
        <f t="shared" ref="AP6:AP17" ca="1" si="94">IF(TODAY()-E6&gt;335,((L6+1+(LOG(J6)*4/3))*0.27),((L6+(((TODAY()-E6)^0.5)/(336^0.5))+(LOG(J6)*4/3))*0.27))</f>
        <v>1.8223526367535852</v>
      </c>
      <c r="AQ6" s="37">
        <f t="shared" ref="AQ6:AQ17" ca="1" si="95">IF(TODAY()-E6&gt;335,((L6+1+(LOG(J6)*4/3))*0.594),((L6+(((TODAY()-E6)^0.5)/(336^0.5))+(LOG(J6)*4/3))*0.594))</f>
        <v>4.0091758008578866</v>
      </c>
      <c r="AR6" s="37">
        <f t="shared" ref="AR6:AR17" ca="1" si="96">AP6/2</f>
        <v>0.91117631837679258</v>
      </c>
      <c r="AS6" s="37">
        <f t="shared" ref="AS6:AS17" ca="1" si="97">IF(TODAY()-E6&gt;335,((M6+1+(LOG(J6)*4/3))*0.944),((M6+(((TODAY()-E6)^0.5)/(336^0.5))+(LOG(J6)*4/3))*0.944))</f>
        <v>3.5394847744273488</v>
      </c>
      <c r="AT6" s="37">
        <f t="shared" ref="AT6:AT17" ca="1" si="98">IF(TODAY()-E6&gt;335,((O6+1+(LOG(J6)*4/3))*0.13),((O6+(((TODAY()-E6)^0.5)/(336^0.5))+(LOG(J6)*4/3))*0.13))</f>
        <v>0.87742904732580029</v>
      </c>
      <c r="AU6" s="37">
        <f t="shared" ref="AU6:AU17" ca="1" si="99">IF(TODAY()-E6&gt;335,((P6+1+(LOG(J6)*4/3))*0.173)+((O6+1+(LOG(J6)*4/3))*0.12),((P6+(((TODAY()-E6)^0.5)/(336^0.5))+(LOG(J6)*4/3))*0.173)+((O6+(((TODAY()-E6)^0.5)/(336^0.5))+(LOG(J6)*4/3))*0.12))</f>
        <v>1.8616800835881495</v>
      </c>
      <c r="AV6" s="37">
        <f t="shared" ref="AV6:AV17" ca="1" si="100">AT6/2</f>
        <v>0.43871452366290015</v>
      </c>
      <c r="AW6" s="37">
        <f t="shared" ref="AW6:AW17" ca="1" si="101">IF(TODAY()-E6&gt;335,((L6+1+(LOG(J6)*4/3))*0.189),((L6+(((TODAY()-E6)^0.5)/(336^0.5))+(LOG(J6)*4/3))*0.189))</f>
        <v>1.2756468457275096</v>
      </c>
      <c r="AX6" s="37">
        <f t="shared" ref="AX6:AX17" ca="1" si="102">IF(TODAY()-E6&gt;335,((L6+1+(LOG(J6)*4/3))*0.4),((L6+(((TODAY()-E6)^0.5)/(336^0.5))+(LOG(J6)*4/3))*0.4))</f>
        <v>2.6997816840793853</v>
      </c>
      <c r="AY6" s="37">
        <f t="shared" ref="AY6:AY17" ca="1" si="103">AW6/2</f>
        <v>0.63782342286375482</v>
      </c>
      <c r="AZ6" s="37">
        <f t="shared" ref="AZ6:AZ17" ca="1" si="104">IF(TODAY()-E6&gt;335,((M6+1+(LOG(J6)*4/3))*1),((M6+(((TODAY()-E6)^0.5)/(336^0.5))+(LOG(J6)*4/3))*1))</f>
        <v>3.7494542101984627</v>
      </c>
      <c r="BA6" s="37">
        <f t="shared" ref="BA6:BA17" ca="1" si="105">IF(TODAY()-E6&gt;335,((O6+1+(LOG(J6)*4/3))*0.253),((O6+(((TODAY()-E6)^0.5)/(336^0.5))+(LOG(J6)*4/3))*0.253))</f>
        <v>1.7076119151802112</v>
      </c>
      <c r="BB6" s="37">
        <f t="shared" ref="BB6:BB17" ca="1" si="106">IF(TODAY()-E6&gt;335,((P6+1+(LOG(J6)*4/3))*0.21)+((O6+1+(LOG(J6)*4/3))*0.341),((P6+(((TODAY()-E6)^0.5)/(336^0.5))+(LOG(J6)*4/3))*0.21)+((O6+(((TODAY()-E6)^0.5)/(336^0.5))+(LOG(J6)*4/3))*0.341))</f>
        <v>3.5782492698193531</v>
      </c>
      <c r="BC6" s="37">
        <f t="shared" ref="BC6:BC17" ca="1" si="107">BA6/2</f>
        <v>0.85380595759010558</v>
      </c>
      <c r="BD6" s="37">
        <f t="shared" ref="BD6:BD17" ca="1" si="108">IF(TODAY()-E6&gt;335,((L6+1+(LOG(J6)*4/3))*0.291),((L6+(((TODAY()-E6)^0.5)/(336^0.5))+(LOG(J6)*4/3))*0.291))</f>
        <v>1.9640911751677526</v>
      </c>
      <c r="BE6" s="37">
        <f t="shared" ref="BE6:BE17" ca="1" si="109">IF(TODAY()-E6&gt;335,((L6+1+(LOG(J6)*4/3))*0.348),((L6+(((TODAY()-E6)^0.5)/(336^0.5))+(LOG(J6)*4/3))*0.348))</f>
        <v>2.3488100651490651</v>
      </c>
      <c r="BF6" s="37">
        <f t="shared" ref="BF6:BF17" ca="1" si="110">IF(TODAY()-E6&gt;335,((M6+1+(LOG(J6)*4/3))*0.881),((M6+(((TODAY()-E6)^0.5)/(336^0.5))+(LOG(J6)*4/3))*0.881))</f>
        <v>3.3032691591848455</v>
      </c>
      <c r="BG6" s="37">
        <f t="shared" ref="BG6:BG17" ca="1" si="111">IF(TODAY()-E6&gt;335,((N6+1+(LOG(J6)*4/3))*0.574)+((O6+1+(LOG(J6)*4/3))*0.315),((N6+(((TODAY()-E6)^0.5)/(336^0.5))+(LOG(J6)*4/3))*0.574)+((O6+(((TODAY()-E6)^0.5)/(336^0.5))+(LOG(J6)*4/3))*0.315))</f>
        <v>4.2782647928664339</v>
      </c>
      <c r="BH6" s="37">
        <f t="shared" ref="BH6:BH17" ca="1" si="112">IF(TODAY()-E6&gt;335,((O6+1+(LOG(J6)*4/3))*0.241),((O6+(((TODAY()-E6)^0.5)/(336^0.5))+(LOG(J6)*4/3))*0.241))</f>
        <v>1.6266184646578297</v>
      </c>
      <c r="BI6" s="37">
        <f t="shared" ref="BI6:BI17" ca="1" si="113">IF(TODAY()-E6&gt;335,((L6+1+(LOG(J6)*4/3))*0.485),((L6+(((TODAY()-E6)^0.5)/(336^0.5))+(LOG(J6)*4/3))*0.485))</f>
        <v>3.2734852919462547</v>
      </c>
      <c r="BJ6" s="37">
        <f t="shared" ref="BJ6:BJ17" ca="1" si="114">IF(TODAY()-E6&gt;335,((L6+1+(LOG(J6)*4/3))*0.264),((L6+(((TODAY()-E6)^0.5)/(336^0.5))+(LOG(J6)*4/3))*0.264))</f>
        <v>1.7818559114923944</v>
      </c>
      <c r="BK6" s="37">
        <f t="shared" ref="BK6:BK17" ca="1" si="115">IF(TODAY()-E6&gt;335,((M6+1+(LOG(J6)*4/3))*0.381),((M6+(((TODAY()-E6)^0.5)/(336^0.5))+(LOG(J6)*4/3))*0.381))</f>
        <v>1.4285420540856144</v>
      </c>
      <c r="BL6" s="37">
        <f t="shared" ref="BL6:BL17" ca="1" si="116">IF(TODAY()-E6&gt;335,((N6+1+(LOG(J6)*4/3))*0.673)+((O6+1+(LOG(J6)*4/3))*0.201),((N6+(((TODAY()-E6)^0.5)/(336^0.5))+(LOG(J6)*4/3))*0.673)+((O6+(((TODAY()-E6)^0.5)/(336^0.5))+(LOG(J6)*4/3))*0.201))</f>
        <v>3.8800229797134564</v>
      </c>
      <c r="BM6" s="37">
        <f t="shared" ref="BM6:BM17" ca="1" si="117">IF(TODAY()-E6&gt;335,((O6+1+(LOG(J6)*4/3))*0.052),((O6+(((TODAY()-E6)^0.5)/(336^0.5))+(LOG(J6)*4/3))*0.052))</f>
        <v>0.35097161893032008</v>
      </c>
      <c r="BN6" s="37">
        <f t="shared" ref="BN6:BN17" ca="1" si="118">IF(TODAY()-E6&gt;335,((L6+1+(LOG(J6)*4/3))*0.18),((L6+(((TODAY()-E6)^0.5)/(336^0.5))+(LOG(J6)*4/3))*0.18))</f>
        <v>1.2149017578357233</v>
      </c>
      <c r="BO6" s="37">
        <f t="shared" ref="BO6:BO17" ca="1" si="119">IF(TODAY()-E6&gt;335,((L6+1+(LOG(J6)*4/3))*0.068),((L6+(((TODAY()-E6)^0.5)/(336^0.5))+(LOG(J6)*4/3))*0.068))</f>
        <v>0.45896288629349552</v>
      </c>
      <c r="BP6" s="37">
        <f t="shared" ref="BP6:BP17" ca="1" si="120">IF(TODAY()-E6&gt;335,((M6+1+(LOG(J6)*4/3))*0.305),((M6+(((TODAY()-E6)^0.5)/(336^0.5))+(LOG(J6)*4/3))*0.305))</f>
        <v>1.1435835341105312</v>
      </c>
      <c r="BQ6" s="37">
        <f t="shared" ref="BQ6:BQ17" ca="1" si="121">IF(TODAY()-E6&gt;335,((N6+1+(LOG(J6)*4/3))*1)+((O6+1+(LOG(J6)*4/3))*0.286),((N6+(((TODAY()-E6)^0.5)/(336^0.5))+(LOG(J6)*4/3))*1)+((O6+(((TODAY()-E6)^0.5)/(336^0.5))+(LOG(J6)*4/3))*0.286))</f>
        <v>5.679798114315223</v>
      </c>
      <c r="BR6" s="37">
        <f t="shared" ref="BR6:BR17" ca="1" si="122">IF(TODAY()-E6&gt;335,((O6+1+(LOG(J6)*4/3))*0.135),((O6+(((TODAY()-E6)^0.5)/(336^0.5))+(LOG(J6)*4/3))*0.135))</f>
        <v>0.91117631837679258</v>
      </c>
      <c r="BS6" s="37">
        <f t="shared" ref="BS6:BS17" ca="1" si="123">IF(TODAY()-E6&gt;335,((L6+1+(LOG(J6)*4/3))*0.284),((L6+(((TODAY()-E6)^0.5)/(336^0.5))+(LOG(J6)*4/3))*0.284))</f>
        <v>1.9168449956963634</v>
      </c>
      <c r="BT6" s="37">
        <f t="shared" ref="BT6:BT17" ca="1" si="124">IF(TODAY()-E6&gt;335,((L6+1+(LOG(J6)*4/3))*0.244),((L6+(((TODAY()-E6)^0.5)/(336^0.5))+(LOG(J6)*4/3))*0.244))</f>
        <v>1.646866827288425</v>
      </c>
      <c r="BU6" s="37">
        <f t="shared" ref="BU6:BU17" ca="1" si="125">IF(TODAY()-E6&gt;335,((M6+1+(LOG(J6)*4/3))*0.631),((M6+(((TODAY()-E6)^0.5)/(336^0.5))+(LOG(J6)*4/3))*0.631))</f>
        <v>2.3659056066352302</v>
      </c>
      <c r="BV6" s="37">
        <f t="shared" ref="BV6:BV17" ca="1" si="126">IF(TODAY()-E6&gt;335,((N6+1+(LOG(J6)*4/3))*0.702)+((O6+1+(LOG(J6)*4/3))*0.193),((N6+(((TODAY()-E6)^0.5)/(336^0.5))+(LOG(J6)*4/3))*0.702)+((O6+(((TODAY()-E6)^0.5)/(336^0.5))+(LOG(J6)*4/3))*0.193))</f>
        <v>3.9347615181276243</v>
      </c>
      <c r="BW6" s="37">
        <f t="shared" ref="BW6:BW17" ca="1" si="127">IF(TODAY()-E6&gt;335,((O6+1+(LOG(J6)*4/3))*0.148),((O6+(((TODAY()-E6)^0.5)/(336^0.5))+(LOG(J6)*4/3))*0.148))</f>
        <v>0.99891922310937253</v>
      </c>
      <c r="BX6" s="37">
        <f t="shared" ref="BX6:BX17" ca="1" si="128">IF(TODAY()-E6&gt;335,((M6+1+(LOG(J6)*4/3))*0.406),((M6+(((TODAY()-E6)^0.5)/(336^0.5))+(LOG(J6)*4/3))*0.406))</f>
        <v>1.5222784093405759</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2.9993756435133991</v>
      </c>
      <c r="BZ6" s="37">
        <f t="shared" ref="BZ6:BZ17" ca="1" si="130">IF(D6="TEC",IF(TODAY()-E6&gt;335,((O6+1+(LOG(J6)*4/3))*0.543)+((P6+1+(LOG(J6)*4/3))*0.583),((O6+(((TODAY()-E6)^0.5)/(336^0.5))+(LOG(J6)*4/3))*0.543)+((P6+(((TODAY()-E6)^0.5)/(336^0.5))+(LOG(J6)*4/3))*0.583)),IF(TODAY()-E6&gt;335,((O6+1+(LOG(J6)*4/3))*0.543)+((P6+1+(LOG(J6)*4/3))*0.583),((O6+(((TODAY()-E6)^0.5)/(336^0.5))+(LOG(J6)*4/3))*0.543)+((P6+(((TODAY()-E6)^0.5)/(336^0.5))+(LOG(J6)*4/3))*0.583)))</f>
        <v>7.20927544068347</v>
      </c>
      <c r="CA6" s="37">
        <f t="shared" ref="CA6:CA17" ca="1" si="131">BY6</f>
        <v>2.9993756435133991</v>
      </c>
      <c r="CB6" s="37">
        <f t="shared" ref="CB6:CB17" ca="1" si="132">IF(TODAY()-E6&gt;335,((P6+1+(LOG(J6)*4/3))*0.26)+((N6+1+(LOG(J6)*4/3))*0.221)+((O6+1+(LOG(J6)*4/3))*0.142),((P6+(((TODAY()-E6)^0.5)/(336^0.5))+(LOG(J6)*4/3))*0.26)+((N6+(((TODAY()-E6)^0.5)/(336^0.5))+(LOG(J6)*4/3))*0.221)+((P6+(((TODAY()-E6)^0.5)/(336^0.5))+(LOG(J6)*4/3))*0.142))</f>
        <v>3.2725699729536424</v>
      </c>
      <c r="CC6" s="37">
        <f t="shared" ref="CC6:CC17" ca="1" si="133">IF(TODAY()-E6&gt;335,((P6+1+(LOG(J6)*4/3))*1)+((O6+1+(LOG(J6)*4/3))*0.369),((P6+(((TODAY()-E6)^0.5)/(336^0.5))+(LOG(J6)*4/3))*1)+((O6+(((TODAY()-E6)^0.5)/(336^0.5))+(LOG(J6)*4/3))*0.369))</f>
        <v>8.5700028137616968</v>
      </c>
      <c r="CD6" s="37">
        <f t="shared" ref="CD6:CD17" ca="1" si="134">CB6</f>
        <v>3.2725699729536424</v>
      </c>
      <c r="CE6" s="37">
        <f t="shared" ref="CE6:CE17" ca="1" si="135">IF(TODAY()-E6&gt;335,((M6+1+(LOG(J6)*4/3))*0.25),((M6+(((TODAY()-E6)^0.5)/(336^0.5))+(LOG(J6)*4/3))*0.25))</f>
        <v>0.93736355254961568</v>
      </c>
    </row>
    <row r="7" spans="1:83" x14ac:dyDescent="0.25">
      <c r="A7" t="str">
        <f>PLANTILLA!D8</f>
        <v>J. G. de Minaya</v>
      </c>
      <c r="B7">
        <f>PLANTILLA!E8</f>
        <v>18</v>
      </c>
      <c r="C7" s="33">
        <f ca="1">PLANTILLA!F8</f>
        <v>2</v>
      </c>
      <c r="D7" s="220" t="str">
        <f>PLANTILLA!G8</f>
        <v>TEC</v>
      </c>
      <c r="E7" s="30">
        <f>PLANTILLA!M8</f>
        <v>43081</v>
      </c>
      <c r="F7" s="47">
        <f>PLANTILLA!Q8</f>
        <v>7</v>
      </c>
      <c r="G7" s="48">
        <f t="shared" si="1"/>
        <v>1</v>
      </c>
      <c r="H7" s="48">
        <f t="shared" si="2"/>
        <v>1</v>
      </c>
      <c r="I7" s="51">
        <f t="shared" ca="1" si="3"/>
        <v>0.41904085492376286</v>
      </c>
      <c r="J7" s="39">
        <f>PLANTILLA!I8</f>
        <v>1.7</v>
      </c>
      <c r="K7" s="46">
        <f>PLANTILLA!X8</f>
        <v>0</v>
      </c>
      <c r="L7" s="46">
        <f>PLANTILLA!Y8</f>
        <v>6</v>
      </c>
      <c r="M7" s="46">
        <f>PLANTILLA!Z8</f>
        <v>5</v>
      </c>
      <c r="N7" s="46">
        <f>PLANTILLA!AA8</f>
        <v>6</v>
      </c>
      <c r="O7" s="46">
        <f>PLANTILLA!AB8</f>
        <v>6.2</v>
      </c>
      <c r="P7" s="46">
        <f>PLANTILLA!AC8</f>
        <v>6.5</v>
      </c>
      <c r="Q7" s="46">
        <f>PLANTILLA!AD8</f>
        <v>0</v>
      </c>
      <c r="R7" s="46">
        <f t="shared" si="70"/>
        <v>2.6749999999999998</v>
      </c>
      <c r="S7" s="46">
        <f t="shared" si="71"/>
        <v>0.32500000000000001</v>
      </c>
      <c r="T7" s="46">
        <f t="shared" si="72"/>
        <v>0.24000000000000005</v>
      </c>
      <c r="U7" s="46">
        <f t="shared" ca="1" si="73"/>
        <v>0.72630608342812808</v>
      </c>
      <c r="V7" s="46">
        <f t="shared" ca="1" si="74"/>
        <v>0.72630608342812808</v>
      </c>
      <c r="W7" s="37">
        <f t="shared" ca="1" si="75"/>
        <v>2.2900652108327559</v>
      </c>
      <c r="X7" s="37">
        <f t="shared" ca="1" si="76"/>
        <v>3.4876611537057132</v>
      </c>
      <c r="Y7" s="37">
        <f t="shared" ca="1" si="77"/>
        <v>2.2900652108327559</v>
      </c>
      <c r="Z7" s="37">
        <f t="shared" ca="1" si="78"/>
        <v>3.4515572109159534</v>
      </c>
      <c r="AA7" s="37">
        <f t="shared" ca="1" si="79"/>
        <v>6.7263060834281276</v>
      </c>
      <c r="AB7" s="37">
        <f t="shared" ca="1" si="80"/>
        <v>1.7257786054579767</v>
      </c>
      <c r="AC7" s="37">
        <f t="shared" ca="1" si="81"/>
        <v>1.7209907172925072</v>
      </c>
      <c r="AD7" s="37">
        <f t="shared" ca="1" si="82"/>
        <v>2.528466328926803</v>
      </c>
      <c r="AE7" s="37">
        <f t="shared" ca="1" si="83"/>
        <v>4.8631192983185363</v>
      </c>
      <c r="AF7" s="37">
        <f t="shared" ca="1" si="84"/>
        <v>1.2642331644634015</v>
      </c>
      <c r="AG7" s="37">
        <f t="shared" ca="1" si="85"/>
        <v>2.7839555720908207</v>
      </c>
      <c r="AH7" s="37">
        <f t="shared" ca="1" si="86"/>
        <v>6.1882015967538777</v>
      </c>
      <c r="AI7" s="37">
        <f t="shared" ca="1" si="87"/>
        <v>2.8973104583329041</v>
      </c>
      <c r="AJ7" s="37">
        <f t="shared" ca="1" si="88"/>
        <v>0.95629311593249733</v>
      </c>
      <c r="AK7" s="37">
        <f t="shared" ca="1" si="89"/>
        <v>3.9550679770557386</v>
      </c>
      <c r="AL7" s="37">
        <f t="shared" ca="1" si="90"/>
        <v>5.0716347869048084</v>
      </c>
      <c r="AM7" s="37">
        <f t="shared" ca="1" si="91"/>
        <v>4.9548207838156912</v>
      </c>
      <c r="AN7" s="37">
        <f t="shared" ca="1" si="92"/>
        <v>0.12129311593249739</v>
      </c>
      <c r="AO7" s="37">
        <f t="shared" ca="1" si="93"/>
        <v>0.97957615202730075</v>
      </c>
      <c r="AP7" s="37">
        <f t="shared" ca="1" si="94"/>
        <v>1.8161026425255946</v>
      </c>
      <c r="AQ7" s="37">
        <f t="shared" ca="1" si="95"/>
        <v>3.9954258135563077</v>
      </c>
      <c r="AR7" s="37">
        <f t="shared" ca="1" si="96"/>
        <v>0.90805132126279731</v>
      </c>
      <c r="AS7" s="37">
        <f t="shared" ca="1" si="97"/>
        <v>5.405632942756152</v>
      </c>
      <c r="AT7" s="37">
        <f t="shared" ca="1" si="98"/>
        <v>0.9004197908456566</v>
      </c>
      <c r="AU7" s="37">
        <f t="shared" ca="1" si="99"/>
        <v>2.0813076824444412</v>
      </c>
      <c r="AV7" s="37">
        <f t="shared" ca="1" si="100"/>
        <v>0.4502098954228283</v>
      </c>
      <c r="AW7" s="37">
        <f t="shared" ca="1" si="101"/>
        <v>1.2712718497679161</v>
      </c>
      <c r="AX7" s="37">
        <f t="shared" ca="1" si="102"/>
        <v>2.6905224333712514</v>
      </c>
      <c r="AY7" s="37">
        <f t="shared" ca="1" si="103"/>
        <v>0.63563592488395804</v>
      </c>
      <c r="AZ7" s="37">
        <f t="shared" ca="1" si="104"/>
        <v>5.7263060834281276</v>
      </c>
      <c r="BA7" s="37">
        <f t="shared" ca="1" si="105"/>
        <v>1.7523554391073164</v>
      </c>
      <c r="BB7" s="37">
        <f t="shared" ca="1" si="106"/>
        <v>3.8793946519688989</v>
      </c>
      <c r="BC7" s="37">
        <f t="shared" ca="1" si="107"/>
        <v>0.8761777195536582</v>
      </c>
      <c r="BD7" s="37">
        <f t="shared" ca="1" si="108"/>
        <v>1.957355070277585</v>
      </c>
      <c r="BE7" s="37">
        <f t="shared" ca="1" si="109"/>
        <v>2.3407545170329884</v>
      </c>
      <c r="BF7" s="37">
        <f t="shared" ca="1" si="110"/>
        <v>5.0448756595001809</v>
      </c>
      <c r="BG7" s="37">
        <f t="shared" ca="1" si="111"/>
        <v>6.0426861081676053</v>
      </c>
      <c r="BH7" s="37">
        <f t="shared" ca="1" si="112"/>
        <v>1.6692397661061789</v>
      </c>
      <c r="BI7" s="37">
        <f t="shared" ca="1" si="113"/>
        <v>3.262258450462642</v>
      </c>
      <c r="BJ7" s="37">
        <f t="shared" ca="1" si="114"/>
        <v>1.7757448060250258</v>
      </c>
      <c r="BK7" s="37">
        <f t="shared" ca="1" si="115"/>
        <v>2.1817226177861166</v>
      </c>
      <c r="BL7" s="37">
        <f t="shared" ca="1" si="116"/>
        <v>5.9189915169161837</v>
      </c>
      <c r="BM7" s="37">
        <f t="shared" ca="1" si="117"/>
        <v>0.36016791633826262</v>
      </c>
      <c r="BN7" s="37">
        <f t="shared" ca="1" si="118"/>
        <v>1.210735095017063</v>
      </c>
      <c r="BO7" s="37">
        <f t="shared" ca="1" si="119"/>
        <v>0.45738881367311274</v>
      </c>
      <c r="BP7" s="37">
        <f t="shared" ca="1" si="120"/>
        <v>1.7465233554455788</v>
      </c>
      <c r="BQ7" s="37">
        <f t="shared" ca="1" si="121"/>
        <v>8.7072296232885726</v>
      </c>
      <c r="BR7" s="37">
        <f t="shared" ca="1" si="122"/>
        <v>0.93505132126279733</v>
      </c>
      <c r="BS7" s="37">
        <f t="shared" ca="1" si="123"/>
        <v>1.9102709276935881</v>
      </c>
      <c r="BT7" s="37">
        <f t="shared" ca="1" si="124"/>
        <v>1.6412186843564631</v>
      </c>
      <c r="BU7" s="37">
        <f t="shared" ca="1" si="125"/>
        <v>3.6132991386431486</v>
      </c>
      <c r="BV7" s="37">
        <f t="shared" ca="1" si="126"/>
        <v>6.0586439446681739</v>
      </c>
      <c r="BW7" s="37">
        <f t="shared" ca="1" si="127"/>
        <v>1.0250933003473628</v>
      </c>
      <c r="BX7" s="37">
        <f t="shared" ca="1" si="128"/>
        <v>2.3248802698718198</v>
      </c>
      <c r="BY7" s="37">
        <f t="shared" ca="1" si="129"/>
        <v>4.1708099561403049</v>
      </c>
      <c r="BZ7" s="37">
        <f t="shared" ca="1" si="130"/>
        <v>7.9739206499400712</v>
      </c>
      <c r="CA7" s="37">
        <f t="shared" ca="1" si="131"/>
        <v>4.1708099561403049</v>
      </c>
      <c r="CB7" s="37">
        <f t="shared" ca="1" si="132"/>
        <v>4.3914886899757235</v>
      </c>
      <c r="CC7" s="37">
        <f t="shared" ca="1" si="133"/>
        <v>9.7821130282131072</v>
      </c>
      <c r="CD7" s="37">
        <f t="shared" ca="1" si="134"/>
        <v>4.3914886899757235</v>
      </c>
      <c r="CE7" s="37">
        <f t="shared" ca="1" si="135"/>
        <v>1.4315765208570319</v>
      </c>
    </row>
    <row r="8" spans="1:83" x14ac:dyDescent="0.25">
      <c r="A8" t="str">
        <f>PLANTILLA!D9</f>
        <v>Roberto Montero</v>
      </c>
      <c r="B8">
        <f>PLANTILLA!E9</f>
        <v>18</v>
      </c>
      <c r="C8" s="33">
        <f ca="1">PLANTILLA!F9</f>
        <v>36</v>
      </c>
      <c r="D8" s="220" t="str">
        <f>PLANTILLA!G9</f>
        <v>TEC</v>
      </c>
      <c r="E8" s="30">
        <f>PLANTILLA!M9</f>
        <v>43046</v>
      </c>
      <c r="F8" s="47">
        <f>PLANTILLA!Q9</f>
        <v>6</v>
      </c>
      <c r="G8" s="48">
        <f t="shared" si="1"/>
        <v>0.92582009977255142</v>
      </c>
      <c r="H8" s="48">
        <f t="shared" si="2"/>
        <v>0.99928545900129484</v>
      </c>
      <c r="I8" s="51">
        <f t="shared" ca="1" si="3"/>
        <v>0.52892523551245385</v>
      </c>
      <c r="J8" s="39">
        <f>PLANTILLA!I9</f>
        <v>0.5</v>
      </c>
      <c r="K8" s="46">
        <f>PLANTILLA!X9</f>
        <v>0</v>
      </c>
      <c r="L8" s="46">
        <f>PLANTILLA!Y9</f>
        <v>6</v>
      </c>
      <c r="M8" s="46">
        <f>PLANTILLA!Z9</f>
        <v>4</v>
      </c>
      <c r="N8" s="46">
        <f>PLANTILLA!AA9</f>
        <v>4</v>
      </c>
      <c r="O8" s="46">
        <f>PLANTILLA!AB9</f>
        <v>3.5528</v>
      </c>
      <c r="P8" s="46">
        <f>PLANTILLA!AC9</f>
        <v>4.0000000000000009</v>
      </c>
      <c r="Q8" s="46">
        <f>PLANTILLA!AD9</f>
        <v>6</v>
      </c>
      <c r="R8" s="46">
        <f t="shared" si="70"/>
        <v>2.0131999999999999</v>
      </c>
      <c r="S8" s="46">
        <f t="shared" si="71"/>
        <v>0.38</v>
      </c>
      <c r="T8" s="46">
        <f t="shared" si="72"/>
        <v>0.42000000000000004</v>
      </c>
      <c r="U8" s="46">
        <f t="shared" ca="1" si="73"/>
        <v>5.6730107187894578</v>
      </c>
      <c r="V8" s="46">
        <f t="shared" ca="1" si="74"/>
        <v>6.1231735209005471</v>
      </c>
      <c r="W8" s="37">
        <f t="shared" ca="1" si="75"/>
        <v>1.7673528156494982</v>
      </c>
      <c r="X8" s="37">
        <f t="shared" ca="1" si="76"/>
        <v>2.714669513176978</v>
      </c>
      <c r="Y8" s="37">
        <f t="shared" ca="1" si="77"/>
        <v>1.7673528156494982</v>
      </c>
      <c r="Z8" s="37">
        <f t="shared" ca="1" si="78"/>
        <v>3.1375608859858404</v>
      </c>
      <c r="AA8" s="37">
        <f t="shared" ca="1" si="79"/>
        <v>6.1275519079604788</v>
      </c>
      <c r="AB8" s="37">
        <f t="shared" ca="1" si="80"/>
        <v>1.5687804429929202</v>
      </c>
      <c r="AC8" s="37">
        <f t="shared" ca="1" si="81"/>
        <v>1.4343990185529845</v>
      </c>
      <c r="AD8" s="37">
        <f t="shared" ca="1" si="82"/>
        <v>2.2984457653152086</v>
      </c>
      <c r="AE8" s="37">
        <f t="shared" ca="1" si="83"/>
        <v>4.4302200294554259</v>
      </c>
      <c r="AF8" s="37">
        <f t="shared" ca="1" si="84"/>
        <v>1.1492228826576043</v>
      </c>
      <c r="AG8" s="37">
        <f t="shared" ca="1" si="85"/>
        <v>2.3203513535415929</v>
      </c>
      <c r="AH8" s="37">
        <f t="shared" ca="1" si="86"/>
        <v>5.6373477553236411</v>
      </c>
      <c r="AI8" s="37">
        <f t="shared" ca="1" si="87"/>
        <v>2.6789583151742251</v>
      </c>
      <c r="AJ8" s="37">
        <f t="shared" ca="1" si="88"/>
        <v>0.68930116862939994</v>
      </c>
      <c r="AK8" s="37">
        <f t="shared" ca="1" si="89"/>
        <v>2.4270005218807613</v>
      </c>
      <c r="AL8" s="37">
        <f t="shared" ca="1" si="90"/>
        <v>4.6201741386022013</v>
      </c>
      <c r="AM8" s="37">
        <f t="shared" ca="1" si="91"/>
        <v>4.5814069737762111</v>
      </c>
      <c r="AN8" s="37">
        <f t="shared" ca="1" si="92"/>
        <v>1.0233011686294</v>
      </c>
      <c r="AO8" s="37">
        <f t="shared" ca="1" si="93"/>
        <v>0.61653654949261782</v>
      </c>
      <c r="AP8" s="37">
        <f t="shared" ca="1" si="94"/>
        <v>1.6544390151493293</v>
      </c>
      <c r="AQ8" s="37">
        <f t="shared" ca="1" si="95"/>
        <v>3.6397658333285241</v>
      </c>
      <c r="AR8" s="37">
        <f t="shared" ca="1" si="96"/>
        <v>0.82721950757466467</v>
      </c>
      <c r="AS8" s="37">
        <f t="shared" ca="1" si="97"/>
        <v>3.8964090011146917</v>
      </c>
      <c r="AT8" s="37">
        <f t="shared" ca="1" si="98"/>
        <v>0.47844574803486223</v>
      </c>
      <c r="AU8" s="37">
        <f t="shared" ca="1" si="99"/>
        <v>1.1557087090324203</v>
      </c>
      <c r="AV8" s="37">
        <f t="shared" ca="1" si="100"/>
        <v>0.23922287401743111</v>
      </c>
      <c r="AW8" s="37">
        <f t="shared" ca="1" si="101"/>
        <v>1.1581073106045305</v>
      </c>
      <c r="AX8" s="37">
        <f t="shared" ca="1" si="102"/>
        <v>2.4510207631841916</v>
      </c>
      <c r="AY8" s="37">
        <f t="shared" ca="1" si="103"/>
        <v>0.57905365530226527</v>
      </c>
      <c r="AZ8" s="37">
        <f t="shared" ca="1" si="104"/>
        <v>4.1275519079604788</v>
      </c>
      <c r="BA8" s="37">
        <f t="shared" ca="1" si="105"/>
        <v>0.93112903271400116</v>
      </c>
      <c r="BB8" s="37">
        <f t="shared" ca="1" si="106"/>
        <v>2.1217859012862244</v>
      </c>
      <c r="BC8" s="37">
        <f t="shared" ca="1" si="107"/>
        <v>0.46556451635700058</v>
      </c>
      <c r="BD8" s="37">
        <f t="shared" ca="1" si="108"/>
        <v>1.7831176052164992</v>
      </c>
      <c r="BE8" s="37">
        <f t="shared" ca="1" si="109"/>
        <v>2.1323880639702466</v>
      </c>
      <c r="BF8" s="37">
        <f t="shared" ca="1" si="110"/>
        <v>3.6363732309131818</v>
      </c>
      <c r="BG8" s="37">
        <f t="shared" ca="1" si="111"/>
        <v>3.5285256461768655</v>
      </c>
      <c r="BH8" s="37">
        <f t="shared" ca="1" si="112"/>
        <v>0.88696480981847536</v>
      </c>
      <c r="BI8" s="37">
        <f t="shared" ca="1" si="113"/>
        <v>2.9718626753608319</v>
      </c>
      <c r="BJ8" s="37">
        <f t="shared" ca="1" si="114"/>
        <v>1.6176737037015665</v>
      </c>
      <c r="BK8" s="37">
        <f t="shared" ca="1" si="115"/>
        <v>1.5725972769329424</v>
      </c>
      <c r="BL8" s="37">
        <f t="shared" ca="1" si="116"/>
        <v>3.5175931675574588</v>
      </c>
      <c r="BM8" s="37">
        <f t="shared" ca="1" si="117"/>
        <v>0.19137829921394489</v>
      </c>
      <c r="BN8" s="37">
        <f t="shared" ca="1" si="118"/>
        <v>1.1029593434328862</v>
      </c>
      <c r="BO8" s="37">
        <f t="shared" ca="1" si="119"/>
        <v>0.41667352974131261</v>
      </c>
      <c r="BP8" s="37">
        <f t="shared" ca="1" si="120"/>
        <v>1.2589033319279459</v>
      </c>
      <c r="BQ8" s="37">
        <f t="shared" ca="1" si="121"/>
        <v>5.1801325536371756</v>
      </c>
      <c r="BR8" s="37">
        <f t="shared" ca="1" si="122"/>
        <v>0.49684750757466467</v>
      </c>
      <c r="BS8" s="37">
        <f t="shared" ca="1" si="123"/>
        <v>1.7402247418607759</v>
      </c>
      <c r="BT8" s="37">
        <f t="shared" ca="1" si="124"/>
        <v>1.4951226655423568</v>
      </c>
      <c r="BU8" s="37">
        <f t="shared" ca="1" si="125"/>
        <v>2.6044852539230621</v>
      </c>
      <c r="BV8" s="37">
        <f t="shared" ca="1" si="126"/>
        <v>3.6078493576246284</v>
      </c>
      <c r="BW8" s="37">
        <f t="shared" ca="1" si="127"/>
        <v>0.54469208237815081</v>
      </c>
      <c r="BX8" s="37">
        <f t="shared" ca="1" si="128"/>
        <v>1.6757860746319544</v>
      </c>
      <c r="BY8" s="37">
        <f t="shared" ca="1" si="129"/>
        <v>2.3357658966842481</v>
      </c>
      <c r="BZ8" s="37">
        <f t="shared" ca="1" si="130"/>
        <v>4.4047938483634992</v>
      </c>
      <c r="CA8" s="37">
        <f t="shared" ca="1" si="131"/>
        <v>2.3357658966842481</v>
      </c>
      <c r="CB8" s="37">
        <f t="shared" ca="1" si="132"/>
        <v>2.5714648386593786</v>
      </c>
      <c r="CC8" s="37">
        <f t="shared" ca="1" si="133"/>
        <v>5.4856017619978967</v>
      </c>
      <c r="CD8" s="37">
        <f t="shared" ca="1" si="134"/>
        <v>2.5714648386593786</v>
      </c>
      <c r="CE8" s="37">
        <f t="shared" ca="1" si="135"/>
        <v>1.0318879769901197</v>
      </c>
    </row>
    <row r="9" spans="1:83" x14ac:dyDescent="0.25">
      <c r="A9" t="str">
        <f>PLANTILLA!D10</f>
        <v>Eckardt Hägerling</v>
      </c>
      <c r="B9">
        <f>PLANTILLA!E10</f>
        <v>17</v>
      </c>
      <c r="C9" s="33">
        <f ca="1">PLANTILLA!F10</f>
        <v>100</v>
      </c>
      <c r="D9" s="220" t="str">
        <f>PLANTILLA!G10</f>
        <v>IMP</v>
      </c>
      <c r="E9" s="30">
        <f>PLANTILLA!M10</f>
        <v>43045</v>
      </c>
      <c r="F9" s="47">
        <f>PLANTILLA!Q10</f>
        <v>5</v>
      </c>
      <c r="G9" s="48">
        <f t="shared" si="1"/>
        <v>0.84515425472851657</v>
      </c>
      <c r="H9" s="48">
        <f t="shared" si="2"/>
        <v>0.92504826128926143</v>
      </c>
      <c r="I9" s="51">
        <f t="shared" ca="1" si="3"/>
        <v>0.53173122462207845</v>
      </c>
      <c r="J9" s="39">
        <f>PLANTILLA!I10</f>
        <v>1.3</v>
      </c>
      <c r="K9" s="46">
        <f>PLANTILLA!X10</f>
        <v>0</v>
      </c>
      <c r="L9" s="46">
        <f>PLANTILLA!Y10</f>
        <v>5</v>
      </c>
      <c r="M9" s="46">
        <f>PLANTILLA!Z10</f>
        <v>3</v>
      </c>
      <c r="N9" s="46">
        <f>PLANTILLA!AA10</f>
        <v>4</v>
      </c>
      <c r="O9" s="46">
        <f>PLANTILLA!AB10</f>
        <v>3</v>
      </c>
      <c r="P9" s="46">
        <f>PLANTILLA!AC10</f>
        <v>4.1966666666666672</v>
      </c>
      <c r="Q9" s="46">
        <f>PLANTILLA!AD10</f>
        <v>3</v>
      </c>
      <c r="R9" s="46">
        <f t="shared" si="70"/>
        <v>1.75</v>
      </c>
      <c r="S9" s="46">
        <f t="shared" si="71"/>
        <v>0.29983333333333334</v>
      </c>
      <c r="T9" s="46">
        <f t="shared" si="72"/>
        <v>0.28999999999999998</v>
      </c>
      <c r="U9" s="46">
        <f t="shared" ca="1" si="73"/>
        <v>3.1132572830471084</v>
      </c>
      <c r="V9" s="46">
        <f t="shared" ca="1" si="74"/>
        <v>3.4075592952601932</v>
      </c>
      <c r="W9" s="37">
        <f t="shared" ca="1" si="75"/>
        <v>1.9768314211802325</v>
      </c>
      <c r="X9" s="37">
        <f t="shared" ca="1" si="76"/>
        <v>3.0075995014246044</v>
      </c>
      <c r="Y9" s="37">
        <f t="shared" ca="1" si="77"/>
        <v>1.9768314211802325</v>
      </c>
      <c r="Z9" s="37">
        <f t="shared" ca="1" si="78"/>
        <v>2.908381760360601</v>
      </c>
      <c r="AA9" s="37">
        <f t="shared" ca="1" si="79"/>
        <v>5.6836556943645267</v>
      </c>
      <c r="AB9" s="37">
        <f t="shared" ca="1" si="80"/>
        <v>1.4541908801803005</v>
      </c>
      <c r="AC9" s="37">
        <f t="shared" ca="1" si="81"/>
        <v>1.3311498355611346</v>
      </c>
      <c r="AD9" s="37">
        <f t="shared" ca="1" si="82"/>
        <v>2.1305587314269521</v>
      </c>
      <c r="AE9" s="37">
        <f t="shared" ca="1" si="83"/>
        <v>4.1092830670255527</v>
      </c>
      <c r="AF9" s="37">
        <f t="shared" ca="1" si="84"/>
        <v>1.065279365713476</v>
      </c>
      <c r="AG9" s="37">
        <f t="shared" ca="1" si="85"/>
        <v>2.1533306163488946</v>
      </c>
      <c r="AH9" s="37">
        <f t="shared" ca="1" si="86"/>
        <v>5.2289632388153651</v>
      </c>
      <c r="AI9" s="37">
        <f t="shared" ca="1" si="87"/>
        <v>2.4959394091264415</v>
      </c>
      <c r="AJ9" s="37">
        <f t="shared" ca="1" si="88"/>
        <v>0.61517050095887615</v>
      </c>
      <c r="AK9" s="37">
        <f t="shared" ca="1" si="89"/>
        <v>2.7539895482863415</v>
      </c>
      <c r="AL9" s="37">
        <f t="shared" ca="1" si="90"/>
        <v>4.2854763935508533</v>
      </c>
      <c r="AM9" s="37">
        <f t="shared" ca="1" si="91"/>
        <v>4.2684181199553635</v>
      </c>
      <c r="AN9" s="37">
        <f t="shared" ca="1" si="92"/>
        <v>0.61517050095887615</v>
      </c>
      <c r="AO9" s="37">
        <f t="shared" ca="1" si="93"/>
        <v>0.70089283997698393</v>
      </c>
      <c r="AP9" s="37">
        <f t="shared" ca="1" si="94"/>
        <v>1.5345870374784223</v>
      </c>
      <c r="AQ9" s="37">
        <f t="shared" ca="1" si="95"/>
        <v>3.3760914824525288</v>
      </c>
      <c r="AR9" s="37">
        <f t="shared" ca="1" si="96"/>
        <v>0.76729351873921114</v>
      </c>
      <c r="AS9" s="37">
        <f t="shared" ca="1" si="97"/>
        <v>3.4773709754801136</v>
      </c>
      <c r="AT9" s="37">
        <f t="shared" ca="1" si="98"/>
        <v>0.47887524026738859</v>
      </c>
      <c r="AU9" s="37">
        <f t="shared" ca="1" si="99"/>
        <v>1.2863344517821398</v>
      </c>
      <c r="AV9" s="37">
        <f t="shared" ca="1" si="100"/>
        <v>0.2394376201336943</v>
      </c>
      <c r="AW9" s="37">
        <f t="shared" ca="1" si="101"/>
        <v>1.0742109262348956</v>
      </c>
      <c r="AX9" s="37">
        <f t="shared" ca="1" si="102"/>
        <v>2.2734622777458107</v>
      </c>
      <c r="AY9" s="37">
        <f t="shared" ca="1" si="103"/>
        <v>0.53710546311744778</v>
      </c>
      <c r="AZ9" s="37">
        <f t="shared" ca="1" si="104"/>
        <v>3.6836556943645276</v>
      </c>
      <c r="BA9" s="37">
        <f t="shared" ca="1" si="105"/>
        <v>0.9319648906742255</v>
      </c>
      <c r="BB9" s="37">
        <f t="shared" ca="1" si="106"/>
        <v>2.2809942875948543</v>
      </c>
      <c r="BC9" s="37">
        <f t="shared" ca="1" si="107"/>
        <v>0.46598244533711275</v>
      </c>
      <c r="BD9" s="37">
        <f t="shared" ca="1" si="108"/>
        <v>1.6539438070600772</v>
      </c>
      <c r="BE9" s="37">
        <f t="shared" ca="1" si="109"/>
        <v>1.9779121816388552</v>
      </c>
      <c r="BF9" s="37">
        <f t="shared" ca="1" si="110"/>
        <v>3.2453006667351487</v>
      </c>
      <c r="BG9" s="37">
        <f t="shared" ca="1" si="111"/>
        <v>3.8487699122900647</v>
      </c>
      <c r="BH9" s="37">
        <f t="shared" ca="1" si="112"/>
        <v>0.88776102234185106</v>
      </c>
      <c r="BI9" s="37">
        <f t="shared" ca="1" si="113"/>
        <v>2.7565730117667955</v>
      </c>
      <c r="BJ9" s="37">
        <f t="shared" ca="1" si="114"/>
        <v>1.5004851033122351</v>
      </c>
      <c r="BK9" s="37">
        <f t="shared" ca="1" si="115"/>
        <v>1.4034728195528849</v>
      </c>
      <c r="BL9" s="37">
        <f t="shared" ca="1" si="116"/>
        <v>3.8925150768745969</v>
      </c>
      <c r="BM9" s="37">
        <f t="shared" ca="1" si="117"/>
        <v>0.19155009610695542</v>
      </c>
      <c r="BN9" s="37">
        <f t="shared" ca="1" si="118"/>
        <v>1.0230580249856147</v>
      </c>
      <c r="BO9" s="37">
        <f t="shared" ca="1" si="119"/>
        <v>0.38648858721678786</v>
      </c>
      <c r="BP9" s="37">
        <f t="shared" ca="1" si="120"/>
        <v>1.1235149867811809</v>
      </c>
      <c r="BQ9" s="37">
        <f t="shared" ca="1" si="121"/>
        <v>5.7371812229527812</v>
      </c>
      <c r="BR9" s="37">
        <f t="shared" ca="1" si="122"/>
        <v>0.49729351873921124</v>
      </c>
      <c r="BS9" s="37">
        <f t="shared" ca="1" si="123"/>
        <v>1.6141582171995255</v>
      </c>
      <c r="BT9" s="37">
        <f t="shared" ca="1" si="124"/>
        <v>1.3868119894249444</v>
      </c>
      <c r="BU9" s="37">
        <f t="shared" ca="1" si="125"/>
        <v>2.3243867431440171</v>
      </c>
      <c r="BV9" s="37">
        <f t="shared" ca="1" si="126"/>
        <v>3.9988718464562516</v>
      </c>
      <c r="BW9" s="37">
        <f t="shared" ca="1" si="127"/>
        <v>0.54518104276595003</v>
      </c>
      <c r="BX9" s="37">
        <f t="shared" ca="1" si="128"/>
        <v>1.4955642119119983</v>
      </c>
      <c r="BY9" s="37">
        <f t="shared" ca="1" si="129"/>
        <v>2.2151612834305854</v>
      </c>
      <c r="BZ9" s="37">
        <f t="shared" ca="1" si="130"/>
        <v>4.8454529785211244</v>
      </c>
      <c r="CA9" s="37">
        <f t="shared" ca="1" si="131"/>
        <v>2.2151612834305854</v>
      </c>
      <c r="CB9" s="37">
        <f t="shared" ca="1" si="132"/>
        <v>2.9969774975891004</v>
      </c>
      <c r="CC9" s="37">
        <f t="shared" ca="1" si="133"/>
        <v>6.2395913122517044</v>
      </c>
      <c r="CD9" s="37">
        <f t="shared" ca="1" si="134"/>
        <v>2.9969774975891004</v>
      </c>
      <c r="CE9" s="37">
        <f t="shared" ca="1" si="135"/>
        <v>0.92091392359113189</v>
      </c>
    </row>
    <row r="10" spans="1:83" x14ac:dyDescent="0.25">
      <c r="A10" t="str">
        <f>PLANTILLA!D13</f>
        <v>Raul Riquelme</v>
      </c>
      <c r="B10">
        <f>PLANTILLA!E13</f>
        <v>17</v>
      </c>
      <c r="C10" s="33">
        <f ca="1">PLANTILLA!F13</f>
        <v>79</v>
      </c>
      <c r="D10" s="220" t="str">
        <f>PLANTILLA!G13</f>
        <v>RAP</v>
      </c>
      <c r="E10" s="30">
        <f>PLANTILLA!M13</f>
        <v>43097</v>
      </c>
      <c r="F10" s="47">
        <f>PLANTILLA!Q13</f>
        <v>5</v>
      </c>
      <c r="G10" s="48">
        <f t="shared" si="1"/>
        <v>0.84515425472851657</v>
      </c>
      <c r="H10" s="48">
        <f t="shared" si="2"/>
        <v>0.92504826128926143</v>
      </c>
      <c r="I10" s="51">
        <f t="shared" ca="1" si="3"/>
        <v>0.35773760003135047</v>
      </c>
      <c r="J10" s="39">
        <f>PLANTILLA!I13</f>
        <v>1.3</v>
      </c>
      <c r="K10" s="46">
        <f>PLANTILLA!X13</f>
        <v>0</v>
      </c>
      <c r="L10" s="46">
        <f>PLANTILLA!Y13</f>
        <v>6</v>
      </c>
      <c r="M10" s="46">
        <f>PLANTILLA!Z13</f>
        <v>3</v>
      </c>
      <c r="N10" s="46">
        <f>PLANTILLA!AA13</f>
        <v>3</v>
      </c>
      <c r="O10" s="46">
        <f>PLANTILLA!AB13</f>
        <v>3.33</v>
      </c>
      <c r="P10" s="46">
        <f>PLANTILLA!AC13</f>
        <v>5.9988235294117649</v>
      </c>
      <c r="Q10" s="46">
        <f>PLANTILLA!AD13</f>
        <v>4</v>
      </c>
      <c r="R10" s="46">
        <f t="shared" si="70"/>
        <v>1.9575</v>
      </c>
      <c r="S10" s="46">
        <f t="shared" si="71"/>
        <v>0.41994117647058821</v>
      </c>
      <c r="T10" s="46">
        <f t="shared" si="72"/>
        <v>0.36000000000000004</v>
      </c>
      <c r="U10" s="46">
        <f t="shared" ca="1" si="73"/>
        <v>3.8113600856571344</v>
      </c>
      <c r="V10" s="46">
        <f t="shared" ca="1" si="74"/>
        <v>4.1716550566463848</v>
      </c>
      <c r="W10" s="37">
        <f t="shared" ca="1" si="75"/>
        <v>2.1009349869125269</v>
      </c>
      <c r="X10" s="37">
        <f t="shared" ca="1" si="76"/>
        <v>3.2079737320779746</v>
      </c>
      <c r="Y10" s="37">
        <f t="shared" ca="1" si="77"/>
        <v>2.1009349869125269</v>
      </c>
      <c r="Z10" s="37">
        <f t="shared" ca="1" si="78"/>
        <v>3.3425801961176687</v>
      </c>
      <c r="AA10" s="37">
        <f t="shared" ca="1" si="79"/>
        <v>6.5096620697737988</v>
      </c>
      <c r="AB10" s="37">
        <f t="shared" ca="1" si="80"/>
        <v>1.6712900980588343</v>
      </c>
      <c r="AC10" s="37">
        <f t="shared" ca="1" si="81"/>
        <v>1.1410371122432079</v>
      </c>
      <c r="AD10" s="37">
        <f t="shared" ca="1" si="82"/>
        <v>2.448634329714106</v>
      </c>
      <c r="AE10" s="37">
        <f t="shared" ca="1" si="83"/>
        <v>4.706485676446456</v>
      </c>
      <c r="AF10" s="37">
        <f t="shared" ca="1" si="84"/>
        <v>1.224317164857053</v>
      </c>
      <c r="AG10" s="37">
        <f t="shared" ca="1" si="85"/>
        <v>1.845795328628719</v>
      </c>
      <c r="AH10" s="37">
        <f t="shared" ca="1" si="86"/>
        <v>5.9888891041918955</v>
      </c>
      <c r="AI10" s="37">
        <f t="shared" ca="1" si="87"/>
        <v>2.7911442197243721</v>
      </c>
      <c r="AJ10" s="37">
        <f t="shared" ca="1" si="88"/>
        <v>0.58611356565222461</v>
      </c>
      <c r="AK10" s="37">
        <f t="shared" ca="1" si="89"/>
        <v>2.063681297026994</v>
      </c>
      <c r="AL10" s="37">
        <f t="shared" ca="1" si="90"/>
        <v>4.908285200609444</v>
      </c>
      <c r="AM10" s="37">
        <f t="shared" ca="1" si="91"/>
        <v>4.7732611293837088</v>
      </c>
      <c r="AN10" s="37">
        <f t="shared" ca="1" si="92"/>
        <v>0.75311356565222443</v>
      </c>
      <c r="AO10" s="37">
        <f t="shared" ca="1" si="93"/>
        <v>0.71054267609485422</v>
      </c>
      <c r="AP10" s="37">
        <f t="shared" ca="1" si="94"/>
        <v>1.7576087588389258</v>
      </c>
      <c r="AQ10" s="37">
        <f t="shared" ca="1" si="95"/>
        <v>3.8667392694456364</v>
      </c>
      <c r="AR10" s="37">
        <f t="shared" ca="1" si="96"/>
        <v>0.87880437941946288</v>
      </c>
      <c r="AS10" s="37">
        <f t="shared" ca="1" si="97"/>
        <v>3.3131209938664665</v>
      </c>
      <c r="AT10" s="37">
        <f t="shared" ca="1" si="98"/>
        <v>0.49915606907059401</v>
      </c>
      <c r="AU10" s="37">
        <f t="shared" ca="1" si="99"/>
        <v>1.5867274570319583</v>
      </c>
      <c r="AV10" s="37">
        <f t="shared" ca="1" si="100"/>
        <v>0.24957803453529701</v>
      </c>
      <c r="AW10" s="37">
        <f t="shared" ca="1" si="101"/>
        <v>1.230326131187248</v>
      </c>
      <c r="AX10" s="37">
        <f t="shared" ca="1" si="102"/>
        <v>2.6038648279095198</v>
      </c>
      <c r="AY10" s="37">
        <f t="shared" ca="1" si="103"/>
        <v>0.61516306559362399</v>
      </c>
      <c r="AZ10" s="37">
        <f t="shared" ca="1" si="104"/>
        <v>3.5096620697737997</v>
      </c>
      <c r="BA10" s="37">
        <f t="shared" ca="1" si="105"/>
        <v>0.9714345036527714</v>
      </c>
      <c r="BB10" s="37">
        <f t="shared" ca="1" si="106"/>
        <v>2.676106741621834</v>
      </c>
      <c r="BC10" s="37">
        <f t="shared" ca="1" si="107"/>
        <v>0.4857172518263857</v>
      </c>
      <c r="BD10" s="37">
        <f t="shared" ca="1" si="108"/>
        <v>1.8943116623041754</v>
      </c>
      <c r="BE10" s="37">
        <f t="shared" ca="1" si="109"/>
        <v>2.265362400281282</v>
      </c>
      <c r="BF10" s="37">
        <f t="shared" ca="1" si="110"/>
        <v>3.0920122834707175</v>
      </c>
      <c r="BG10" s="37">
        <f t="shared" ca="1" si="111"/>
        <v>3.2240395800289079</v>
      </c>
      <c r="BH10" s="37">
        <f t="shared" ca="1" si="112"/>
        <v>0.92535855881548568</v>
      </c>
      <c r="BI10" s="37">
        <f t="shared" ca="1" si="113"/>
        <v>3.1571861038402922</v>
      </c>
      <c r="BJ10" s="37">
        <f t="shared" ca="1" si="114"/>
        <v>1.7185507864202829</v>
      </c>
      <c r="BK10" s="37">
        <f t="shared" ca="1" si="115"/>
        <v>1.3371812485838177</v>
      </c>
      <c r="BL10" s="37">
        <f t="shared" ca="1" si="116"/>
        <v>3.1337746489823011</v>
      </c>
      <c r="BM10" s="37">
        <f t="shared" ca="1" si="117"/>
        <v>0.19966242762823758</v>
      </c>
      <c r="BN10" s="37">
        <f t="shared" ca="1" si="118"/>
        <v>1.1717391725592838</v>
      </c>
      <c r="BO10" s="37">
        <f t="shared" ca="1" si="119"/>
        <v>0.44265702074461832</v>
      </c>
      <c r="BP10" s="37">
        <f t="shared" ca="1" si="120"/>
        <v>1.070446931281009</v>
      </c>
      <c r="BQ10" s="37">
        <f t="shared" ca="1" si="121"/>
        <v>4.6078054217291058</v>
      </c>
      <c r="BR10" s="37">
        <f t="shared" ca="1" si="122"/>
        <v>0.51835437941946305</v>
      </c>
      <c r="BS10" s="37">
        <f t="shared" ca="1" si="123"/>
        <v>1.8487440278157588</v>
      </c>
      <c r="BT10" s="37">
        <f t="shared" ca="1" si="124"/>
        <v>1.5883575450248069</v>
      </c>
      <c r="BU10" s="37">
        <f t="shared" ca="1" si="125"/>
        <v>2.2145967660272676</v>
      </c>
      <c r="BV10" s="37">
        <f t="shared" ca="1" si="126"/>
        <v>3.2048375524475503</v>
      </c>
      <c r="BW10" s="37">
        <f t="shared" ca="1" si="127"/>
        <v>0.56826998632652237</v>
      </c>
      <c r="BX10" s="37">
        <f t="shared" ca="1" si="128"/>
        <v>1.4249228003281629</v>
      </c>
      <c r="BY10" s="37">
        <f t="shared" ca="1" si="129"/>
        <v>2.2918845265874435</v>
      </c>
      <c r="BZ10" s="37">
        <f t="shared" ca="1" si="130"/>
        <v>5.8793836082123567</v>
      </c>
      <c r="CA10" s="37">
        <f t="shared" ca="1" si="131"/>
        <v>2.2918845265874435</v>
      </c>
      <c r="CB10" s="37">
        <f t="shared" ca="1" si="132"/>
        <v>3.3920465282926062</v>
      </c>
      <c r="CC10" s="37">
        <f t="shared" ca="1" si="133"/>
        <v>7.9253209029320955</v>
      </c>
      <c r="CD10" s="37">
        <f t="shared" ca="1" si="134"/>
        <v>3.3920465282926062</v>
      </c>
      <c r="CE10" s="37">
        <f t="shared" ca="1" si="135"/>
        <v>0.87741551744344992</v>
      </c>
    </row>
    <row r="11" spans="1:83" x14ac:dyDescent="0.25">
      <c r="A11" t="str">
        <f>PLANTILLA!D14</f>
        <v>Fernando Gazón</v>
      </c>
      <c r="B11">
        <f>PLANTILLA!E14</f>
        <v>18</v>
      </c>
      <c r="C11" s="33">
        <f ca="1">PLANTILLA!F14</f>
        <v>29</v>
      </c>
      <c r="D11" s="220" t="str">
        <f>PLANTILLA!G14</f>
        <v>IMP</v>
      </c>
      <c r="E11" s="30">
        <f>PLANTILLA!M14</f>
        <v>43045</v>
      </c>
      <c r="F11" s="47">
        <f>PLANTILLA!Q14</f>
        <v>6</v>
      </c>
      <c r="G11" s="48">
        <f t="shared" si="1"/>
        <v>0.92582009977255142</v>
      </c>
      <c r="H11" s="48">
        <f t="shared" si="2"/>
        <v>0.99928545900129484</v>
      </c>
      <c r="I11" s="51">
        <f t="shared" ca="1" si="3"/>
        <v>0.53173122462207845</v>
      </c>
      <c r="J11" s="39">
        <f>PLANTILLA!I14</f>
        <v>1.1000000000000001</v>
      </c>
      <c r="K11" s="46">
        <f>PLANTILLA!X14</f>
        <v>0</v>
      </c>
      <c r="L11" s="46">
        <f>PLANTILLA!Y14</f>
        <v>3</v>
      </c>
      <c r="M11" s="46">
        <f>PLANTILLA!Z14</f>
        <v>6</v>
      </c>
      <c r="N11" s="46">
        <f>PLANTILLA!AA14</f>
        <v>3</v>
      </c>
      <c r="O11" s="46">
        <f>PLANTILLA!AB14</f>
        <v>4.25</v>
      </c>
      <c r="P11" s="46">
        <f>PLANTILLA!AC14</f>
        <v>5.207261437908496</v>
      </c>
      <c r="Q11" s="46">
        <f>PLANTILLA!AD14</f>
        <v>3</v>
      </c>
      <c r="R11" s="46">
        <f t="shared" si="70"/>
        <v>1.8125</v>
      </c>
      <c r="S11" s="46">
        <f t="shared" si="71"/>
        <v>0.35036307189542482</v>
      </c>
      <c r="T11" s="46">
        <f t="shared" si="72"/>
        <v>0.21000000000000002</v>
      </c>
      <c r="U11" s="46">
        <f t="shared" ca="1" si="73"/>
        <v>3.3208439946201702</v>
      </c>
      <c r="V11" s="46">
        <f t="shared" ca="1" si="74"/>
        <v>3.5843584690491896</v>
      </c>
      <c r="W11" s="37">
        <f t="shared" ca="1" si="75"/>
        <v>1.3403824446192485</v>
      </c>
      <c r="X11" s="37">
        <f t="shared" ca="1" si="76"/>
        <v>2.0327156197061278</v>
      </c>
      <c r="Y11" s="37">
        <f t="shared" ca="1" si="77"/>
        <v>1.3403824446192485</v>
      </c>
      <c r="Z11" s="37">
        <f t="shared" ca="1" si="78"/>
        <v>1.8264669013623567</v>
      </c>
      <c r="AA11" s="37">
        <f t="shared" ca="1" si="79"/>
        <v>3.586921471499712</v>
      </c>
      <c r="AB11" s="37">
        <f t="shared" ca="1" si="80"/>
        <v>0.91323345068117834</v>
      </c>
      <c r="AC11" s="37">
        <f t="shared" ca="1" si="81"/>
        <v>2.0221270905193083</v>
      </c>
      <c r="AD11" s="37">
        <f t="shared" ca="1" si="82"/>
        <v>1.337993195184052</v>
      </c>
      <c r="AE11" s="37">
        <f t="shared" ca="1" si="83"/>
        <v>2.5933442238942916</v>
      </c>
      <c r="AF11" s="37">
        <f t="shared" ca="1" si="84"/>
        <v>0.66899659759202601</v>
      </c>
      <c r="AG11" s="37">
        <f t="shared" ca="1" si="85"/>
        <v>3.2710879405459403</v>
      </c>
      <c r="AH11" s="37">
        <f t="shared" ca="1" si="86"/>
        <v>3.2999677537797352</v>
      </c>
      <c r="AI11" s="37">
        <f t="shared" ca="1" si="87"/>
        <v>1.6278914408604079</v>
      </c>
      <c r="AJ11" s="37">
        <f t="shared" ca="1" si="88"/>
        <v>1.1000158857404518</v>
      </c>
      <c r="AK11" s="37">
        <f t="shared" ca="1" si="89"/>
        <v>2.1091098252418305</v>
      </c>
      <c r="AL11" s="37">
        <f t="shared" ca="1" si="90"/>
        <v>2.7045387895107829</v>
      </c>
      <c r="AM11" s="37">
        <f t="shared" ca="1" si="91"/>
        <v>2.7839302901670746</v>
      </c>
      <c r="AN11" s="37">
        <f t="shared" ca="1" si="92"/>
        <v>0.59901588574045195</v>
      </c>
      <c r="AO11" s="37">
        <f t="shared" ca="1" si="93"/>
        <v>0.69103338379191703</v>
      </c>
      <c r="AP11" s="37">
        <f t="shared" ca="1" si="94"/>
        <v>0.9684687973049223</v>
      </c>
      <c r="AQ11" s="37">
        <f t="shared" ca="1" si="95"/>
        <v>2.1306313540708288</v>
      </c>
      <c r="AR11" s="37">
        <f t="shared" ca="1" si="96"/>
        <v>0.48423439865246115</v>
      </c>
      <c r="AS11" s="37">
        <f t="shared" ca="1" si="97"/>
        <v>6.2180538690957272</v>
      </c>
      <c r="AT11" s="37">
        <f t="shared" ca="1" si="98"/>
        <v>0.62879979129496255</v>
      </c>
      <c r="AU11" s="37">
        <f t="shared" ca="1" si="99"/>
        <v>1.5828242199075853</v>
      </c>
      <c r="AV11" s="37">
        <f t="shared" ca="1" si="100"/>
        <v>0.31439989564748128</v>
      </c>
      <c r="AW11" s="37">
        <f t="shared" ca="1" si="101"/>
        <v>0.67792815811344553</v>
      </c>
      <c r="AX11" s="37">
        <f t="shared" ca="1" si="102"/>
        <v>1.4347685885998849</v>
      </c>
      <c r="AY11" s="37">
        <f t="shared" ca="1" si="103"/>
        <v>0.33896407905672277</v>
      </c>
      <c r="AZ11" s="37">
        <f t="shared" ca="1" si="104"/>
        <v>6.5869214714997115</v>
      </c>
      <c r="BA11" s="37">
        <f t="shared" ca="1" si="105"/>
        <v>1.2237411322894269</v>
      </c>
      <c r="BB11" s="37">
        <f t="shared" ca="1" si="106"/>
        <v>2.8661686327571254</v>
      </c>
      <c r="BC11" s="37">
        <f t="shared" ca="1" si="107"/>
        <v>0.61187056614471347</v>
      </c>
      <c r="BD11" s="37">
        <f t="shared" ca="1" si="108"/>
        <v>1.0437941482064161</v>
      </c>
      <c r="BE11" s="37">
        <f t="shared" ca="1" si="109"/>
        <v>1.2482486720818997</v>
      </c>
      <c r="BF11" s="37">
        <f t="shared" ca="1" si="110"/>
        <v>5.8030778163912462</v>
      </c>
      <c r="BG11" s="37">
        <f t="shared" ca="1" si="111"/>
        <v>3.5825231881632433</v>
      </c>
      <c r="BH11" s="37">
        <f t="shared" ca="1" si="112"/>
        <v>1.1656980746314305</v>
      </c>
      <c r="BI11" s="37">
        <f t="shared" ca="1" si="113"/>
        <v>1.7396569136773603</v>
      </c>
      <c r="BJ11" s="37">
        <f t="shared" ca="1" si="114"/>
        <v>0.94694726847592403</v>
      </c>
      <c r="BK11" s="37">
        <f t="shared" ca="1" si="115"/>
        <v>2.50961708064139</v>
      </c>
      <c r="BL11" s="37">
        <f t="shared" ca="1" si="116"/>
        <v>3.3862193660907485</v>
      </c>
      <c r="BM11" s="37">
        <f t="shared" ca="1" si="117"/>
        <v>0.251519916517985</v>
      </c>
      <c r="BN11" s="37">
        <f t="shared" ca="1" si="118"/>
        <v>0.64564586486994813</v>
      </c>
      <c r="BO11" s="37">
        <f t="shared" ca="1" si="119"/>
        <v>0.24391066006198042</v>
      </c>
      <c r="BP11" s="37">
        <f t="shared" ca="1" si="120"/>
        <v>2.009011048807412</v>
      </c>
      <c r="BQ11" s="37">
        <f t="shared" ca="1" si="121"/>
        <v>4.9702810123486296</v>
      </c>
      <c r="BR11" s="37">
        <f t="shared" ca="1" si="122"/>
        <v>0.65298439865246105</v>
      </c>
      <c r="BS11" s="37">
        <f t="shared" ca="1" si="123"/>
        <v>1.018685697905918</v>
      </c>
      <c r="BT11" s="37">
        <f t="shared" ca="1" si="124"/>
        <v>0.87520883904592972</v>
      </c>
      <c r="BU11" s="37">
        <f t="shared" ca="1" si="125"/>
        <v>4.1563474485163177</v>
      </c>
      <c r="BV11" s="37">
        <f t="shared" ca="1" si="126"/>
        <v>3.4515447169922422</v>
      </c>
      <c r="BW11" s="37">
        <f t="shared" ca="1" si="127"/>
        <v>0.71586437778195722</v>
      </c>
      <c r="BX11" s="37">
        <f t="shared" ca="1" si="128"/>
        <v>2.6742901174288831</v>
      </c>
      <c r="BY11" s="37">
        <f t="shared" ca="1" si="129"/>
        <v>2.4616082892657287</v>
      </c>
      <c r="BZ11" s="37">
        <f t="shared" ca="1" si="130"/>
        <v>6.0044569952093276</v>
      </c>
      <c r="CA11" s="37">
        <f t="shared" ca="1" si="131"/>
        <v>2.4616082892657287</v>
      </c>
      <c r="CB11" s="37">
        <f t="shared" ca="1" si="132"/>
        <v>3.1219711747835355</v>
      </c>
      <c r="CC11" s="37">
        <f t="shared" ca="1" si="133"/>
        <v>7.5790069323916009</v>
      </c>
      <c r="CD11" s="37">
        <f t="shared" ca="1" si="134"/>
        <v>3.1219711747835355</v>
      </c>
      <c r="CE11" s="37">
        <f t="shared" ca="1" si="135"/>
        <v>1.6467303678749279</v>
      </c>
    </row>
    <row r="12" spans="1:83" x14ac:dyDescent="0.25">
      <c r="A12" t="str">
        <f>PLANTILLA!D15</f>
        <v>Roberto Abenoza</v>
      </c>
      <c r="B12">
        <f>PLANTILLA!E15</f>
        <v>18</v>
      </c>
      <c r="C12" s="33">
        <f ca="1">PLANTILLA!F15</f>
        <v>17</v>
      </c>
      <c r="D12" s="220" t="str">
        <f>PLANTILLA!G15</f>
        <v>CAB</v>
      </c>
      <c r="E12" s="30">
        <f>PLANTILLA!M15</f>
        <v>43046</v>
      </c>
      <c r="F12" s="47">
        <f>PLANTILLA!Q15</f>
        <v>7</v>
      </c>
      <c r="G12" s="48">
        <f t="shared" si="1"/>
        <v>1</v>
      </c>
      <c r="H12" s="48">
        <f t="shared" si="2"/>
        <v>1</v>
      </c>
      <c r="I12" s="51">
        <f t="shared" ca="1" si="3"/>
        <v>0.52892523551245385</v>
      </c>
      <c r="J12" s="39">
        <f>PLANTILLA!I15</f>
        <v>0.5</v>
      </c>
      <c r="K12" s="46">
        <f>PLANTILLA!X15</f>
        <v>0</v>
      </c>
      <c r="L12" s="46">
        <f>PLANTILLA!Y15</f>
        <v>2</v>
      </c>
      <c r="M12" s="46">
        <f>PLANTILLA!Z15</f>
        <v>5</v>
      </c>
      <c r="N12" s="46">
        <f>PLANTILLA!AA15</f>
        <v>3</v>
      </c>
      <c r="O12" s="46">
        <f>PLANTILLA!AB15</f>
        <v>3</v>
      </c>
      <c r="P12" s="46">
        <f>PLANTILLA!AC15</f>
        <v>5.3499999999999988</v>
      </c>
      <c r="Q12" s="46">
        <f>PLANTILLA!AD15</f>
        <v>5</v>
      </c>
      <c r="R12" s="46">
        <f t="shared" si="70"/>
        <v>1.375</v>
      </c>
      <c r="S12" s="46">
        <f t="shared" si="71"/>
        <v>0.41749999999999987</v>
      </c>
      <c r="T12" s="46">
        <f t="shared" si="72"/>
        <v>0.22999999999999998</v>
      </c>
      <c r="U12" s="46">
        <f t="shared" ca="1" si="73"/>
        <v>5.1275519079604788</v>
      </c>
      <c r="V12" s="46">
        <f t="shared" ca="1" si="74"/>
        <v>5.1275519079604788</v>
      </c>
      <c r="W12" s="37">
        <f t="shared" ca="1" si="75"/>
        <v>0.66335281564949822</v>
      </c>
      <c r="X12" s="37">
        <f t="shared" ca="1" si="76"/>
        <v>1.0146695131769783</v>
      </c>
      <c r="Y12" s="37">
        <f t="shared" ca="1" si="77"/>
        <v>0.66335281564949822</v>
      </c>
      <c r="Z12" s="37">
        <f t="shared" ca="1" si="78"/>
        <v>1.073560885985841</v>
      </c>
      <c r="AA12" s="37">
        <f t="shared" ca="1" si="79"/>
        <v>2.1275519079604792</v>
      </c>
      <c r="AB12" s="37">
        <f t="shared" ca="1" si="80"/>
        <v>0.53678044299292049</v>
      </c>
      <c r="AC12" s="37">
        <f t="shared" ca="1" si="81"/>
        <v>1.6723990185529845</v>
      </c>
      <c r="AD12" s="37">
        <f t="shared" ca="1" si="82"/>
        <v>0.78644576531520904</v>
      </c>
      <c r="AE12" s="37">
        <f t="shared" ca="1" si="83"/>
        <v>1.5382200294554265</v>
      </c>
      <c r="AF12" s="37">
        <f t="shared" ca="1" si="84"/>
        <v>0.39322288265760452</v>
      </c>
      <c r="AG12" s="37">
        <f t="shared" ca="1" si="85"/>
        <v>2.7053513535415927</v>
      </c>
      <c r="AH12" s="37">
        <f t="shared" ca="1" si="86"/>
        <v>1.9573477553236409</v>
      </c>
      <c r="AI12" s="37">
        <f t="shared" ca="1" si="87"/>
        <v>1.0229583151742254</v>
      </c>
      <c r="AJ12" s="37">
        <f t="shared" ca="1" si="88"/>
        <v>0.85630116862939998</v>
      </c>
      <c r="AK12" s="37">
        <f t="shared" ca="1" si="89"/>
        <v>1.8390005218807617</v>
      </c>
      <c r="AL12" s="37">
        <f t="shared" ca="1" si="90"/>
        <v>1.6041741386022013</v>
      </c>
      <c r="AM12" s="37">
        <f t="shared" ca="1" si="91"/>
        <v>1.7494069737762115</v>
      </c>
      <c r="AN12" s="37">
        <f t="shared" ca="1" si="92"/>
        <v>0.85630116862939998</v>
      </c>
      <c r="AO12" s="37">
        <f t="shared" ca="1" si="93"/>
        <v>0.43273494949261793</v>
      </c>
      <c r="AP12" s="37">
        <f t="shared" ca="1" si="94"/>
        <v>0.57443901514932938</v>
      </c>
      <c r="AQ12" s="37">
        <f t="shared" ca="1" si="95"/>
        <v>1.2637658333285247</v>
      </c>
      <c r="AR12" s="37">
        <f t="shared" ca="1" si="96"/>
        <v>0.28721950757466469</v>
      </c>
      <c r="AS12" s="37">
        <f t="shared" ca="1" si="97"/>
        <v>4.8404090011146916</v>
      </c>
      <c r="AT12" s="37">
        <f t="shared" ca="1" si="98"/>
        <v>0.4065817480348623</v>
      </c>
      <c r="AU12" s="37">
        <f t="shared" ca="1" si="99"/>
        <v>1.32292270903242</v>
      </c>
      <c r="AV12" s="37">
        <f t="shared" ca="1" si="100"/>
        <v>0.20329087401743115</v>
      </c>
      <c r="AW12" s="37">
        <f t="shared" ca="1" si="101"/>
        <v>0.40210731060453059</v>
      </c>
      <c r="AX12" s="37">
        <f t="shared" ca="1" si="102"/>
        <v>0.85102076318419173</v>
      </c>
      <c r="AY12" s="37">
        <f t="shared" ca="1" si="103"/>
        <v>0.20105365530226529</v>
      </c>
      <c r="AZ12" s="37">
        <f t="shared" ca="1" si="104"/>
        <v>5.1275519079604788</v>
      </c>
      <c r="BA12" s="37">
        <f t="shared" ca="1" si="105"/>
        <v>0.79127063271400122</v>
      </c>
      <c r="BB12" s="37">
        <f t="shared" ca="1" si="106"/>
        <v>2.216781101286224</v>
      </c>
      <c r="BC12" s="37">
        <f t="shared" ca="1" si="107"/>
        <v>0.39563531635700061</v>
      </c>
      <c r="BD12" s="37">
        <f t="shared" ca="1" si="108"/>
        <v>0.61911760521649939</v>
      </c>
      <c r="BE12" s="37">
        <f t="shared" ca="1" si="109"/>
        <v>0.7403880639702467</v>
      </c>
      <c r="BF12" s="37">
        <f t="shared" ca="1" si="110"/>
        <v>4.517373230913182</v>
      </c>
      <c r="BG12" s="37">
        <f t="shared" ca="1" si="111"/>
        <v>2.7803936461768659</v>
      </c>
      <c r="BH12" s="37">
        <f t="shared" ca="1" si="112"/>
        <v>0.75374000981847544</v>
      </c>
      <c r="BI12" s="37">
        <f t="shared" ca="1" si="113"/>
        <v>1.0318626753608324</v>
      </c>
      <c r="BJ12" s="37">
        <f t="shared" ca="1" si="114"/>
        <v>0.56167370370156655</v>
      </c>
      <c r="BK12" s="37">
        <f t="shared" ca="1" si="115"/>
        <v>1.9535972769329424</v>
      </c>
      <c r="BL12" s="37">
        <f t="shared" ca="1" si="116"/>
        <v>2.7334803675574588</v>
      </c>
      <c r="BM12" s="37">
        <f t="shared" ca="1" si="117"/>
        <v>0.16263269921394491</v>
      </c>
      <c r="BN12" s="37">
        <f t="shared" ca="1" si="118"/>
        <v>0.38295934343288623</v>
      </c>
      <c r="BO12" s="37">
        <f t="shared" ca="1" si="119"/>
        <v>0.14467352974131259</v>
      </c>
      <c r="BP12" s="37">
        <f t="shared" ca="1" si="120"/>
        <v>1.5639033319279461</v>
      </c>
      <c r="BQ12" s="37">
        <f t="shared" ca="1" si="121"/>
        <v>4.0220317536371759</v>
      </c>
      <c r="BR12" s="37">
        <f t="shared" ca="1" si="122"/>
        <v>0.4222195075746647</v>
      </c>
      <c r="BS12" s="37">
        <f t="shared" ca="1" si="123"/>
        <v>0.60422474186077602</v>
      </c>
      <c r="BT12" s="37">
        <f t="shared" ca="1" si="124"/>
        <v>0.51912266554235686</v>
      </c>
      <c r="BU12" s="37">
        <f t="shared" ca="1" si="125"/>
        <v>3.2354852539230623</v>
      </c>
      <c r="BV12" s="37">
        <f t="shared" ca="1" si="126"/>
        <v>2.7991589576246287</v>
      </c>
      <c r="BW12" s="37">
        <f t="shared" ca="1" si="127"/>
        <v>0.46287768237815091</v>
      </c>
      <c r="BX12" s="37">
        <f t="shared" ca="1" si="128"/>
        <v>2.0817860746319545</v>
      </c>
      <c r="BY12" s="37">
        <f t="shared" ca="1" si="129"/>
        <v>1.9279045440474096</v>
      </c>
      <c r="BZ12" s="37">
        <f t="shared" ca="1" si="130"/>
        <v>4.8916734483634983</v>
      </c>
      <c r="CA12" s="37">
        <f t="shared" ca="1" si="131"/>
        <v>1.9279045440474096</v>
      </c>
      <c r="CB12" s="37">
        <f t="shared" ca="1" si="132"/>
        <v>2.893164838659378</v>
      </c>
      <c r="CC12" s="37">
        <f t="shared" ca="1" si="133"/>
        <v>6.631618561997894</v>
      </c>
      <c r="CD12" s="37">
        <f t="shared" ca="1" si="134"/>
        <v>2.893164838659378</v>
      </c>
      <c r="CE12" s="37">
        <f t="shared" ca="1" si="135"/>
        <v>1.2818879769901197</v>
      </c>
    </row>
    <row r="13" spans="1:83" x14ac:dyDescent="0.25">
      <c r="A13" t="str">
        <f>PLANTILLA!D16</f>
        <v>Julio Calle</v>
      </c>
      <c r="B13">
        <f>PLANTILLA!E16</f>
        <v>17</v>
      </c>
      <c r="C13" s="33">
        <f ca="1">PLANTILLA!F16</f>
        <v>99</v>
      </c>
      <c r="D13" s="220" t="str">
        <f>PLANTILLA!G16</f>
        <v>POT</v>
      </c>
      <c r="E13" s="30">
        <f>PLANTILLA!M16</f>
        <v>43046</v>
      </c>
      <c r="F13" s="47">
        <f>PLANTILLA!Q16</f>
        <v>6</v>
      </c>
      <c r="G13" s="48">
        <f t="shared" si="1"/>
        <v>0.92582009977255142</v>
      </c>
      <c r="H13" s="48">
        <f t="shared" si="2"/>
        <v>0.99928545900129484</v>
      </c>
      <c r="I13" s="51">
        <f t="shared" ca="1" si="3"/>
        <v>0.52892523551245385</v>
      </c>
      <c r="J13" s="39">
        <f>PLANTILLA!I16</f>
        <v>0.5</v>
      </c>
      <c r="K13" s="46">
        <f>PLANTILLA!X16</f>
        <v>0</v>
      </c>
      <c r="L13" s="46">
        <f>PLANTILLA!Y16</f>
        <v>3</v>
      </c>
      <c r="M13" s="46">
        <f>PLANTILLA!Z16</f>
        <v>4</v>
      </c>
      <c r="N13" s="46">
        <f>PLANTILLA!AA16</f>
        <v>4</v>
      </c>
      <c r="O13" s="46">
        <f>PLANTILLA!AB16</f>
        <v>3.0151111111111111</v>
      </c>
      <c r="P13" s="46">
        <f>PLANTILLA!AC16</f>
        <v>4.1764705882352935</v>
      </c>
      <c r="Q13" s="46">
        <f>PLANTILLA!AD16</f>
        <v>1.3</v>
      </c>
      <c r="R13" s="46">
        <f t="shared" si="70"/>
        <v>1.5037777777777777</v>
      </c>
      <c r="S13" s="46">
        <f t="shared" si="71"/>
        <v>0.24782352941176469</v>
      </c>
      <c r="T13" s="46">
        <f t="shared" si="72"/>
        <v>0.15900000000000003</v>
      </c>
      <c r="U13" s="46">
        <f t="shared" ca="1" si="73"/>
        <v>1.3216562498584667</v>
      </c>
      <c r="V13" s="46">
        <f t="shared" ca="1" si="74"/>
        <v>1.4265318635944615</v>
      </c>
      <c r="W13" s="37">
        <f t="shared" ca="1" si="75"/>
        <v>0.93935281564949824</v>
      </c>
      <c r="X13" s="37">
        <f t="shared" ca="1" si="76"/>
        <v>1.4396695131769783</v>
      </c>
      <c r="Y13" s="37">
        <f t="shared" ca="1" si="77"/>
        <v>0.93935281564949824</v>
      </c>
      <c r="Z13" s="37">
        <f t="shared" ca="1" si="78"/>
        <v>1.589560885985841</v>
      </c>
      <c r="AA13" s="37">
        <f t="shared" ca="1" si="79"/>
        <v>3.1275519079604792</v>
      </c>
      <c r="AB13" s="37">
        <f t="shared" ca="1" si="80"/>
        <v>0.7947804429929205</v>
      </c>
      <c r="AC13" s="37">
        <f t="shared" ca="1" si="81"/>
        <v>1.4343990185529845</v>
      </c>
      <c r="AD13" s="37">
        <f t="shared" ca="1" si="82"/>
        <v>1.1644457653152089</v>
      </c>
      <c r="AE13" s="37">
        <f t="shared" ca="1" si="83"/>
        <v>2.2612200294554263</v>
      </c>
      <c r="AF13" s="37">
        <f t="shared" ca="1" si="84"/>
        <v>0.58222288265760447</v>
      </c>
      <c r="AG13" s="37">
        <f t="shared" ca="1" si="85"/>
        <v>2.3203513535415929</v>
      </c>
      <c r="AH13" s="37">
        <f t="shared" ca="1" si="86"/>
        <v>2.8773477553236408</v>
      </c>
      <c r="AI13" s="37">
        <f t="shared" ca="1" si="87"/>
        <v>1.4369583151742253</v>
      </c>
      <c r="AJ13" s="37">
        <f t="shared" ca="1" si="88"/>
        <v>0.68930116862939994</v>
      </c>
      <c r="AK13" s="37">
        <f t="shared" ca="1" si="89"/>
        <v>2.4270005218807613</v>
      </c>
      <c r="AL13" s="37">
        <f t="shared" ca="1" si="90"/>
        <v>2.3581741386022013</v>
      </c>
      <c r="AM13" s="37">
        <f t="shared" ca="1" si="91"/>
        <v>2.4574069737762114</v>
      </c>
      <c r="AN13" s="37">
        <f t="shared" ca="1" si="92"/>
        <v>0.2384011686294</v>
      </c>
      <c r="AO13" s="37">
        <f t="shared" ca="1" si="93"/>
        <v>0.46982294949261794</v>
      </c>
      <c r="AP13" s="37">
        <f t="shared" ca="1" si="94"/>
        <v>0.8444390151493294</v>
      </c>
      <c r="AQ13" s="37">
        <f t="shared" ca="1" si="95"/>
        <v>1.8577658333285245</v>
      </c>
      <c r="AR13" s="37">
        <f t="shared" ca="1" si="96"/>
        <v>0.4222195075746647</v>
      </c>
      <c r="AS13" s="37">
        <f t="shared" ca="1" si="97"/>
        <v>3.8964090011146917</v>
      </c>
      <c r="AT13" s="37">
        <f t="shared" ca="1" si="98"/>
        <v>0.40854619247930668</v>
      </c>
      <c r="AU13" s="37">
        <f t="shared" ca="1" si="99"/>
        <v>1.1217154541304595</v>
      </c>
      <c r="AV13" s="37">
        <f t="shared" ca="1" si="100"/>
        <v>0.20427309623965334</v>
      </c>
      <c r="AW13" s="37">
        <f t="shared" ca="1" si="101"/>
        <v>0.59110731060453059</v>
      </c>
      <c r="AX13" s="37">
        <f t="shared" ca="1" si="102"/>
        <v>1.2510207631841919</v>
      </c>
      <c r="AY13" s="37">
        <f t="shared" ca="1" si="103"/>
        <v>0.29555365530226529</v>
      </c>
      <c r="AZ13" s="37">
        <f t="shared" ca="1" si="104"/>
        <v>4.1275519079604788</v>
      </c>
      <c r="BA13" s="37">
        <f t="shared" ca="1" si="105"/>
        <v>0.79509374382511222</v>
      </c>
      <c r="BB13" s="37">
        <f t="shared" ca="1" si="106"/>
        <v>1.9754928137045242</v>
      </c>
      <c r="BC13" s="37">
        <f t="shared" ca="1" si="107"/>
        <v>0.39754687191255611</v>
      </c>
      <c r="BD13" s="37">
        <f t="shared" ca="1" si="108"/>
        <v>0.91011760521649943</v>
      </c>
      <c r="BE13" s="37">
        <f t="shared" ca="1" si="109"/>
        <v>1.0883880639702468</v>
      </c>
      <c r="BF13" s="37">
        <f t="shared" ca="1" si="110"/>
        <v>3.6363732309131818</v>
      </c>
      <c r="BG13" s="37">
        <f t="shared" ca="1" si="111"/>
        <v>3.3591536461768658</v>
      </c>
      <c r="BH13" s="37">
        <f t="shared" ca="1" si="112"/>
        <v>0.75738178759625308</v>
      </c>
      <c r="BI13" s="37">
        <f t="shared" ca="1" si="113"/>
        <v>1.5168626753608323</v>
      </c>
      <c r="BJ13" s="37">
        <f t="shared" ca="1" si="114"/>
        <v>0.82567370370156656</v>
      </c>
      <c r="BK13" s="37">
        <f t="shared" ca="1" si="115"/>
        <v>1.5725972769329424</v>
      </c>
      <c r="BL13" s="37">
        <f t="shared" ca="1" si="116"/>
        <v>3.4095177008907922</v>
      </c>
      <c r="BM13" s="37">
        <f t="shared" ca="1" si="117"/>
        <v>0.16341847699172266</v>
      </c>
      <c r="BN13" s="37">
        <f t="shared" ca="1" si="118"/>
        <v>0.56295934343288623</v>
      </c>
      <c r="BO13" s="37">
        <f t="shared" ca="1" si="119"/>
        <v>0.21267352974131259</v>
      </c>
      <c r="BP13" s="37">
        <f t="shared" ca="1" si="120"/>
        <v>1.2589033319279459</v>
      </c>
      <c r="BQ13" s="37">
        <f t="shared" ca="1" si="121"/>
        <v>5.0263535314149532</v>
      </c>
      <c r="BR13" s="37">
        <f t="shared" ca="1" si="122"/>
        <v>0.42425950757466468</v>
      </c>
      <c r="BS13" s="37">
        <f t="shared" ca="1" si="123"/>
        <v>0.88822474186077605</v>
      </c>
      <c r="BT13" s="37">
        <f t="shared" ca="1" si="124"/>
        <v>0.76312266554235686</v>
      </c>
      <c r="BU13" s="37">
        <f t="shared" ca="1" si="125"/>
        <v>2.6044852539230621</v>
      </c>
      <c r="BV13" s="37">
        <f t="shared" ca="1" si="126"/>
        <v>3.5040754020690725</v>
      </c>
      <c r="BW13" s="37">
        <f t="shared" ca="1" si="127"/>
        <v>0.46511412682259529</v>
      </c>
      <c r="BX13" s="37">
        <f t="shared" ca="1" si="128"/>
        <v>1.6757860746319544</v>
      </c>
      <c r="BY13" s="37">
        <f t="shared" ca="1" si="129"/>
        <v>1.9266440865310694</v>
      </c>
      <c r="BZ13" s="37">
        <f t="shared" ca="1" si="130"/>
        <v>4.2157111346380081</v>
      </c>
      <c r="CA13" s="37">
        <f t="shared" ca="1" si="131"/>
        <v>1.9266440865310694</v>
      </c>
      <c r="CB13" s="37">
        <f t="shared" ca="1" si="132"/>
        <v>2.642406015129966</v>
      </c>
      <c r="CC13" s="37">
        <f t="shared" ca="1" si="133"/>
        <v>5.4636651502331892</v>
      </c>
      <c r="CD13" s="37">
        <f t="shared" ca="1" si="134"/>
        <v>2.642406015129966</v>
      </c>
      <c r="CE13" s="37">
        <f t="shared" ca="1" si="135"/>
        <v>1.0318879769901197</v>
      </c>
    </row>
    <row r="14" spans="1:83" x14ac:dyDescent="0.25">
      <c r="A14" t="str">
        <f>PLANTILLA!D18</f>
        <v>Enrique Cubas</v>
      </c>
      <c r="B14">
        <f>PLANTILLA!E18</f>
        <v>17</v>
      </c>
      <c r="C14" s="33">
        <f ca="1">PLANTILLA!F18</f>
        <v>100</v>
      </c>
      <c r="D14" s="220" t="str">
        <f>PLANTILLA!G18</f>
        <v>RAP</v>
      </c>
      <c r="E14" s="30">
        <f>PLANTILLA!M18</f>
        <v>43046</v>
      </c>
      <c r="F14" s="47">
        <f>PLANTILLA!Q18</f>
        <v>6</v>
      </c>
      <c r="G14" s="48">
        <f t="shared" si="1"/>
        <v>0.92582009977255142</v>
      </c>
      <c r="H14" s="48">
        <f t="shared" si="2"/>
        <v>0.99928545900129484</v>
      </c>
      <c r="I14" s="51">
        <f t="shared" ca="1" si="3"/>
        <v>0.52892523551245385</v>
      </c>
      <c r="J14" s="39">
        <f>PLANTILLA!I18</f>
        <v>1.5</v>
      </c>
      <c r="K14" s="46">
        <f>PLANTILLA!X18</f>
        <v>0</v>
      </c>
      <c r="L14" s="46">
        <f>PLANTILLA!Y18</f>
        <v>2</v>
      </c>
      <c r="M14" s="46">
        <f>PLANTILLA!Z18</f>
        <v>5.7</v>
      </c>
      <c r="N14" s="46">
        <f>PLANTILLA!AA18</f>
        <v>5.5</v>
      </c>
      <c r="O14" s="46">
        <f>PLANTILLA!AB18</f>
        <v>5.5</v>
      </c>
      <c r="P14" s="46">
        <f>PLANTILLA!AC18</f>
        <v>5.5</v>
      </c>
      <c r="Q14" s="46">
        <f>PLANTILLA!AD18</f>
        <v>5</v>
      </c>
      <c r="R14" s="46">
        <f t="shared" si="70"/>
        <v>2</v>
      </c>
      <c r="S14" s="46">
        <f t="shared" si="71"/>
        <v>0.42499999999999999</v>
      </c>
      <c r="T14" s="46">
        <f t="shared" si="72"/>
        <v>0.22999999999999998</v>
      </c>
      <c r="U14" s="46">
        <f t="shared" ca="1" si="73"/>
        <v>5.336161882547791</v>
      </c>
      <c r="V14" s="46">
        <f t="shared" ca="1" si="74"/>
        <v>5.759595171261668</v>
      </c>
      <c r="W14" s="37">
        <f t="shared" ca="1" si="75"/>
        <v>1.2187219561431852</v>
      </c>
      <c r="X14" s="37">
        <f t="shared" ca="1" si="76"/>
        <v>1.8359542329677572</v>
      </c>
      <c r="Y14" s="37">
        <f t="shared" ca="1" si="77"/>
        <v>1.2187219561431852</v>
      </c>
      <c r="Z14" s="37">
        <f t="shared" ca="1" si="78"/>
        <v>1.4018203092329686</v>
      </c>
      <c r="AA14" s="37">
        <f t="shared" ca="1" si="79"/>
        <v>2.7637135809200291</v>
      </c>
      <c r="AB14" s="37">
        <f t="shared" ca="1" si="80"/>
        <v>0.70091015461648432</v>
      </c>
      <c r="AC14" s="37">
        <f t="shared" ca="1" si="81"/>
        <v>1.9904054967173572</v>
      </c>
      <c r="AD14" s="37">
        <f t="shared" ca="1" si="82"/>
        <v>1.0269148776939188</v>
      </c>
      <c r="AE14" s="37">
        <f t="shared" ca="1" si="83"/>
        <v>1.9981649190051809</v>
      </c>
      <c r="AF14" s="37">
        <f t="shared" ca="1" si="84"/>
        <v>0.51345743884695938</v>
      </c>
      <c r="AG14" s="37">
        <f t="shared" ca="1" si="85"/>
        <v>3.2197735976310193</v>
      </c>
      <c r="AH14" s="37">
        <f t="shared" ca="1" si="86"/>
        <v>2.5426164944464267</v>
      </c>
      <c r="AI14" s="37">
        <f t="shared" ca="1" si="87"/>
        <v>1.286329247779479</v>
      </c>
      <c r="AJ14" s="37">
        <f t="shared" ca="1" si="88"/>
        <v>1.079440168013645</v>
      </c>
      <c r="AK14" s="37">
        <f t="shared" ca="1" si="89"/>
        <v>3.6830635855809772</v>
      </c>
      <c r="AL14" s="37">
        <f t="shared" ca="1" si="90"/>
        <v>2.083840040013702</v>
      </c>
      <c r="AM14" s="37">
        <f t="shared" ca="1" si="91"/>
        <v>2.1998094382315729</v>
      </c>
      <c r="AN14" s="37">
        <f t="shared" ca="1" si="92"/>
        <v>0.96254016801364495</v>
      </c>
      <c r="AO14" s="37">
        <f t="shared" ca="1" si="93"/>
        <v>0.79594951130496827</v>
      </c>
      <c r="AP14" s="37">
        <f t="shared" ca="1" si="94"/>
        <v>0.74620266684840786</v>
      </c>
      <c r="AQ14" s="37">
        <f t="shared" ca="1" si="95"/>
        <v>1.6416458670664973</v>
      </c>
      <c r="AR14" s="37">
        <f t="shared" ca="1" si="96"/>
        <v>0.37310133342420393</v>
      </c>
      <c r="AS14" s="37">
        <f t="shared" ca="1" si="97"/>
        <v>6.101745620388507</v>
      </c>
      <c r="AT14" s="37">
        <f t="shared" ca="1" si="98"/>
        <v>0.81428276551960388</v>
      </c>
      <c r="AU14" s="37">
        <f t="shared" ca="1" si="99"/>
        <v>1.8352680792095686</v>
      </c>
      <c r="AV14" s="37">
        <f t="shared" ca="1" si="100"/>
        <v>0.40714138275980194</v>
      </c>
      <c r="AW14" s="37">
        <f t="shared" ca="1" si="101"/>
        <v>0.5223418667938855</v>
      </c>
      <c r="AX14" s="37">
        <f t="shared" ca="1" si="102"/>
        <v>1.1054854323680117</v>
      </c>
      <c r="AY14" s="37">
        <f t="shared" ca="1" si="103"/>
        <v>0.26117093339694275</v>
      </c>
      <c r="AZ14" s="37">
        <f t="shared" ca="1" si="104"/>
        <v>6.4637135809200288</v>
      </c>
      <c r="BA14" s="37">
        <f t="shared" ca="1" si="105"/>
        <v>1.5847195359727675</v>
      </c>
      <c r="BB14" s="37">
        <f t="shared" ca="1" si="106"/>
        <v>3.4513061830869365</v>
      </c>
      <c r="BC14" s="37">
        <f t="shared" ca="1" si="107"/>
        <v>0.79235976798638375</v>
      </c>
      <c r="BD14" s="37">
        <f t="shared" ca="1" si="108"/>
        <v>0.80424065204772843</v>
      </c>
      <c r="BE14" s="37">
        <f t="shared" ca="1" si="109"/>
        <v>0.96177232616017005</v>
      </c>
      <c r="BF14" s="37">
        <f t="shared" ca="1" si="110"/>
        <v>5.6945316647905457</v>
      </c>
      <c r="BG14" s="37">
        <f t="shared" ca="1" si="111"/>
        <v>5.5684413734379063</v>
      </c>
      <c r="BH14" s="37">
        <f t="shared" ca="1" si="112"/>
        <v>1.509554973001727</v>
      </c>
      <c r="BI14" s="37">
        <f t="shared" ca="1" si="113"/>
        <v>1.3404010867462142</v>
      </c>
      <c r="BJ14" s="37">
        <f t="shared" ca="1" si="114"/>
        <v>0.72962038536288776</v>
      </c>
      <c r="BK14" s="37">
        <f t="shared" ca="1" si="115"/>
        <v>2.4626748743305309</v>
      </c>
      <c r="BL14" s="37">
        <f t="shared" ca="1" si="116"/>
        <v>5.474485669724106</v>
      </c>
      <c r="BM14" s="37">
        <f t="shared" ca="1" si="117"/>
        <v>0.3257131062078415</v>
      </c>
      <c r="BN14" s="37">
        <f t="shared" ca="1" si="118"/>
        <v>0.49746844456560524</v>
      </c>
      <c r="BO14" s="37">
        <f t="shared" ca="1" si="119"/>
        <v>0.18793252350256198</v>
      </c>
      <c r="BP14" s="37">
        <f t="shared" ca="1" si="120"/>
        <v>1.9714326421806088</v>
      </c>
      <c r="BQ14" s="37">
        <f t="shared" ca="1" si="121"/>
        <v>8.0551356650631583</v>
      </c>
      <c r="BR14" s="37">
        <f t="shared" ca="1" si="122"/>
        <v>0.84560133342420407</v>
      </c>
      <c r="BS14" s="37">
        <f t="shared" ca="1" si="123"/>
        <v>0.78489465698128813</v>
      </c>
      <c r="BT14" s="37">
        <f t="shared" ca="1" si="124"/>
        <v>0.67434611374448705</v>
      </c>
      <c r="BU14" s="37">
        <f t="shared" ca="1" si="125"/>
        <v>4.0786032695605385</v>
      </c>
      <c r="BV14" s="37">
        <f t="shared" ca="1" si="126"/>
        <v>5.6060236549234261</v>
      </c>
      <c r="BW14" s="37">
        <f t="shared" ca="1" si="127"/>
        <v>0.92702960997616435</v>
      </c>
      <c r="BX14" s="37">
        <f t="shared" ca="1" si="128"/>
        <v>2.624267713853532</v>
      </c>
      <c r="BY14" s="37">
        <f t="shared" ca="1" si="129"/>
        <v>3.2633947756593353</v>
      </c>
      <c r="BZ14" s="37">
        <f t="shared" ca="1" si="130"/>
        <v>7.052941492115953</v>
      </c>
      <c r="CA14" s="37">
        <f t="shared" ca="1" si="131"/>
        <v>3.2633947756593353</v>
      </c>
      <c r="CB14" s="37">
        <f t="shared" ca="1" si="132"/>
        <v>3.9022935609131784</v>
      </c>
      <c r="CC14" s="37">
        <f t="shared" ca="1" si="133"/>
        <v>8.5750238922795212</v>
      </c>
      <c r="CD14" s="37">
        <f t="shared" ca="1" si="134"/>
        <v>3.9022935609131784</v>
      </c>
      <c r="CE14" s="37">
        <f t="shared" ca="1" si="135"/>
        <v>1.6159283952300072</v>
      </c>
    </row>
    <row r="15" spans="1:83" x14ac:dyDescent="0.25">
      <c r="A15" t="str">
        <f>PLANTILLA!D19</f>
        <v>J. G. Peñuela</v>
      </c>
      <c r="B15">
        <f>PLANTILLA!E19</f>
        <v>17</v>
      </c>
      <c r="C15" s="33">
        <f ca="1">PLANTILLA!F19</f>
        <v>100</v>
      </c>
      <c r="D15" s="220" t="str">
        <f>PLANTILLA!G19</f>
        <v>IMP</v>
      </c>
      <c r="E15" s="30">
        <f>PLANTILLA!M19</f>
        <v>43054</v>
      </c>
      <c r="F15" s="47">
        <f>PLANTILLA!Q19</f>
        <v>6</v>
      </c>
      <c r="G15" s="48">
        <f t="shared" si="1"/>
        <v>0.92582009977255142</v>
      </c>
      <c r="H15" s="48">
        <f t="shared" si="2"/>
        <v>0.99928545900129484</v>
      </c>
      <c r="I15" s="51">
        <f t="shared" ca="1" si="3"/>
        <v>0.50591736573513757</v>
      </c>
      <c r="J15" s="39">
        <f>PLANTILLA!I19</f>
        <v>1.4</v>
      </c>
      <c r="K15" s="46">
        <f>PLANTILLA!X19</f>
        <v>0</v>
      </c>
      <c r="L15" s="46">
        <f>PLANTILLA!Y19</f>
        <v>3</v>
      </c>
      <c r="M15" s="46">
        <f>PLANTILLA!Z19</f>
        <v>5</v>
      </c>
      <c r="N15" s="46">
        <f>PLANTILLA!AA19</f>
        <v>4</v>
      </c>
      <c r="O15" s="46">
        <f>PLANTILLA!AB19</f>
        <v>5</v>
      </c>
      <c r="P15" s="46">
        <f>PLANTILLA!AC19</f>
        <v>6.0016666666666669</v>
      </c>
      <c r="Q15" s="46">
        <f>PLANTILLA!AD19</f>
        <v>3</v>
      </c>
      <c r="R15" s="46">
        <f t="shared" si="70"/>
        <v>2</v>
      </c>
      <c r="S15" s="46">
        <f t="shared" si="71"/>
        <v>0.39008333333333334</v>
      </c>
      <c r="T15" s="46">
        <f t="shared" si="72"/>
        <v>0.21000000000000002</v>
      </c>
      <c r="U15" s="46">
        <f t="shared" ca="1" si="73"/>
        <v>3.4262331287674836</v>
      </c>
      <c r="V15" s="46">
        <f t="shared" ca="1" si="74"/>
        <v>3.6981104056468284</v>
      </c>
      <c r="W15" s="37">
        <f t="shared" ca="1" si="75"/>
        <v>1.4397588938162444</v>
      </c>
      <c r="X15" s="37">
        <f t="shared" ca="1" si="76"/>
        <v>2.1796743779115362</v>
      </c>
      <c r="Y15" s="37">
        <f t="shared" ca="1" si="77"/>
        <v>1.4397588938162444</v>
      </c>
      <c r="Z15" s="37">
        <f t="shared" ca="1" si="78"/>
        <v>1.8863886649967387</v>
      </c>
      <c r="AA15" s="37">
        <f t="shared" ca="1" si="79"/>
        <v>3.700754746639455</v>
      </c>
      <c r="AB15" s="37">
        <f t="shared" ca="1" si="80"/>
        <v>0.94319433249836937</v>
      </c>
      <c r="AC15" s="37">
        <f t="shared" ca="1" si="81"/>
        <v>1.7891578047814798</v>
      </c>
      <c r="AD15" s="37">
        <f t="shared" ca="1" si="82"/>
        <v>1.381889370869704</v>
      </c>
      <c r="AE15" s="37">
        <f t="shared" ca="1" si="83"/>
        <v>2.6756456818203258</v>
      </c>
      <c r="AF15" s="37">
        <f t="shared" ca="1" si="84"/>
        <v>0.69094468543485199</v>
      </c>
      <c r="AG15" s="37">
        <f t="shared" ca="1" si="85"/>
        <v>2.8942258606759235</v>
      </c>
      <c r="AH15" s="37">
        <f t="shared" ca="1" si="86"/>
        <v>3.404694366908299</v>
      </c>
      <c r="AI15" s="37">
        <f t="shared" ca="1" si="87"/>
        <v>1.6680807875687258</v>
      </c>
      <c r="AJ15" s="37">
        <f t="shared" ca="1" si="88"/>
        <v>0.9520260426887891</v>
      </c>
      <c r="AK15" s="37">
        <f t="shared" ca="1" si="89"/>
        <v>2.7640437910239992</v>
      </c>
      <c r="AL15" s="37">
        <f t="shared" ca="1" si="90"/>
        <v>2.7903690789661493</v>
      </c>
      <c r="AM15" s="37">
        <f t="shared" ca="1" si="91"/>
        <v>2.8526598975812996</v>
      </c>
      <c r="AN15" s="37">
        <f t="shared" ca="1" si="92"/>
        <v>0.61802604268878902</v>
      </c>
      <c r="AO15" s="37">
        <f t="shared" ca="1" si="93"/>
        <v>0.77781736703216298</v>
      </c>
      <c r="AP15" s="37">
        <f t="shared" ca="1" si="94"/>
        <v>0.99920378159265288</v>
      </c>
      <c r="AQ15" s="37">
        <f t="shared" ca="1" si="95"/>
        <v>2.1982483195038363</v>
      </c>
      <c r="AR15" s="37">
        <f t="shared" ca="1" si="96"/>
        <v>0.49960189079632644</v>
      </c>
      <c r="AS15" s="37">
        <f t="shared" ca="1" si="97"/>
        <v>5.3815124808276451</v>
      </c>
      <c r="AT15" s="37">
        <f t="shared" ca="1" si="98"/>
        <v>0.74109811706312922</v>
      </c>
      <c r="AU15" s="37">
        <f t="shared" ca="1" si="99"/>
        <v>1.8436094740986935</v>
      </c>
      <c r="AV15" s="37">
        <f t="shared" ca="1" si="100"/>
        <v>0.37054905853156461</v>
      </c>
      <c r="AW15" s="37">
        <f t="shared" ca="1" si="101"/>
        <v>0.69944264711485704</v>
      </c>
      <c r="AX15" s="37">
        <f t="shared" ca="1" si="102"/>
        <v>1.4803018986557821</v>
      </c>
      <c r="AY15" s="37">
        <f t="shared" ca="1" si="103"/>
        <v>0.34972132355742852</v>
      </c>
      <c r="AZ15" s="37">
        <f t="shared" ca="1" si="104"/>
        <v>5.700754746639455</v>
      </c>
      <c r="BA15" s="37">
        <f t="shared" ca="1" si="105"/>
        <v>1.4422909508997821</v>
      </c>
      <c r="BB15" s="37">
        <f t="shared" ca="1" si="106"/>
        <v>3.3514658653983398</v>
      </c>
      <c r="BC15" s="37">
        <f t="shared" ca="1" si="107"/>
        <v>0.72114547544989105</v>
      </c>
      <c r="BD15" s="37">
        <f t="shared" ca="1" si="108"/>
        <v>1.0769196312720812</v>
      </c>
      <c r="BE15" s="37">
        <f t="shared" ca="1" si="109"/>
        <v>1.2878626518305303</v>
      </c>
      <c r="BF15" s="37">
        <f t="shared" ca="1" si="110"/>
        <v>5.0223649317893599</v>
      </c>
      <c r="BG15" s="37">
        <f t="shared" ca="1" si="111"/>
        <v>4.4939709697624757</v>
      </c>
      <c r="BH15" s="37">
        <f t="shared" ca="1" si="112"/>
        <v>1.3738818939401085</v>
      </c>
      <c r="BI15" s="37">
        <f t="shared" ca="1" si="113"/>
        <v>1.7948660521201356</v>
      </c>
      <c r="BJ15" s="37">
        <f t="shared" ca="1" si="114"/>
        <v>0.97699925311281621</v>
      </c>
      <c r="BK15" s="37">
        <f t="shared" ca="1" si="115"/>
        <v>2.1719875584696324</v>
      </c>
      <c r="BL15" s="37">
        <f t="shared" ca="1" si="116"/>
        <v>4.3094596485628838</v>
      </c>
      <c r="BM15" s="37">
        <f t="shared" ca="1" si="117"/>
        <v>0.29643924682525163</v>
      </c>
      <c r="BN15" s="37">
        <f t="shared" ca="1" si="118"/>
        <v>0.66613585439510192</v>
      </c>
      <c r="BO15" s="37">
        <f t="shared" ca="1" si="119"/>
        <v>0.25165132277148294</v>
      </c>
      <c r="BP15" s="37">
        <f t="shared" ca="1" si="120"/>
        <v>1.7387301977250338</v>
      </c>
      <c r="BQ15" s="37">
        <f t="shared" ca="1" si="121"/>
        <v>6.3311706041783395</v>
      </c>
      <c r="BR15" s="37">
        <f t="shared" ca="1" si="122"/>
        <v>0.76960189079632646</v>
      </c>
      <c r="BS15" s="37">
        <f t="shared" ca="1" si="123"/>
        <v>1.0510143480456051</v>
      </c>
      <c r="BT15" s="37">
        <f t="shared" ca="1" si="124"/>
        <v>0.90298415818002697</v>
      </c>
      <c r="BU15" s="37">
        <f t="shared" ca="1" si="125"/>
        <v>3.597176245129496</v>
      </c>
      <c r="BV15" s="37">
        <f t="shared" ca="1" si="126"/>
        <v>4.4001754982423122</v>
      </c>
      <c r="BW15" s="37">
        <f t="shared" ca="1" si="127"/>
        <v>0.84371170250263927</v>
      </c>
      <c r="BX15" s="37">
        <f t="shared" ca="1" si="128"/>
        <v>2.314506427135619</v>
      </c>
      <c r="BY15" s="37">
        <f t="shared" ca="1" si="129"/>
        <v>2.9533048896658225</v>
      </c>
      <c r="BZ15" s="37">
        <f t="shared" ca="1" si="130"/>
        <v>7.003021511382693</v>
      </c>
      <c r="CA15" s="37">
        <f t="shared" ca="1" si="131"/>
        <v>2.9533048896658225</v>
      </c>
      <c r="CB15" s="37">
        <f t="shared" ca="1" si="132"/>
        <v>3.7332402071563804</v>
      </c>
      <c r="CC15" s="37">
        <f t="shared" ca="1" si="133"/>
        <v>8.8059999148160806</v>
      </c>
      <c r="CD15" s="37">
        <f t="shared" ca="1" si="134"/>
        <v>3.7332402071563804</v>
      </c>
      <c r="CE15" s="37">
        <f t="shared" ca="1" si="135"/>
        <v>1.4251886866598638</v>
      </c>
    </row>
    <row r="16" spans="1:83" x14ac:dyDescent="0.25">
      <c r="A16" t="str">
        <f>PLANTILLA!D20</f>
        <v>Paulo Beltrán</v>
      </c>
      <c r="B16">
        <f>PLANTILLA!E20</f>
        <v>17</v>
      </c>
      <c r="C16" s="33">
        <f ca="1">PLANTILLA!F20</f>
        <v>108</v>
      </c>
      <c r="D16" s="220" t="str">
        <f>PLANTILLA!G20</f>
        <v>RAP</v>
      </c>
      <c r="E16" s="30">
        <f>PLANTILLA!M20</f>
        <v>43046</v>
      </c>
      <c r="F16" s="47">
        <f>PLANTILLA!Q20</f>
        <v>7</v>
      </c>
      <c r="G16" s="48">
        <f t="shared" si="1"/>
        <v>1</v>
      </c>
      <c r="H16" s="48">
        <f t="shared" si="2"/>
        <v>1</v>
      </c>
      <c r="I16" s="51">
        <f t="shared" ca="1" si="3"/>
        <v>0.52892523551245385</v>
      </c>
      <c r="J16" s="39">
        <f>PLANTILLA!I20</f>
        <v>1.1000000000000001</v>
      </c>
      <c r="K16" s="46">
        <f>PLANTILLA!X20</f>
        <v>0</v>
      </c>
      <c r="L16" s="46">
        <f>PLANTILLA!Y20</f>
        <v>4</v>
      </c>
      <c r="M16" s="46">
        <f>PLANTILLA!Z20</f>
        <v>2</v>
      </c>
      <c r="N16" s="46">
        <f>PLANTILLA!AA20</f>
        <v>5</v>
      </c>
      <c r="O16" s="46">
        <f>PLANTILLA!AB20</f>
        <v>4.25</v>
      </c>
      <c r="P16" s="46">
        <f>PLANTILLA!AC20</f>
        <v>4.3607843137254889</v>
      </c>
      <c r="Q16" s="46">
        <f>PLANTILLA!AD20</f>
        <v>4</v>
      </c>
      <c r="R16" s="46">
        <f t="shared" si="70"/>
        <v>1.9375</v>
      </c>
      <c r="S16" s="46">
        <f t="shared" si="71"/>
        <v>0.33803921568627449</v>
      </c>
      <c r="T16" s="46">
        <f t="shared" si="72"/>
        <v>0.27999999999999997</v>
      </c>
      <c r="U16" s="46">
        <f t="shared" ca="1" si="73"/>
        <v>4.5841154823900876</v>
      </c>
      <c r="V16" s="46">
        <f t="shared" ca="1" si="74"/>
        <v>4.5841154823900876</v>
      </c>
      <c r="W16" s="37">
        <f t="shared" ca="1" si="75"/>
        <v>1.6139328161265465</v>
      </c>
      <c r="X16" s="37">
        <f t="shared" ca="1" si="76"/>
        <v>2.4540930877656026</v>
      </c>
      <c r="Y16" s="37">
        <f t="shared" ca="1" si="77"/>
        <v>1.6139328161265465</v>
      </c>
      <c r="Z16" s="37">
        <f t="shared" ca="1" si="78"/>
        <v>2.3411476903915185</v>
      </c>
      <c r="AA16" s="37">
        <f t="shared" ca="1" si="79"/>
        <v>4.5841154823900876</v>
      </c>
      <c r="AB16" s="37">
        <f t="shared" ca="1" si="80"/>
        <v>1.1705738451957592</v>
      </c>
      <c r="AC16" s="37">
        <f t="shared" ca="1" si="81"/>
        <v>1.0670611492672315</v>
      </c>
      <c r="AD16" s="37">
        <f t="shared" ca="1" si="82"/>
        <v>1.7150267964496009</v>
      </c>
      <c r="AE16" s="37">
        <f t="shared" ca="1" si="83"/>
        <v>3.3143154937680332</v>
      </c>
      <c r="AF16" s="37">
        <f t="shared" ca="1" si="84"/>
        <v>0.85751339822480044</v>
      </c>
      <c r="AG16" s="37">
        <f t="shared" ca="1" si="85"/>
        <v>1.726128329696992</v>
      </c>
      <c r="AH16" s="37">
        <f t="shared" ca="1" si="86"/>
        <v>4.2173862437988809</v>
      </c>
      <c r="AI16" s="37">
        <f t="shared" ca="1" si="87"/>
        <v>2.0399756349880831</v>
      </c>
      <c r="AJ16" s="37">
        <f t="shared" ca="1" si="88"/>
        <v>0.43154728555914468</v>
      </c>
      <c r="AK16" s="37">
        <f t="shared" ca="1" si="89"/>
        <v>3.2834599036453711</v>
      </c>
      <c r="AL16" s="37">
        <f t="shared" ca="1" si="90"/>
        <v>3.4564230737221262</v>
      </c>
      <c r="AM16" s="37">
        <f t="shared" ca="1" si="91"/>
        <v>3.4886539844723741</v>
      </c>
      <c r="AN16" s="37">
        <f t="shared" ca="1" si="92"/>
        <v>0.76554728555914464</v>
      </c>
      <c r="AO16" s="37">
        <f t="shared" ca="1" si="93"/>
        <v>0.72622525892834522</v>
      </c>
      <c r="AP16" s="37">
        <f t="shared" ca="1" si="94"/>
        <v>1.2377111802453238</v>
      </c>
      <c r="AQ16" s="37">
        <f t="shared" ca="1" si="95"/>
        <v>2.722964596539712</v>
      </c>
      <c r="AR16" s="37">
        <f t="shared" ca="1" si="96"/>
        <v>0.61885559012266189</v>
      </c>
      <c r="AS16" s="37">
        <f t="shared" ca="1" si="97"/>
        <v>2.4394050153762428</v>
      </c>
      <c r="AT16" s="37">
        <f t="shared" ca="1" si="98"/>
        <v>0.62843501271071145</v>
      </c>
      <c r="AU16" s="37">
        <f t="shared" ca="1" si="99"/>
        <v>1.4355615226148051</v>
      </c>
      <c r="AV16" s="37">
        <f t="shared" ca="1" si="100"/>
        <v>0.31421750635535572</v>
      </c>
      <c r="AW16" s="37">
        <f t="shared" ca="1" si="101"/>
        <v>0.86639782617172656</v>
      </c>
      <c r="AX16" s="37">
        <f t="shared" ca="1" si="102"/>
        <v>1.833646192956035</v>
      </c>
      <c r="AY16" s="37">
        <f t="shared" ca="1" si="103"/>
        <v>0.43319891308586328</v>
      </c>
      <c r="AZ16" s="37">
        <f t="shared" ca="1" si="104"/>
        <v>2.5841154823900876</v>
      </c>
      <c r="BA16" s="37">
        <f t="shared" ca="1" si="105"/>
        <v>1.2230312170446922</v>
      </c>
      <c r="BB16" s="37">
        <f t="shared" ca="1" si="106"/>
        <v>2.6868623366792912</v>
      </c>
      <c r="BC16" s="37">
        <f t="shared" ca="1" si="107"/>
        <v>0.6115156085223461</v>
      </c>
      <c r="BD16" s="37">
        <f t="shared" ca="1" si="108"/>
        <v>1.3339776053755155</v>
      </c>
      <c r="BE16" s="37">
        <f t="shared" ca="1" si="109"/>
        <v>1.5952721878717504</v>
      </c>
      <c r="BF16" s="37">
        <f t="shared" ca="1" si="110"/>
        <v>2.2766057399856674</v>
      </c>
      <c r="BG16" s="37">
        <f t="shared" ca="1" si="111"/>
        <v>4.7280286638447873</v>
      </c>
      <c r="BH16" s="37">
        <f t="shared" ca="1" si="112"/>
        <v>1.165021831256011</v>
      </c>
      <c r="BI16" s="37">
        <f t="shared" ca="1" si="113"/>
        <v>2.2232960089591924</v>
      </c>
      <c r="BJ16" s="37">
        <f t="shared" ca="1" si="114"/>
        <v>1.2102064873509832</v>
      </c>
      <c r="BK16" s="37">
        <f t="shared" ca="1" si="115"/>
        <v>0.98454799879062338</v>
      </c>
      <c r="BL16" s="37">
        <f t="shared" ca="1" si="116"/>
        <v>4.7297669316089372</v>
      </c>
      <c r="BM16" s="37">
        <f t="shared" ca="1" si="117"/>
        <v>0.25137400508428454</v>
      </c>
      <c r="BN16" s="37">
        <f t="shared" ca="1" si="118"/>
        <v>0.82514078683021574</v>
      </c>
      <c r="BO16" s="37">
        <f t="shared" ca="1" si="119"/>
        <v>0.31171985280252595</v>
      </c>
      <c r="BP16" s="37">
        <f t="shared" ca="1" si="120"/>
        <v>0.78815522212897671</v>
      </c>
      <c r="BQ16" s="37">
        <f t="shared" ca="1" si="121"/>
        <v>6.9666725103536526</v>
      </c>
      <c r="BR16" s="37">
        <f t="shared" ca="1" si="122"/>
        <v>0.65260559012266184</v>
      </c>
      <c r="BS16" s="37">
        <f t="shared" ca="1" si="123"/>
        <v>1.3018887969987847</v>
      </c>
      <c r="BT16" s="37">
        <f t="shared" ca="1" si="124"/>
        <v>1.1185241777031814</v>
      </c>
      <c r="BU16" s="37">
        <f t="shared" ca="1" si="125"/>
        <v>1.6305768693881453</v>
      </c>
      <c r="BV16" s="37">
        <f t="shared" ca="1" si="126"/>
        <v>4.8530333567391279</v>
      </c>
      <c r="BW16" s="37">
        <f t="shared" ca="1" si="127"/>
        <v>0.71544909139373292</v>
      </c>
      <c r="BX16" s="37">
        <f t="shared" ca="1" si="128"/>
        <v>1.0491508858503755</v>
      </c>
      <c r="BY16" s="37">
        <f t="shared" ca="1" si="129"/>
        <v>2.6406437741683728</v>
      </c>
      <c r="BZ16" s="37">
        <f t="shared" ca="1" si="130"/>
        <v>5.5078012880731979</v>
      </c>
      <c r="CA16" s="37">
        <f t="shared" ca="1" si="131"/>
        <v>2.6406437741683728</v>
      </c>
      <c r="CB16" s="37">
        <f t="shared" ca="1" si="132"/>
        <v>3.2219392396466708</v>
      </c>
      <c r="CC16" s="37">
        <f t="shared" ca="1" si="133"/>
        <v>6.7286884091175185</v>
      </c>
      <c r="CD16" s="37">
        <f t="shared" ca="1" si="134"/>
        <v>3.2219392396466708</v>
      </c>
      <c r="CE16" s="37">
        <f t="shared" ca="1" si="135"/>
        <v>0.6460288705975219</v>
      </c>
    </row>
    <row r="17" spans="1:83" x14ac:dyDescent="0.25">
      <c r="A17" t="str">
        <f>PLANTILLA!D22</f>
        <v>Nicolás Eans</v>
      </c>
      <c r="B17">
        <f>PLANTILLA!E22</f>
        <v>18</v>
      </c>
      <c r="C17" s="33">
        <f ca="1">PLANTILLA!F22</f>
        <v>29</v>
      </c>
      <c r="D17" s="220" t="str">
        <f>PLANTILLA!G22</f>
        <v>TEC</v>
      </c>
      <c r="E17" s="30">
        <f>PLANTILLA!M22</f>
        <v>43046</v>
      </c>
      <c r="F17" s="47">
        <f>PLANTILLA!Q22</f>
        <v>5</v>
      </c>
      <c r="G17" s="48">
        <f t="shared" si="1"/>
        <v>0.84515425472851657</v>
      </c>
      <c r="H17" s="48">
        <f t="shared" si="2"/>
        <v>0.92504826128926143</v>
      </c>
      <c r="I17" s="51">
        <f t="shared" ca="1" si="3"/>
        <v>0.52892523551245385</v>
      </c>
      <c r="J17" s="39">
        <f>PLANTILLA!I22</f>
        <v>0.5</v>
      </c>
      <c r="K17" s="46">
        <f>PLANTILLA!X22</f>
        <v>0</v>
      </c>
      <c r="L17" s="46">
        <f>PLANTILLA!Y22</f>
        <v>5</v>
      </c>
      <c r="M17" s="46">
        <f>PLANTILLA!Z22</f>
        <v>2</v>
      </c>
      <c r="N17" s="46">
        <f>PLANTILLA!AA22</f>
        <v>3</v>
      </c>
      <c r="O17" s="46">
        <f>PLANTILLA!AB22</f>
        <v>5</v>
      </c>
      <c r="P17" s="46">
        <f>PLANTILLA!AC22</f>
        <v>6.3043478260869579</v>
      </c>
      <c r="Q17" s="46">
        <f>PLANTILLA!AD22</f>
        <v>3</v>
      </c>
      <c r="R17" s="46">
        <f t="shared" si="70"/>
        <v>2.25</v>
      </c>
      <c r="S17" s="46">
        <f t="shared" si="71"/>
        <v>0.40521739130434786</v>
      </c>
      <c r="T17" s="46">
        <f t="shared" si="72"/>
        <v>0.28999999999999998</v>
      </c>
      <c r="U17" s="46">
        <f t="shared" ca="1" si="73"/>
        <v>2.6432638018970889</v>
      </c>
      <c r="V17" s="46">
        <f t="shared" ca="1" si="74"/>
        <v>2.8931364545507536</v>
      </c>
      <c r="W17" s="37">
        <f t="shared" ca="1" si="75"/>
        <v>1.4913528156494982</v>
      </c>
      <c r="X17" s="37">
        <f t="shared" ca="1" si="76"/>
        <v>2.2896695131769782</v>
      </c>
      <c r="Y17" s="37">
        <f t="shared" ca="1" si="77"/>
        <v>1.4913528156494982</v>
      </c>
      <c r="Z17" s="37">
        <f t="shared" ca="1" si="78"/>
        <v>2.6215608859858404</v>
      </c>
      <c r="AA17" s="37">
        <f t="shared" ca="1" si="79"/>
        <v>5.1275519079604788</v>
      </c>
      <c r="AB17" s="37">
        <f t="shared" ca="1" si="80"/>
        <v>1.3107804429929202</v>
      </c>
      <c r="AC17" s="37">
        <f t="shared" ca="1" si="81"/>
        <v>0.95839901855298448</v>
      </c>
      <c r="AD17" s="37">
        <f t="shared" ca="1" si="82"/>
        <v>1.9204457653152087</v>
      </c>
      <c r="AE17" s="37">
        <f t="shared" ca="1" si="83"/>
        <v>3.7072200294554261</v>
      </c>
      <c r="AF17" s="37">
        <f t="shared" ca="1" si="84"/>
        <v>0.96022288265760436</v>
      </c>
      <c r="AG17" s="37">
        <f t="shared" ca="1" si="85"/>
        <v>1.5503513535415927</v>
      </c>
      <c r="AH17" s="37">
        <f t="shared" ca="1" si="86"/>
        <v>4.7173477553236403</v>
      </c>
      <c r="AI17" s="37">
        <f t="shared" ca="1" si="87"/>
        <v>2.264958315174225</v>
      </c>
      <c r="AJ17" s="37">
        <f t="shared" ca="1" si="88"/>
        <v>0.35530116862940003</v>
      </c>
      <c r="AK17" s="37">
        <f t="shared" ca="1" si="89"/>
        <v>1.8390005218807617</v>
      </c>
      <c r="AL17" s="37">
        <f t="shared" ca="1" si="90"/>
        <v>3.8661741386022008</v>
      </c>
      <c r="AM17" s="37">
        <f t="shared" ca="1" si="91"/>
        <v>3.8734069737762113</v>
      </c>
      <c r="AN17" s="37">
        <f t="shared" ca="1" si="92"/>
        <v>0.52230116862940001</v>
      </c>
      <c r="AO17" s="37">
        <f t="shared" ca="1" si="93"/>
        <v>0.68473494949261793</v>
      </c>
      <c r="AP17" s="37">
        <f t="shared" ca="1" si="94"/>
        <v>1.3844390151493293</v>
      </c>
      <c r="AQ17" s="37">
        <f t="shared" ca="1" si="95"/>
        <v>3.0457658333285242</v>
      </c>
      <c r="AR17" s="37">
        <f t="shared" ca="1" si="96"/>
        <v>0.69221950757466466</v>
      </c>
      <c r="AS17" s="37">
        <f t="shared" ca="1" si="97"/>
        <v>2.0084090011146922</v>
      </c>
      <c r="AT17" s="37">
        <f t="shared" ca="1" si="98"/>
        <v>0.66658174803486225</v>
      </c>
      <c r="AU17" s="37">
        <f t="shared" ca="1" si="99"/>
        <v>1.7280248829454639</v>
      </c>
      <c r="AV17" s="37">
        <f t="shared" ca="1" si="100"/>
        <v>0.33329087401743113</v>
      </c>
      <c r="AW17" s="37">
        <f t="shared" ca="1" si="101"/>
        <v>0.96910731060453048</v>
      </c>
      <c r="AX17" s="37">
        <f t="shared" ca="1" si="102"/>
        <v>2.0510207631841917</v>
      </c>
      <c r="AY17" s="37">
        <f t="shared" ca="1" si="103"/>
        <v>0.48455365530226524</v>
      </c>
      <c r="AZ17" s="37">
        <f t="shared" ca="1" si="104"/>
        <v>2.1275519079604792</v>
      </c>
      <c r="BA17" s="37">
        <f t="shared" ca="1" si="105"/>
        <v>1.2972706327140011</v>
      </c>
      <c r="BB17" s="37">
        <f t="shared" ca="1" si="106"/>
        <v>3.0991941447644851</v>
      </c>
      <c r="BC17" s="37">
        <f t="shared" ca="1" si="107"/>
        <v>0.64863531635700056</v>
      </c>
      <c r="BD17" s="37">
        <f t="shared" ca="1" si="108"/>
        <v>1.4921176052164993</v>
      </c>
      <c r="BE17" s="37">
        <f t="shared" ca="1" si="109"/>
        <v>1.7843880639702465</v>
      </c>
      <c r="BF17" s="37">
        <f t="shared" ca="1" si="110"/>
        <v>1.8743732309131822</v>
      </c>
      <c r="BG17" s="37">
        <f t="shared" ca="1" si="111"/>
        <v>3.4103936461768658</v>
      </c>
      <c r="BH17" s="37">
        <f t="shared" ca="1" si="112"/>
        <v>1.2357400098184754</v>
      </c>
      <c r="BI17" s="37">
        <f t="shared" ca="1" si="113"/>
        <v>2.4868626753608321</v>
      </c>
      <c r="BJ17" s="37">
        <f t="shared" ca="1" si="114"/>
        <v>1.3536737037015665</v>
      </c>
      <c r="BK17" s="37">
        <f t="shared" ca="1" si="115"/>
        <v>0.81059727693294259</v>
      </c>
      <c r="BL17" s="37">
        <f t="shared" ca="1" si="116"/>
        <v>3.135480367557459</v>
      </c>
      <c r="BM17" s="37">
        <f t="shared" ca="1" si="117"/>
        <v>0.26663269921394489</v>
      </c>
      <c r="BN17" s="37">
        <f t="shared" ca="1" si="118"/>
        <v>0.9229593434328861</v>
      </c>
      <c r="BO17" s="37">
        <f t="shared" ca="1" si="119"/>
        <v>0.3486735297413126</v>
      </c>
      <c r="BP17" s="37">
        <f t="shared" ca="1" si="120"/>
        <v>0.64890333192794614</v>
      </c>
      <c r="BQ17" s="37">
        <f t="shared" ca="1" si="121"/>
        <v>4.594031753637176</v>
      </c>
      <c r="BR17" s="37">
        <f t="shared" ca="1" si="122"/>
        <v>0.69221950757466466</v>
      </c>
      <c r="BS17" s="37">
        <f t="shared" ca="1" si="123"/>
        <v>1.4562247418607759</v>
      </c>
      <c r="BT17" s="37">
        <f t="shared" ca="1" si="124"/>
        <v>1.2511226655423568</v>
      </c>
      <c r="BU17" s="37">
        <f t="shared" ca="1" si="125"/>
        <v>1.3424852539230625</v>
      </c>
      <c r="BV17" s="37">
        <f t="shared" ca="1" si="126"/>
        <v>3.1851589576246289</v>
      </c>
      <c r="BW17" s="37">
        <f t="shared" ca="1" si="127"/>
        <v>0.75887768237815079</v>
      </c>
      <c r="BX17" s="37">
        <f t="shared" ca="1" si="128"/>
        <v>0.86378607463195467</v>
      </c>
      <c r="BY17" s="37">
        <f t="shared" ca="1" si="129"/>
        <v>2.9473108705972915</v>
      </c>
      <c r="BZ17" s="37">
        <f t="shared" ca="1" si="130"/>
        <v>6.534058230972196</v>
      </c>
      <c r="CA17" s="37">
        <f t="shared" ca="1" si="131"/>
        <v>2.9473108705972915</v>
      </c>
      <c r="CB17" s="37">
        <f t="shared" ca="1" si="132"/>
        <v>3.2768126647463354</v>
      </c>
      <c r="CC17" s="37">
        <f t="shared" ca="1" si="133"/>
        <v>8.3239663880848536</v>
      </c>
      <c r="CD17" s="37">
        <f t="shared" ca="1" si="134"/>
        <v>3.2768126647463354</v>
      </c>
      <c r="CE17" s="37">
        <f t="shared" ca="1" si="135"/>
        <v>0.5318879769901198</v>
      </c>
    </row>
    <row r="18" spans="1:83" x14ac:dyDescent="0.25">
      <c r="A18" t="str">
        <f>PLANTILLA!D23</f>
        <v>Noel Fuster</v>
      </c>
      <c r="B18">
        <f>PLANTILLA!E23</f>
        <v>17</v>
      </c>
      <c r="C18" s="33">
        <f ca="1">PLANTILLA!F23</f>
        <v>97</v>
      </c>
      <c r="D18" s="220" t="str">
        <f>PLANTILLA!G23</f>
        <v>IMP</v>
      </c>
      <c r="E18" s="30">
        <f>PLANTILLA!M23</f>
        <v>43046</v>
      </c>
      <c r="F18" s="47">
        <f>PLANTILLA!Q23</f>
        <v>6</v>
      </c>
      <c r="G18" s="48">
        <f t="shared" si="1"/>
        <v>0.92582009977255142</v>
      </c>
      <c r="H18" s="48">
        <f t="shared" si="2"/>
        <v>0.99928545900129484</v>
      </c>
      <c r="I18" s="51">
        <f t="shared" ca="1" si="3"/>
        <v>0.52892523551245385</v>
      </c>
      <c r="J18" s="39">
        <f>PLANTILLA!I23</f>
        <v>0.5</v>
      </c>
      <c r="K18" s="46">
        <f>PLANTILLA!X23</f>
        <v>0</v>
      </c>
      <c r="L18" s="46">
        <f>PLANTILLA!Y23</f>
        <v>4</v>
      </c>
      <c r="M18" s="46">
        <f>PLANTILLA!Z23</f>
        <v>2</v>
      </c>
      <c r="N18" s="46">
        <f>PLANTILLA!AA23</f>
        <v>2</v>
      </c>
      <c r="O18" s="46">
        <f>PLANTILLA!AB23</f>
        <v>3.0896666666666666</v>
      </c>
      <c r="P18" s="46">
        <f>PLANTILLA!AC23</f>
        <v>5.2527777777777773</v>
      </c>
      <c r="Q18" s="46">
        <f>PLANTILLA!AD23</f>
        <v>2.5</v>
      </c>
      <c r="R18" s="46">
        <f t="shared" ref="R18:R19" si="136">((2*(O18+1))+(L18+1))/8</f>
        <v>1.6474166666666665</v>
      </c>
      <c r="S18" s="46">
        <f t="shared" ref="S18:S19" si="137">(0.5*P18+ 0.3*Q18)/10</f>
        <v>0.33763888888888888</v>
      </c>
      <c r="T18" s="46">
        <f t="shared" ref="T18:T19" si="138">(0.4*L18+0.3*Q18)/10</f>
        <v>0.23500000000000001</v>
      </c>
      <c r="U18" s="46">
        <f t="shared" ref="U18:U19" ca="1" si="139">IF(TODAY()-E18&gt;335,(Q18+1+(LOG(J18)*4/3))*(F18/7)^0.5,(Q18+((TODAY()-E18)^0.5)/(336^0.5)+(LOG(J18)*4/3))*(F18/7)^0.5)</f>
        <v>2.4326403695855285</v>
      </c>
      <c r="V18" s="46">
        <f t="shared" ref="V18:V19" ca="1" si="140">IF(F18=7,U18,IF(TODAY()-E18&gt;335,(Q18+1+(LOG(J18)*4/3))*((F18+0.99)/7)^0.5,(Q18+((TODAY()-E18)^0.5)/(336^0.5)+(LOG(J18)*4/3))*((F18+0.99)/7)^0.5))</f>
        <v>2.6256744143960153</v>
      </c>
      <c r="W18" s="37">
        <f t="shared" ref="W18:W19" ca="1" si="141">IF(TODAY()-E18&gt;335,((K18+1+(LOG(J18)*4/3))*0.597)+((L18+1+(LOG(J18)*4/3))*0.276),((K18+(((TODAY()-E18)^0.5)/(336^0.5))+(LOG(J18)*4/3))*0.597)+((L18+(((TODAY()-E18)^0.5)/(336^0.5))+(LOG(J18)*4/3))*0.276))</f>
        <v>1.2153528156494982</v>
      </c>
      <c r="X18" s="37">
        <f t="shared" ref="X18:X19" ca="1" si="142">IF(TODAY()-E18&gt;335,((K18+1+(LOG(J18)*4/3))*0.866)+((L18+1+(LOG(J18)*4/3))*0.425),((K18+(((TODAY()-E18)^0.5)/(336^0.5))+(LOG(J18)*4/3))*0.866)+((L18+(((TODAY()-E18)^0.5)/(336^0.5))+(LOG(J18)*4/3))*0.425))</f>
        <v>1.8646695131769782</v>
      </c>
      <c r="Y18" s="37">
        <f t="shared" ref="Y18:Y19" ca="1" si="143">W18</f>
        <v>1.2153528156494982</v>
      </c>
      <c r="Z18" s="37">
        <f t="shared" ref="Z18:Z19" ca="1" si="144">IF(TODAY()-E18&gt;335,((L18+1+(LOG(J18)*4/3))*0.516),((L18+(((TODAY()-E18)^0.5)/(336^0.516))+(LOG(J18)*4/3))*0.516))</f>
        <v>2.1055608859858403</v>
      </c>
      <c r="AA18" s="37">
        <f t="shared" ref="AA18:AA19" ca="1" si="145">IF(TODAY()-E18&gt;335,((L18+1+(LOG(J18)*4/3))*1),((L18+(((TODAY()-E18)^0.5)/(336^0.5))+(LOG(J18)*4/3))*1))</f>
        <v>4.1275519079604788</v>
      </c>
      <c r="AB18" s="37">
        <f t="shared" ref="AB18:AB19" ca="1" si="146">Z18/2</f>
        <v>1.0527804429929202</v>
      </c>
      <c r="AC18" s="37">
        <f t="shared" ref="AC18:AC19" ca="1" si="147">IF(TODAY()-E18&gt;335,((M18+1+(LOG(J18)*4/3))*0.238),((M18+(((TODAY()-E18)^0.5)/(336^0.238))+(LOG(J18)*4/3))*0.238))</f>
        <v>0.95839901855298448</v>
      </c>
      <c r="AD18" s="37">
        <f t="shared" ref="AD18:AD19" ca="1" si="148">IF(TODAY()-E18&gt;335,((L18+1+(LOG(J18)*4/3))*0.378),((L18+(((TODAY()-E18)^0.5)/(336^0.516))+(LOG(J18)*4/3))*0.378))</f>
        <v>1.5424457653152086</v>
      </c>
      <c r="AE18" s="37">
        <f t="shared" ref="AE18:AE19" ca="1" si="149">IF(TODAY()-E18&gt;335,((L18+1+(LOG(J18)*4/3))*0.723),((L18+(((TODAY()-E18)^0.5)/(336^0.5))+(LOG(J18)*4/3))*0.723))</f>
        <v>2.9842200294554262</v>
      </c>
      <c r="AF18" s="37">
        <f t="shared" ref="AF18:AF19" ca="1" si="150">AD18/2</f>
        <v>0.7712228826576043</v>
      </c>
      <c r="AG18" s="37">
        <f t="shared" ref="AG18:AG19" ca="1" si="151">IF(TODAY()-E18&gt;335,((M18+1+(LOG(J18)*4/3))*0.385),((M18+(((TODAY()-E18)^0.5)/(336^0.238))+(LOG(J18)*4/3))*0.385))</f>
        <v>1.5503513535415927</v>
      </c>
      <c r="AH18" s="37">
        <f t="shared" ref="AH18:AH19" ca="1" si="152">IF(TODAY()-E18&gt;335,((L18+1+(LOG(J18)*4/3))*0.92),((L18+(((TODAY()-E18)^0.5)/(336^0.5))+(LOG(J18)*4/3))*0.92))</f>
        <v>3.7973477553236408</v>
      </c>
      <c r="AI18" s="37">
        <f t="shared" ref="AI18:AI19" ca="1" si="153">IF(TODAY()-E18&gt;335,((L18+1+(LOG(J18)*4/3))*0.414),((L18+(((TODAY()-E18)^0.5)/(336^0.414))+(LOG(J18)*4/3))*0.414))</f>
        <v>1.8509583151742253</v>
      </c>
      <c r="AJ18" s="37">
        <f t="shared" ref="AJ18:AJ19" ca="1" si="154">IF(TODAY()-E18&gt;335,((M18+1+(LOG(J18)*4/3))*0.167),((M18+(((TODAY()-E18)^0.5)/(336^0.5))+(LOG(J18)*4/3))*0.167))</f>
        <v>0.35530116862940003</v>
      </c>
      <c r="AK18" s="37">
        <f t="shared" ref="AK18:AK19" ca="1" si="155">IF(TODAY()-E18&gt;335,((N18+1+(LOG(J18)*4/3))*0.588),((N18+(((TODAY()-E18)^0.5)/(336^0.5))+(LOG(J18)*4/3))*0.588))</f>
        <v>1.2510005218807616</v>
      </c>
      <c r="AL18" s="37">
        <f t="shared" ref="AL18:AL19" ca="1" si="156">IF(TODAY()-E18&gt;335,((L18+1+(LOG(J18)*4/3))*0.754),((L18+(((TODAY()-E18)^0.5)/(336^0.5))+(LOG(J18)*4/3))*0.754))</f>
        <v>3.1121741386022008</v>
      </c>
      <c r="AM18" s="37">
        <f t="shared" ref="AM18:AM19" ca="1" si="157">IF(TODAY()-E18&gt;335,((L18+1+(LOG(J18)*4/3))*0.708),((L18+(((TODAY()-E18)^0.5)/(336^0.414))+(LOG(J18)*4/3))*0.708))</f>
        <v>3.1654069737762112</v>
      </c>
      <c r="AN18" s="37">
        <f t="shared" ref="AN18:AN19" ca="1" si="158">IF(TODAY()-E18&gt;335,((Q18+1+(LOG(J18)*4/3))*0.167),((Q18+(((TODAY()-E18)^0.5)/(336^0.5))+(LOG(J18)*4/3))*0.167))</f>
        <v>0.43880116862940005</v>
      </c>
      <c r="AO18" s="37">
        <f t="shared" ref="AO18:AO19" ca="1" si="159">IF(TODAY()-E18&gt;335,((R18+1+(LOG(J18)*4/3))*0.288),((R18+(((TODAY()-E18)^0.5)/(336^0.5))+(LOG(J18)*4/3))*0.288))</f>
        <v>0.5111909494926179</v>
      </c>
      <c r="AP18" s="37">
        <f t="shared" ref="AP18:AP19" ca="1" si="160">IF(TODAY()-E18&gt;335,((L18+1+(LOG(J18)*4/3))*0.27),((L18+(((TODAY()-E18)^0.5)/(336^0.5))+(LOG(J18)*4/3))*0.27))</f>
        <v>1.1144390151493293</v>
      </c>
      <c r="AQ18" s="37">
        <f t="shared" ref="AQ18:AQ19" ca="1" si="161">IF(TODAY()-E18&gt;335,((L18+1+(LOG(J18)*4/3))*0.594),((L18+(((TODAY()-E18)^0.5)/(336^0.5))+(LOG(J18)*4/3))*0.594))</f>
        <v>2.4517658333285244</v>
      </c>
      <c r="AR18" s="37">
        <f t="shared" ref="AR18:AR19" ca="1" si="162">AP18/2</f>
        <v>0.55721950757466465</v>
      </c>
      <c r="AS18" s="37">
        <f t="shared" ref="AS18:AS19" ca="1" si="163">IF(TODAY()-E18&gt;335,((M18+1+(LOG(J18)*4/3))*0.944),((M18+(((TODAY()-E18)^0.5)/(336^0.5))+(LOG(J18)*4/3))*0.944))</f>
        <v>2.0084090011146922</v>
      </c>
      <c r="AT18" s="37">
        <f t="shared" ref="AT18:AT19" ca="1" si="164">IF(TODAY()-E18&gt;335,((O18+1+(LOG(J18)*4/3))*0.13),((O18+(((TODAY()-E18)^0.5)/(336^0.5))+(LOG(J18)*4/3))*0.13))</f>
        <v>0.41823841470152889</v>
      </c>
      <c r="AU18" s="37">
        <f t="shared" ref="AU18:AU19" ca="1" si="165">IF(TODAY()-E18&gt;335,((P18+1+(LOG(J18)*4/3))*0.173)+((O18+1+(LOG(J18)*4/3))*0.12),((P18+(((TODAY()-E18)^0.5)/(336^0.5))+(LOG(J18)*4/3))*0.173)+((O18+(((TODAY()-E18)^0.5)/(336^0.5))+(LOG(J18)*4/3))*0.12))</f>
        <v>1.3168632645879756</v>
      </c>
      <c r="AV18" s="37">
        <f t="shared" ref="AV18:AV19" ca="1" si="166">AT18/2</f>
        <v>0.20911920735076445</v>
      </c>
      <c r="AW18" s="37">
        <f t="shared" ref="AW18:AW19" ca="1" si="167">IF(TODAY()-E18&gt;335,((L18+1+(LOG(J18)*4/3))*0.189),((L18+(((TODAY()-E18)^0.5)/(336^0.5))+(LOG(J18)*4/3))*0.189))</f>
        <v>0.78010731060453053</v>
      </c>
      <c r="AX18" s="37">
        <f t="shared" ref="AX18:AX19" ca="1" si="168">IF(TODAY()-E18&gt;335,((L18+1+(LOG(J18)*4/3))*0.4),((L18+(((TODAY()-E18)^0.5)/(336^0.5))+(LOG(J18)*4/3))*0.4))</f>
        <v>1.6510207631841916</v>
      </c>
      <c r="AY18" s="37">
        <f t="shared" ref="AY18:AY19" ca="1" si="169">AW18/2</f>
        <v>0.39005365530226527</v>
      </c>
      <c r="AZ18" s="37">
        <f t="shared" ref="AZ18:AZ19" ca="1" si="170">IF(TODAY()-E18&gt;335,((M18+1+(LOG(J18)*4/3))*1),((M18+(((TODAY()-E18)^0.5)/(336^0.5))+(LOG(J18)*4/3))*1))</f>
        <v>2.1275519079604792</v>
      </c>
      <c r="BA18" s="37">
        <f t="shared" ref="BA18:BA19" ca="1" si="171">IF(TODAY()-E18&gt;335,((O18+1+(LOG(J18)*4/3))*0.253),((O18+(((TODAY()-E18)^0.5)/(336^0.5))+(LOG(J18)*4/3))*0.253))</f>
        <v>0.81395629938066782</v>
      </c>
      <c r="BB18" s="37">
        <f t="shared" ref="BB18:BB19" ca="1" si="172">IF(TODAY()-E18&gt;335,((P18+1+(LOG(J18)*4/3))*0.21)+((O18+1+(LOG(J18)*4/3))*0.341),((P18+(((TODAY()-E18)^0.5)/(336^0.5))+(LOG(J18)*4/3))*0.21)+((O18+(((TODAY()-E18)^0.5)/(336^0.5))+(LOG(J18)*4/3))*0.341))</f>
        <v>2.2269407679528905</v>
      </c>
      <c r="BC18" s="37">
        <f t="shared" ref="BC18:BC19" ca="1" si="173">BA18/2</f>
        <v>0.40697814969033391</v>
      </c>
      <c r="BD18" s="37">
        <f t="shared" ref="BD18:BD19" ca="1" si="174">IF(TODAY()-E18&gt;335,((L18+1+(LOG(J18)*4/3))*0.291),((L18+(((TODAY()-E18)^0.5)/(336^0.5))+(LOG(J18)*4/3))*0.291))</f>
        <v>1.2011176052164994</v>
      </c>
      <c r="BE18" s="37">
        <f t="shared" ref="BE18:BE19" ca="1" si="175">IF(TODAY()-E18&gt;335,((L18+1+(LOG(J18)*4/3))*0.348),((L18+(((TODAY()-E18)^0.5)/(336^0.5))+(LOG(J18)*4/3))*0.348))</f>
        <v>1.4363880639702464</v>
      </c>
      <c r="BF18" s="37">
        <f t="shared" ref="BF18:BF19" ca="1" si="176">IF(TODAY()-E18&gt;335,((M18+1+(LOG(J18)*4/3))*0.881),((M18+(((TODAY()-E18)^0.5)/(336^0.5))+(LOG(J18)*4/3))*0.881))</f>
        <v>1.8743732309131822</v>
      </c>
      <c r="BG18" s="37">
        <f t="shared" ref="BG18:BG19" ca="1" si="177">IF(TODAY()-E18&gt;335,((N18+1+(LOG(J18)*4/3))*0.574)+((O18+1+(LOG(J18)*4/3))*0.315),((N18+(((TODAY()-E18)^0.5)/(336^0.5))+(LOG(J18)*4/3))*0.574)+((O18+(((TODAY()-E18)^0.5)/(336^0.5))+(LOG(J18)*4/3))*0.315))</f>
        <v>2.2346386461768661</v>
      </c>
      <c r="BH18" s="37">
        <f t="shared" ref="BH18:BH19" ca="1" si="178">IF(TODAY()-E18&gt;335,((O18+1+(LOG(J18)*4/3))*0.241),((O18+(((TODAY()-E18)^0.5)/(336^0.5))+(LOG(J18)*4/3))*0.241))</f>
        <v>0.77534967648514197</v>
      </c>
      <c r="BI18" s="37">
        <f t="shared" ref="BI18:BI19" ca="1" si="179">IF(TODAY()-E18&gt;335,((L18+1+(LOG(J18)*4/3))*0.485),((L18+(((TODAY()-E18)^0.5)/(336^0.5))+(LOG(J18)*4/3))*0.485))</f>
        <v>2.0018626753608322</v>
      </c>
      <c r="BJ18" s="37">
        <f t="shared" ref="BJ18:BJ19" ca="1" si="180">IF(TODAY()-E18&gt;335,((L18+1+(LOG(J18)*4/3))*0.264),((L18+(((TODAY()-E18)^0.5)/(336^0.5))+(LOG(J18)*4/3))*0.264))</f>
        <v>1.0896737037015665</v>
      </c>
      <c r="BK18" s="37">
        <f t="shared" ref="BK18:BK19" ca="1" si="181">IF(TODAY()-E18&gt;335,((M18+1+(LOG(J18)*4/3))*0.381),((M18+(((TODAY()-E18)^0.5)/(336^0.5))+(LOG(J18)*4/3))*0.381))</f>
        <v>0.81059727693294259</v>
      </c>
      <c r="BL18" s="37">
        <f t="shared" ref="BL18:BL19" ca="1" si="182">IF(TODAY()-E18&gt;335,((N18+1+(LOG(J18)*4/3))*0.673)+((O18+1+(LOG(J18)*4/3))*0.201),((N18+(((TODAY()-E18)^0.5)/(336^0.5))+(LOG(J18)*4/3))*0.673)+((O18+(((TODAY()-E18)^0.5)/(336^0.5))+(LOG(J18)*4/3))*0.201))</f>
        <v>2.0785033675574587</v>
      </c>
      <c r="BM18" s="37">
        <f t="shared" ref="BM18:BM19" ca="1" si="183">IF(TODAY()-E18&gt;335,((O18+1+(LOG(J18)*4/3))*0.052),((O18+(((TODAY()-E18)^0.5)/(336^0.5))+(LOG(J18)*4/3))*0.052))</f>
        <v>0.16729536588061156</v>
      </c>
      <c r="BN18" s="37">
        <f t="shared" ref="BN18:BN19" ca="1" si="184">IF(TODAY()-E18&gt;335,((L18+1+(LOG(J18)*4/3))*0.18),((L18+(((TODAY()-E18)^0.5)/(336^0.5))+(LOG(J18)*4/3))*0.18))</f>
        <v>0.74295934343288617</v>
      </c>
      <c r="BO18" s="37">
        <f t="shared" ref="BO18:BO19" ca="1" si="185">IF(TODAY()-E18&gt;335,((L18+1+(LOG(J18)*4/3))*0.068),((L18+(((TODAY()-E18)^0.5)/(336^0.5))+(LOG(J18)*4/3))*0.068))</f>
        <v>0.2806735297413126</v>
      </c>
      <c r="BP18" s="37">
        <f t="shared" ref="BP18:BP19" ca="1" si="186">IF(TODAY()-E18&gt;335,((M18+1+(LOG(J18)*4/3))*0.305),((M18+(((TODAY()-E18)^0.5)/(336^0.5))+(LOG(J18)*4/3))*0.305))</f>
        <v>0.64890333192794614</v>
      </c>
      <c r="BQ18" s="37">
        <f t="shared" ref="BQ18:BQ19" ca="1" si="187">IF(TODAY()-E18&gt;335,((N18+1+(LOG(J18)*4/3))*1)+((O18+1+(LOG(J18)*4/3))*0.286),((N18+(((TODAY()-E18)^0.5)/(336^0.5))+(LOG(J18)*4/3))*1)+((O18+(((TODAY()-E18)^0.5)/(336^0.5))+(LOG(J18)*4/3))*0.286))</f>
        <v>3.0476764203038424</v>
      </c>
      <c r="BR18" s="37">
        <f t="shared" ref="BR18:BR19" ca="1" si="188">IF(TODAY()-E18&gt;335,((O18+1+(LOG(J18)*4/3))*0.135),((O18+(((TODAY()-E18)^0.5)/(336^0.5))+(LOG(J18)*4/3))*0.135))</f>
        <v>0.43432450757466468</v>
      </c>
      <c r="BS18" s="37">
        <f t="shared" ref="BS18:BS19" ca="1" si="189">IF(TODAY()-E18&gt;335,((L18+1+(LOG(J18)*4/3))*0.284),((L18+(((TODAY()-E18)^0.5)/(336^0.5))+(LOG(J18)*4/3))*0.284))</f>
        <v>1.1722247418607759</v>
      </c>
      <c r="BT18" s="37">
        <f t="shared" ref="BT18:BT19" ca="1" si="190">IF(TODAY()-E18&gt;335,((L18+1+(LOG(J18)*4/3))*0.244),((L18+(((TODAY()-E18)^0.5)/(336^0.5))+(LOG(J18)*4/3))*0.244))</f>
        <v>1.0071226655423569</v>
      </c>
      <c r="BU18" s="37">
        <f t="shared" ref="BU18:BU19" ca="1" si="191">IF(TODAY()-E18&gt;335,((M18+1+(LOG(J18)*4/3))*0.631),((M18+(((TODAY()-E18)^0.5)/(336^0.5))+(LOG(J18)*4/3))*0.631))</f>
        <v>1.3424852539230625</v>
      </c>
      <c r="BV18" s="37">
        <f t="shared" ref="BV18:BV19" ca="1" si="192">IF(TODAY()-E18&gt;335,((N18+1+(LOG(J18)*4/3))*0.702)+((O18+1+(LOG(J18)*4/3))*0.193),((N18+(((TODAY()-E18)^0.5)/(336^0.5))+(LOG(J18)*4/3))*0.702)+((O18+(((TODAY()-E18)^0.5)/(336^0.5))+(LOG(J18)*4/3))*0.193))</f>
        <v>2.1144646242912954</v>
      </c>
      <c r="BW18" s="37">
        <f t="shared" ref="BW18:BW19" ca="1" si="193">IF(TODAY()-E18&gt;335,((O18+1+(LOG(J18)*4/3))*0.148),((O18+(((TODAY()-E18)^0.5)/(336^0.5))+(LOG(J18)*4/3))*0.148))</f>
        <v>0.47614834904481751</v>
      </c>
      <c r="BX18" s="37">
        <f t="shared" ref="BX18:BX19" ca="1" si="194">IF(TODAY()-E18&gt;335,((M18+1+(LOG(J18)*4/3))*0.406),((M18+(((TODAY()-E18)^0.5)/(336^0.5))+(LOG(J18)*4/3))*0.406))</f>
        <v>0.86378607463195467</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1.793973988491854</v>
      </c>
      <c r="BZ18" s="37">
        <f t="shared" ref="BZ18:BZ19" ca="1" si="196">IF(D18="TEC",IF(TODAY()-E18&gt;335,((O18+1+(LOG(J18)*4/3))*0.543)+((P18+1+(LOG(J18)*4/3))*0.583),((O18+(((TODAY()-E18)^0.5)/(336^0.5))+(LOG(J18)*4/3))*0.543)+((P18+(((TODAY()-E18)^0.5)/(336^0.5))+(LOG(J18)*4/3))*0.583)),IF(TODAY()-E18&gt;335,((O18+1+(LOG(J18)*4/3))*0.543)+((P18+1+(LOG(J18)*4/3))*0.583),((O18+(((TODAY()-E18)^0.5)/(336^0.5))+(LOG(J18)*4/3))*0.543)+((P18+(((TODAY()-E18)^0.5)/(336^0.5))+(LOG(J18)*4/3))*0.583)))</f>
        <v>4.8836818928079433</v>
      </c>
      <c r="CA18" s="37">
        <f t="shared" ref="CA18:CA19" ca="1" si="197">BY18</f>
        <v>1.793973988491854</v>
      </c>
      <c r="CB18" s="37">
        <f t="shared" ref="CB18:CB19" ca="1" si="198">IF(TODAY()-E18&gt;335,((P18+1+(LOG(J18)*4/3))*0.26)+((N18+1+(LOG(J18)*4/3))*0.221)+((O18+1+(LOG(J18)*4/3))*0.142),((P18+(((TODAY()-E18)^0.5)/(336^0.5))+(LOG(J18)*4/3))*0.26)+((N18+(((TODAY()-E18)^0.5)/(336^0.5))+(LOG(J18)*4/3))*0.221)+((P18+(((TODAY()-E18)^0.5)/(336^0.5))+(LOG(J18)*4/3))*0.142))</f>
        <v>2.6330815053260448</v>
      </c>
      <c r="CC18" s="37">
        <f t="shared" ref="CC18:CC19" ca="1" si="199">IF(TODAY()-E18&gt;335,((P18+1+(LOG(J18)*4/3))*1)+((O18+1+(LOG(J18)*4/3))*0.369),((P18+(((TODAY()-E18)^0.5)/(336^0.5))+(LOG(J18)*4/3))*1)+((O18+(((TODAY()-E18)^0.5)/(336^0.5))+(LOG(J18)*4/3))*0.369))</f>
        <v>6.5674833397756727</v>
      </c>
      <c r="CD18" s="37">
        <f t="shared" ref="CD18:CD19" ca="1" si="200">CB18</f>
        <v>2.6330815053260448</v>
      </c>
      <c r="CE18" s="37">
        <f t="shared" ref="CE18:CE19" ca="1" si="201">IF(TODAY()-E18&gt;335,((M18+1+(LOG(J18)*4/3))*0.25),((M18+(((TODAY()-E18)^0.5)/(336^0.5))+(LOG(J18)*4/3))*0.25))</f>
        <v>0.5318879769901198</v>
      </c>
    </row>
    <row r="19" spans="1:83" x14ac:dyDescent="0.25">
      <c r="A19" t="e">
        <f>PLANTILLA!#REF!</f>
        <v>#REF!</v>
      </c>
      <c r="B19" t="e">
        <f>PLANTILLA!#REF!</f>
        <v>#REF!</v>
      </c>
      <c r="C19" s="33" t="e">
        <f>PLANTILLA!#REF!</f>
        <v>#REF!</v>
      </c>
      <c r="D19" s="220" t="e">
        <f>PLANTILLA!#REF!</f>
        <v>#REF!</v>
      </c>
      <c r="E19" s="30" t="e">
        <f>PLANTILLA!#REF!</f>
        <v>#REF!</v>
      </c>
      <c r="F19" s="47" t="e">
        <f>PLANTILLA!#REF!</f>
        <v>#REF!</v>
      </c>
      <c r="G19" s="48" t="e">
        <f t="shared" si="1"/>
        <v>#REF!</v>
      </c>
      <c r="H19" s="48" t="e">
        <f t="shared" si="2"/>
        <v>#REF!</v>
      </c>
      <c r="I19" s="51" t="e">
        <f t="shared" ca="1" si="3"/>
        <v>#REF!</v>
      </c>
      <c r="J19" s="39" t="e">
        <f>PLANTILLA!#REF!</f>
        <v>#REF!</v>
      </c>
      <c r="K19" s="46" t="e">
        <f>PLANTILLA!#REF!</f>
        <v>#REF!</v>
      </c>
      <c r="L19" s="46" t="e">
        <f>PLANTILLA!#REF!</f>
        <v>#REF!</v>
      </c>
      <c r="M19" s="46" t="e">
        <f>PLANTILLA!#REF!</f>
        <v>#REF!</v>
      </c>
      <c r="N19" s="46" t="e">
        <f>PLANTILLA!#REF!</f>
        <v>#REF!</v>
      </c>
      <c r="O19" s="46" t="e">
        <f>PLANTILLA!#REF!</f>
        <v>#REF!</v>
      </c>
      <c r="P19" s="46" t="e">
        <f>PLANTILLA!#REF!</f>
        <v>#REF!</v>
      </c>
      <c r="Q19" s="46" t="e">
        <f>PLANTILLA!#REF!</f>
        <v>#REF!</v>
      </c>
      <c r="R19" s="46" t="e">
        <f t="shared" si="136"/>
        <v>#REF!</v>
      </c>
      <c r="S19" s="46" t="e">
        <f t="shared" si="137"/>
        <v>#REF!</v>
      </c>
      <c r="T19" s="46" t="e">
        <f t="shared" si="138"/>
        <v>#REF!</v>
      </c>
      <c r="U19" s="46" t="e">
        <f t="shared" ca="1" si="139"/>
        <v>#REF!</v>
      </c>
      <c r="V19" s="46" t="e">
        <f t="shared" ca="1" si="140"/>
        <v>#REF!</v>
      </c>
      <c r="W19" s="37" t="e">
        <f t="shared" ca="1" si="141"/>
        <v>#REF!</v>
      </c>
      <c r="X19" s="37" t="e">
        <f t="shared" ca="1" si="142"/>
        <v>#REF!</v>
      </c>
      <c r="Y19" s="37" t="e">
        <f t="shared" ca="1" si="143"/>
        <v>#REF!</v>
      </c>
      <c r="Z19" s="37" t="e">
        <f t="shared" ca="1" si="144"/>
        <v>#REF!</v>
      </c>
      <c r="AA19" s="37" t="e">
        <f t="shared" ca="1" si="145"/>
        <v>#REF!</v>
      </c>
      <c r="AB19" s="37" t="e">
        <f t="shared" ca="1" si="146"/>
        <v>#REF!</v>
      </c>
      <c r="AC19" s="37" t="e">
        <f t="shared" ca="1" si="147"/>
        <v>#REF!</v>
      </c>
      <c r="AD19" s="37" t="e">
        <f t="shared" ca="1" si="148"/>
        <v>#REF!</v>
      </c>
      <c r="AE19" s="37" t="e">
        <f t="shared" ca="1" si="149"/>
        <v>#REF!</v>
      </c>
      <c r="AF19" s="37" t="e">
        <f t="shared" ca="1" si="150"/>
        <v>#REF!</v>
      </c>
      <c r="AG19" s="37" t="e">
        <f t="shared" ca="1" si="151"/>
        <v>#REF!</v>
      </c>
      <c r="AH19" s="37" t="e">
        <f t="shared" ca="1" si="152"/>
        <v>#REF!</v>
      </c>
      <c r="AI19" s="37" t="e">
        <f t="shared" ca="1" si="153"/>
        <v>#REF!</v>
      </c>
      <c r="AJ19" s="37" t="e">
        <f t="shared" ca="1" si="154"/>
        <v>#REF!</v>
      </c>
      <c r="AK19" s="37" t="e">
        <f t="shared" ca="1" si="155"/>
        <v>#REF!</v>
      </c>
      <c r="AL19" s="37" t="e">
        <f t="shared" ca="1" si="156"/>
        <v>#REF!</v>
      </c>
      <c r="AM19" s="37" t="e">
        <f t="shared" ca="1" si="157"/>
        <v>#REF!</v>
      </c>
      <c r="AN19" s="37" t="e">
        <f t="shared" ca="1" si="158"/>
        <v>#REF!</v>
      </c>
      <c r="AO19" s="37" t="e">
        <f t="shared" ca="1" si="159"/>
        <v>#REF!</v>
      </c>
      <c r="AP19" s="37" t="e">
        <f t="shared" ca="1" si="160"/>
        <v>#REF!</v>
      </c>
      <c r="AQ19" s="37" t="e">
        <f t="shared" ca="1" si="161"/>
        <v>#REF!</v>
      </c>
      <c r="AR19" s="37" t="e">
        <f t="shared" ca="1" si="162"/>
        <v>#REF!</v>
      </c>
      <c r="AS19" s="37" t="e">
        <f t="shared" ca="1" si="163"/>
        <v>#REF!</v>
      </c>
      <c r="AT19" s="37" t="e">
        <f t="shared" ca="1" si="164"/>
        <v>#REF!</v>
      </c>
      <c r="AU19" s="37" t="e">
        <f t="shared" ca="1" si="165"/>
        <v>#REF!</v>
      </c>
      <c r="AV19" s="37" t="e">
        <f t="shared" ca="1" si="166"/>
        <v>#REF!</v>
      </c>
      <c r="AW19" s="37" t="e">
        <f t="shared" ca="1" si="167"/>
        <v>#REF!</v>
      </c>
      <c r="AX19" s="37" t="e">
        <f t="shared" ca="1" si="168"/>
        <v>#REF!</v>
      </c>
      <c r="AY19" s="37" t="e">
        <f t="shared" ca="1" si="169"/>
        <v>#REF!</v>
      </c>
      <c r="AZ19" s="37" t="e">
        <f t="shared" ca="1" si="170"/>
        <v>#REF!</v>
      </c>
      <c r="BA19" s="37" t="e">
        <f t="shared" ca="1" si="171"/>
        <v>#REF!</v>
      </c>
      <c r="BB19" s="37" t="e">
        <f t="shared" ca="1" si="172"/>
        <v>#REF!</v>
      </c>
      <c r="BC19" s="37" t="e">
        <f t="shared" ca="1" si="173"/>
        <v>#REF!</v>
      </c>
      <c r="BD19" s="37" t="e">
        <f t="shared" ca="1" si="174"/>
        <v>#REF!</v>
      </c>
      <c r="BE19" s="37" t="e">
        <f t="shared" ca="1" si="175"/>
        <v>#REF!</v>
      </c>
      <c r="BF19" s="37" t="e">
        <f t="shared" ca="1" si="176"/>
        <v>#REF!</v>
      </c>
      <c r="BG19" s="37" t="e">
        <f t="shared" ca="1" si="177"/>
        <v>#REF!</v>
      </c>
      <c r="BH19" s="37" t="e">
        <f t="shared" ca="1" si="178"/>
        <v>#REF!</v>
      </c>
      <c r="BI19" s="37" t="e">
        <f t="shared" ca="1" si="179"/>
        <v>#REF!</v>
      </c>
      <c r="BJ19" s="37" t="e">
        <f t="shared" ca="1" si="180"/>
        <v>#REF!</v>
      </c>
      <c r="BK19" s="37" t="e">
        <f t="shared" ca="1" si="181"/>
        <v>#REF!</v>
      </c>
      <c r="BL19" s="37" t="e">
        <f t="shared" ca="1" si="182"/>
        <v>#REF!</v>
      </c>
      <c r="BM19" s="37" t="e">
        <f t="shared" ca="1" si="183"/>
        <v>#REF!</v>
      </c>
      <c r="BN19" s="37" t="e">
        <f t="shared" ca="1" si="184"/>
        <v>#REF!</v>
      </c>
      <c r="BO19" s="37" t="e">
        <f t="shared" ca="1" si="185"/>
        <v>#REF!</v>
      </c>
      <c r="BP19" s="37" t="e">
        <f t="shared" ca="1" si="186"/>
        <v>#REF!</v>
      </c>
      <c r="BQ19" s="37" t="e">
        <f t="shared" ca="1" si="187"/>
        <v>#REF!</v>
      </c>
      <c r="BR19" s="37" t="e">
        <f t="shared" ca="1" si="188"/>
        <v>#REF!</v>
      </c>
      <c r="BS19" s="37" t="e">
        <f t="shared" ca="1" si="189"/>
        <v>#REF!</v>
      </c>
      <c r="BT19" s="37" t="e">
        <f t="shared" ca="1" si="190"/>
        <v>#REF!</v>
      </c>
      <c r="BU19" s="37" t="e">
        <f t="shared" ca="1" si="191"/>
        <v>#REF!</v>
      </c>
      <c r="BV19" s="37" t="e">
        <f t="shared" ca="1" si="192"/>
        <v>#REF!</v>
      </c>
      <c r="BW19" s="37" t="e">
        <f t="shared" ca="1" si="193"/>
        <v>#REF!</v>
      </c>
      <c r="BX19" s="37" t="e">
        <f t="shared" ca="1" si="194"/>
        <v>#REF!</v>
      </c>
      <c r="BY19" s="37" t="e">
        <f t="shared" ca="1" si="195"/>
        <v>#REF!</v>
      </c>
      <c r="BZ19" s="37" t="e">
        <f t="shared" ca="1" si="196"/>
        <v>#REF!</v>
      </c>
      <c r="CA19" s="37" t="e">
        <f t="shared" ca="1" si="197"/>
        <v>#REF!</v>
      </c>
      <c r="CB19" s="37" t="e">
        <f t="shared" ca="1" si="198"/>
        <v>#REF!</v>
      </c>
      <c r="CC19" s="37" t="e">
        <f t="shared" ca="1" si="199"/>
        <v>#REF!</v>
      </c>
      <c r="CD19" s="37" t="e">
        <f t="shared" ca="1" si="200"/>
        <v>#REF!</v>
      </c>
      <c r="CE19" s="37" t="e">
        <f t="shared" ca="1" si="201"/>
        <v>#REF!</v>
      </c>
    </row>
    <row r="20" spans="1:83" x14ac:dyDescent="0.25">
      <c r="C20" s="33"/>
      <c r="D20" s="194"/>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4"/>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5" t="s">
        <v>203</v>
      </c>
      <c r="B1" s="235"/>
      <c r="C1" s="235"/>
      <c r="D1" s="235"/>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36" t="s">
        <v>204</v>
      </c>
      <c r="B2" s="237" t="s">
        <v>205</v>
      </c>
      <c r="C2" s="237" t="s">
        <v>206</v>
      </c>
      <c r="D2" s="237" t="s">
        <v>207</v>
      </c>
      <c r="F2" s="213" t="s">
        <v>354</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36"/>
      <c r="B3" s="237"/>
      <c r="C3" s="237"/>
      <c r="D3" s="237"/>
      <c r="F3" s="213" t="s">
        <v>355</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205</v>
      </c>
      <c r="B4" s="159" t="s">
        <v>208</v>
      </c>
      <c r="C4" s="159" t="s">
        <v>209</v>
      </c>
      <c r="D4" s="159" t="s">
        <v>209</v>
      </c>
      <c r="F4" s="213" t="s">
        <v>356</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206</v>
      </c>
      <c r="B5" s="161" t="s">
        <v>210</v>
      </c>
      <c r="C5" s="161" t="s">
        <v>211</v>
      </c>
      <c r="D5" s="161" t="s">
        <v>209</v>
      </c>
      <c r="F5" s="213" t="s">
        <v>357</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207</v>
      </c>
      <c r="B6" s="159" t="s">
        <v>212</v>
      </c>
      <c r="C6" s="159" t="s">
        <v>213</v>
      </c>
      <c r="D6" s="159" t="s">
        <v>214</v>
      </c>
      <c r="F6" s="213" t="s">
        <v>359</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219</v>
      </c>
      <c r="B8" s="159" t="s">
        <v>220</v>
      </c>
      <c r="C8" s="159" t="s">
        <v>221</v>
      </c>
      <c r="D8" s="159" t="s">
        <v>222</v>
      </c>
      <c r="F8" s="213" t="s">
        <v>358</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223</v>
      </c>
      <c r="B9" s="161" t="s">
        <v>224</v>
      </c>
      <c r="C9" s="161" t="s">
        <v>225</v>
      </c>
      <c r="D9" s="161" t="s">
        <v>226</v>
      </c>
      <c r="F9" s="213" t="s">
        <v>360</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227</v>
      </c>
      <c r="B10" s="159" t="s">
        <v>228</v>
      </c>
      <c r="C10" s="159" t="s">
        <v>229</v>
      </c>
      <c r="D10" s="159" t="s">
        <v>230</v>
      </c>
      <c r="F10" s="213" t="s">
        <v>361</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231</v>
      </c>
      <c r="B11" s="161" t="s">
        <v>232</v>
      </c>
      <c r="C11" s="161" t="s">
        <v>233</v>
      </c>
      <c r="D11" s="161" t="s">
        <v>234</v>
      </c>
      <c r="F11" s="213" t="s">
        <v>362</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235</v>
      </c>
      <c r="B12" s="159" t="s">
        <v>236</v>
      </c>
      <c r="C12" s="159" t="s">
        <v>237</v>
      </c>
      <c r="D12" s="159" t="s">
        <v>238</v>
      </c>
      <c r="F12" s="213" t="s">
        <v>363</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239</v>
      </c>
      <c r="B13" s="161" t="s">
        <v>240</v>
      </c>
      <c r="C13" s="161" t="s">
        <v>241</v>
      </c>
      <c r="D13" s="161" t="s">
        <v>242</v>
      </c>
      <c r="F13" s="213" t="s">
        <v>372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1"/>
  <sheetViews>
    <sheetView zoomScaleNormal="100" workbookViewId="0">
      <selection activeCell="J27" sqref="J27"/>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38"/>
      <c r="U1" s="238"/>
      <c r="V1" s="238"/>
      <c r="W1" s="139"/>
      <c r="X1" s="238" t="s">
        <v>169</v>
      </c>
      <c r="Y1" s="238"/>
      <c r="Z1" s="114">
        <f>T2+U2+V2+W2+X2+Y2+Z2</f>
        <v>40</v>
      </c>
      <c r="AA1" s="32">
        <f>Z1/16</f>
        <v>2.5</v>
      </c>
      <c r="AC1" s="65"/>
      <c r="AD1" s="65"/>
      <c r="AE1" s="65"/>
      <c r="AF1" s="65"/>
      <c r="AG1" s="65"/>
      <c r="AH1" s="65"/>
      <c r="AI1" s="65"/>
      <c r="AJ1" s="65"/>
    </row>
    <row r="2" spans="1:36" x14ac:dyDescent="0.25">
      <c r="A2" s="140"/>
      <c r="B2" s="140"/>
      <c r="C2" s="141"/>
      <c r="D2" s="142">
        <f ca="1">TODAY()</f>
        <v>43140</v>
      </c>
      <c r="G2" s="65"/>
      <c r="H2" s="143"/>
      <c r="I2" s="143"/>
      <c r="J2" s="144"/>
      <c r="K2" s="144"/>
      <c r="L2" s="143"/>
      <c r="M2" s="145"/>
      <c r="N2" s="143"/>
      <c r="O2" s="143"/>
      <c r="P2" s="143"/>
      <c r="Q2" s="143"/>
      <c r="R2" s="143"/>
      <c r="S2" s="143"/>
      <c r="T2" s="148">
        <v>0</v>
      </c>
      <c r="U2" s="149">
        <v>0</v>
      </c>
      <c r="V2" s="149">
        <v>0</v>
      </c>
      <c r="W2" s="148">
        <v>29</v>
      </c>
      <c r="X2" s="150">
        <v>-1</v>
      </c>
      <c r="Y2" s="150">
        <v>12</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PLANTILLA!A4</f>
        <v>#1</v>
      </c>
      <c r="B4" s="15" t="str">
        <f>PLANTILLA!B4</f>
        <v>CEN</v>
      </c>
      <c r="C4" s="121">
        <f ca="1">PLANTILLA!C4</f>
        <v>10.580357142857142</v>
      </c>
      <c r="D4" s="28" t="str">
        <f>PLANTILLA!D4</f>
        <v>Alberto Ercilla</v>
      </c>
      <c r="E4" s="16">
        <f>PLANTILLA!E4</f>
        <v>22</v>
      </c>
      <c r="F4" s="17">
        <f ca="1">PLANTILLA!F4</f>
        <v>47</v>
      </c>
      <c r="G4" s="18" t="str">
        <f>PLANTILLA!G4</f>
        <v>IMP</v>
      </c>
      <c r="H4" s="4">
        <f>PLANTILLA!H4</f>
        <v>4</v>
      </c>
      <c r="I4" s="27">
        <f>PLANTILLA!I4</f>
        <v>2.4</v>
      </c>
      <c r="J4" s="19">
        <f>PLANTILLA!O4</f>
        <v>6</v>
      </c>
      <c r="K4" s="6">
        <f t="shared" ref="K4" si="0">(H4)*(H4)*(I4)</f>
        <v>38.4</v>
      </c>
      <c r="L4" s="6">
        <f t="shared" ref="L4" si="1">(H4+1)*(H4+1)*I4</f>
        <v>60</v>
      </c>
      <c r="M4" s="21">
        <f>PLANTILLA!X4</f>
        <v>0</v>
      </c>
      <c r="N4" s="21">
        <f>PLANTILLA!Y4</f>
        <v>7</v>
      </c>
      <c r="O4" s="21">
        <f>PLANTILLA!Z4</f>
        <v>2</v>
      </c>
      <c r="P4" s="21">
        <f>PLANTILLA!AA4</f>
        <v>5</v>
      </c>
      <c r="Q4" s="21">
        <f>PLANTILLA!AB4</f>
        <v>7.0305555555555559</v>
      </c>
      <c r="R4" s="21">
        <f>PLANTILLA!AC4</f>
        <v>5.2380952380952372</v>
      </c>
      <c r="S4" s="21">
        <f>PLANTILLA!AD4</f>
        <v>4</v>
      </c>
      <c r="T4" s="155">
        <v>0</v>
      </c>
      <c r="U4" s="155">
        <v>0</v>
      </c>
      <c r="V4" s="155">
        <v>0</v>
      </c>
      <c r="W4" s="155">
        <v>0.13</v>
      </c>
      <c r="X4" s="155">
        <v>0</v>
      </c>
      <c r="Y4" s="155">
        <f t="shared" ref="Y4:Y18" si="2">0.17</f>
        <v>0.17</v>
      </c>
      <c r="Z4" s="155">
        <v>0</v>
      </c>
      <c r="AA4" s="153">
        <v>20</v>
      </c>
      <c r="AB4" s="154">
        <v>56</v>
      </c>
      <c r="AC4" s="25">
        <f t="shared" ref="AC4:AC18" si="3">I4+$AC$2</f>
        <v>2.4</v>
      </c>
      <c r="AD4" s="156">
        <f>M4</f>
        <v>0</v>
      </c>
      <c r="AE4" s="156">
        <f>N4</f>
        <v>7</v>
      </c>
      <c r="AF4" s="156">
        <f>O4</f>
        <v>2</v>
      </c>
      <c r="AG4" s="156">
        <v>5</v>
      </c>
      <c r="AH4" s="156">
        <f>Q4</f>
        <v>7.0305555555555559</v>
      </c>
      <c r="AI4" s="156">
        <f>4+4/17</f>
        <v>4.2352941176470589</v>
      </c>
      <c r="AJ4" s="156">
        <f>S4+(Z$2/7)</f>
        <v>4</v>
      </c>
    </row>
    <row r="5" spans="1:36" ht="16.5" customHeight="1" x14ac:dyDescent="0.25">
      <c r="A5" s="15" t="str">
        <f>PLANTILLA!A5</f>
        <v>#28</v>
      </c>
      <c r="B5" s="15" t="str">
        <f>PLANTILLA!B5</f>
        <v>CEN</v>
      </c>
      <c r="C5" s="121">
        <f ca="1">PLANTILLA!C5</f>
        <v>15.098214285714286</v>
      </c>
      <c r="D5" s="28" t="str">
        <f>PLANTILLA!D5</f>
        <v>Marc Dolz</v>
      </c>
      <c r="E5" s="16">
        <f>PLANTILLA!E5</f>
        <v>17</v>
      </c>
      <c r="F5" s="17">
        <f ca="1">PLANTILLA!F5</f>
        <v>101</v>
      </c>
      <c r="G5" s="18" t="str">
        <f>PLANTILLA!G5</f>
        <v>POT</v>
      </c>
      <c r="H5" s="4">
        <f>PLANTILLA!H5</f>
        <v>3</v>
      </c>
      <c r="I5" s="27">
        <f>PLANTILLA!I5</f>
        <v>1</v>
      </c>
      <c r="J5" s="19">
        <f>PLANTILLA!O5</f>
        <v>4</v>
      </c>
      <c r="K5" s="6">
        <f t="shared" ref="K5:K18" si="4">(H5)*(H5)*(I5)</f>
        <v>9</v>
      </c>
      <c r="L5" s="6">
        <f t="shared" ref="L5:L18" si="5">(H5+1)*(H5+1)*I5</f>
        <v>16</v>
      </c>
      <c r="M5" s="21">
        <f>PLANTILLA!X5</f>
        <v>0</v>
      </c>
      <c r="N5" s="21">
        <f>PLANTILLA!Y5</f>
        <v>4</v>
      </c>
      <c r="O5" s="21">
        <f>PLANTILLA!Z5</f>
        <v>4</v>
      </c>
      <c r="P5" s="21">
        <f>PLANTILLA!AA5</f>
        <v>3</v>
      </c>
      <c r="Q5" s="21">
        <f>PLANTILLA!AB5</f>
        <v>4.2926666666666664</v>
      </c>
      <c r="R5" s="21">
        <f>PLANTILLA!AC5</f>
        <v>3.2000000000000006</v>
      </c>
      <c r="S5" s="21">
        <f>PLANTILLA!AD5</f>
        <v>0.4</v>
      </c>
      <c r="T5" s="155">
        <v>0</v>
      </c>
      <c r="U5" s="155">
        <v>0</v>
      </c>
      <c r="V5" s="155">
        <v>0</v>
      </c>
      <c r="W5" s="155">
        <v>1</v>
      </c>
      <c r="X5" s="155">
        <v>0</v>
      </c>
      <c r="Y5" s="155">
        <v>1</v>
      </c>
      <c r="Z5" s="155">
        <v>0</v>
      </c>
      <c r="AA5" s="153">
        <v>20</v>
      </c>
      <c r="AB5" s="154">
        <v>59</v>
      </c>
      <c r="AC5" s="25">
        <f t="shared" si="3"/>
        <v>1</v>
      </c>
      <c r="AD5" s="156">
        <f t="shared" ref="AD5:AD18" si="6">M5</f>
        <v>0</v>
      </c>
      <c r="AE5" s="156">
        <f t="shared" ref="AE5:AE18" si="7">N5</f>
        <v>4</v>
      </c>
      <c r="AF5" s="156">
        <f t="shared" ref="AF5:AF18" si="8">O5</f>
        <v>4</v>
      </c>
      <c r="AG5" s="156">
        <f>12+1/5</f>
        <v>12.2</v>
      </c>
      <c r="AH5" s="156">
        <f>Q5+(X$2/16)</f>
        <v>4.2301666666666664</v>
      </c>
      <c r="AI5" s="156">
        <v>8</v>
      </c>
      <c r="AJ5" s="156">
        <f>S5+(Z$2/4)</f>
        <v>0.4</v>
      </c>
    </row>
    <row r="6" spans="1:36" ht="16.5" customHeight="1" x14ac:dyDescent="0.25">
      <c r="A6" s="15" t="str">
        <f>PLANTILLA!A6</f>
        <v>#4</v>
      </c>
      <c r="B6" s="15" t="str">
        <f>PLANTILLA!B6</f>
        <v>CEN</v>
      </c>
      <c r="C6" s="121">
        <f ca="1">PLANTILLA!C6</f>
        <v>15.571428571428571</v>
      </c>
      <c r="D6" s="28" t="str">
        <f>PLANTILLA!D6</f>
        <v>Manuel Parejo</v>
      </c>
      <c r="E6" s="16">
        <f>PLANTILLA!E6</f>
        <v>17</v>
      </c>
      <c r="F6" s="17">
        <f ca="1">PLANTILLA!F6</f>
        <v>48</v>
      </c>
      <c r="G6" s="18">
        <f>PLANTILLA!G6</f>
        <v>0</v>
      </c>
      <c r="H6" s="4">
        <f>PLANTILLA!H6</f>
        <v>1</v>
      </c>
      <c r="I6" s="27">
        <f>PLANTILLA!I6</f>
        <v>1.3</v>
      </c>
      <c r="J6" s="19">
        <f>PLANTILLA!O6</f>
        <v>3.8</v>
      </c>
      <c r="K6" s="6">
        <f t="shared" si="4"/>
        <v>1.3</v>
      </c>
      <c r="L6" s="6">
        <f t="shared" si="5"/>
        <v>5.2</v>
      </c>
      <c r="M6" s="21">
        <f>PLANTILLA!X6</f>
        <v>0</v>
      </c>
      <c r="N6" s="21">
        <f>PLANTILLA!Y6</f>
        <v>5</v>
      </c>
      <c r="O6" s="21">
        <f>PLANTILLA!Z6</f>
        <v>6.7</v>
      </c>
      <c r="P6" s="21">
        <f>PLANTILLA!AA6</f>
        <v>3</v>
      </c>
      <c r="Q6" s="21">
        <f>PLANTILLA!AB6</f>
        <v>3</v>
      </c>
      <c r="R6" s="21">
        <f>PLANTILLA!AC6</f>
        <v>3.3259259259259268</v>
      </c>
      <c r="S6" s="21">
        <f>PLANTILLA!AD6</f>
        <v>2</v>
      </c>
      <c r="T6" s="155">
        <v>0</v>
      </c>
      <c r="U6" s="155">
        <v>0</v>
      </c>
      <c r="V6" s="155">
        <v>0</v>
      </c>
      <c r="W6" s="155">
        <v>1</v>
      </c>
      <c r="X6" s="155">
        <v>0</v>
      </c>
      <c r="Y6" s="155">
        <v>1</v>
      </c>
      <c r="Z6" s="155">
        <v>0</v>
      </c>
      <c r="AA6" s="153">
        <v>20</v>
      </c>
      <c r="AB6" s="154">
        <v>69</v>
      </c>
      <c r="AC6" s="25">
        <f t="shared" si="3"/>
        <v>1.3</v>
      </c>
      <c r="AD6" s="156">
        <f t="shared" si="6"/>
        <v>0</v>
      </c>
      <c r="AE6" s="156">
        <f t="shared" si="7"/>
        <v>5</v>
      </c>
      <c r="AF6" s="156">
        <f t="shared" si="8"/>
        <v>6.7</v>
      </c>
      <c r="AG6" s="156">
        <f>13+1/6</f>
        <v>13.166666666666666</v>
      </c>
      <c r="AH6" s="156">
        <f>Q6+(X$2/7)</f>
        <v>2.8571428571428572</v>
      </c>
      <c r="AI6" s="156">
        <v>9</v>
      </c>
      <c r="AJ6" s="156">
        <f>S6+(Z$2/3)</f>
        <v>2</v>
      </c>
    </row>
    <row r="7" spans="1:36" ht="16.5" customHeight="1" x14ac:dyDescent="0.25">
      <c r="A7" s="15" t="str">
        <f>PLANTILLA!A7</f>
        <v>#5</v>
      </c>
      <c r="B7" s="15" t="str">
        <f>PLANTILLA!B7</f>
        <v>LAT</v>
      </c>
      <c r="C7" s="121">
        <f ca="1">PLANTILLA!C7</f>
        <v>15.071428571428571</v>
      </c>
      <c r="D7" s="28" t="str">
        <f>PLANTILLA!D7</f>
        <v>Valeri Gomis</v>
      </c>
      <c r="E7" s="16">
        <f>PLANTILLA!E7</f>
        <v>17</v>
      </c>
      <c r="F7" s="17">
        <f ca="1">PLANTILLA!F7</f>
        <v>104</v>
      </c>
      <c r="G7" s="18" t="str">
        <f>PLANTILLA!G7</f>
        <v>IMP</v>
      </c>
      <c r="H7" s="4">
        <f>PLANTILLA!H7</f>
        <v>6</v>
      </c>
      <c r="I7" s="27">
        <f>PLANTILLA!I7</f>
        <v>1.5</v>
      </c>
      <c r="J7" s="19">
        <f>PLANTILLA!O7</f>
        <v>5</v>
      </c>
      <c r="K7" s="6">
        <f t="shared" si="4"/>
        <v>54</v>
      </c>
      <c r="L7" s="6">
        <f t="shared" si="5"/>
        <v>73.5</v>
      </c>
      <c r="M7" s="21">
        <f>PLANTILLA!X7</f>
        <v>0</v>
      </c>
      <c r="N7" s="21">
        <f>PLANTILLA!Y7</f>
        <v>6</v>
      </c>
      <c r="O7" s="21">
        <f>PLANTILLA!Z7</f>
        <v>3</v>
      </c>
      <c r="P7" s="21">
        <f>PLANTILLA!AA7</f>
        <v>3</v>
      </c>
      <c r="Q7" s="21">
        <f>PLANTILLA!AB7</f>
        <v>6.0000000000000009</v>
      </c>
      <c r="R7" s="21">
        <f>PLANTILLA!AC7</f>
        <v>5.33</v>
      </c>
      <c r="S7" s="21">
        <f>PLANTILLA!AD7</f>
        <v>3</v>
      </c>
      <c r="T7" s="155">
        <v>0</v>
      </c>
      <c r="U7" s="155">
        <v>0</v>
      </c>
      <c r="V7" s="155">
        <v>0</v>
      </c>
      <c r="W7" s="155">
        <v>0.13</v>
      </c>
      <c r="X7" s="155">
        <v>0</v>
      </c>
      <c r="Y7" s="155">
        <v>0.17</v>
      </c>
      <c r="Z7" s="155">
        <v>0</v>
      </c>
      <c r="AA7" s="153">
        <v>20</v>
      </c>
      <c r="AB7" s="154">
        <v>103</v>
      </c>
      <c r="AC7" s="25">
        <f t="shared" si="3"/>
        <v>1.5</v>
      </c>
      <c r="AD7" s="156">
        <f t="shared" si="6"/>
        <v>0</v>
      </c>
      <c r="AE7" s="156">
        <f t="shared" si="7"/>
        <v>6</v>
      </c>
      <c r="AF7" s="156">
        <f t="shared" si="8"/>
        <v>3</v>
      </c>
      <c r="AG7" s="156">
        <f>5+7/17</f>
        <v>5.4117647058823533</v>
      </c>
      <c r="AH7" s="156">
        <f>Q7+(X$2/6)</f>
        <v>5.8333333333333339</v>
      </c>
      <c r="AI7" s="156">
        <f>4+4/17</f>
        <v>4.2352941176470589</v>
      </c>
      <c r="AJ7" s="156">
        <f>S7+(Z$2/2.5)</f>
        <v>3</v>
      </c>
    </row>
    <row r="8" spans="1:36" ht="16.5" customHeight="1" x14ac:dyDescent="0.25">
      <c r="A8" s="15" t="str">
        <f>PLANTILLA!A8</f>
        <v>#6</v>
      </c>
      <c r="B8" s="15" t="str">
        <f>PLANTILLA!B8</f>
        <v>LAT</v>
      </c>
      <c r="C8" s="121">
        <f ca="1">PLANTILLA!C8</f>
        <v>14.982142857142858</v>
      </c>
      <c r="D8" s="28" t="str">
        <f>PLANTILLA!D8</f>
        <v>J. G. de Minaya</v>
      </c>
      <c r="E8" s="16">
        <f>PLANTILLA!E8</f>
        <v>18</v>
      </c>
      <c r="F8" s="17">
        <f ca="1">PLANTILLA!F8</f>
        <v>2</v>
      </c>
      <c r="G8" s="18" t="str">
        <f>PLANTILLA!G8</f>
        <v>TEC</v>
      </c>
      <c r="H8" s="4">
        <f>PLANTILLA!H8</f>
        <v>0</v>
      </c>
      <c r="I8" s="27">
        <f>PLANTILLA!I8</f>
        <v>1.7</v>
      </c>
      <c r="J8" s="19">
        <f>PLANTILLA!O8</f>
        <v>3.5</v>
      </c>
      <c r="K8" s="6">
        <f t="shared" si="4"/>
        <v>0</v>
      </c>
      <c r="L8" s="6">
        <f t="shared" si="5"/>
        <v>1.7</v>
      </c>
      <c r="M8" s="21">
        <f>PLANTILLA!X8</f>
        <v>0</v>
      </c>
      <c r="N8" s="21">
        <f>PLANTILLA!Y8</f>
        <v>6</v>
      </c>
      <c r="O8" s="21">
        <f>PLANTILLA!Z8</f>
        <v>5</v>
      </c>
      <c r="P8" s="21">
        <f>PLANTILLA!AA8</f>
        <v>6</v>
      </c>
      <c r="Q8" s="21">
        <f>PLANTILLA!AB8</f>
        <v>6.2</v>
      </c>
      <c r="R8" s="21">
        <f>PLANTILLA!AC8</f>
        <v>6.5</v>
      </c>
      <c r="S8" s="21">
        <f>PLANTILLA!AD8</f>
        <v>0</v>
      </c>
      <c r="T8" s="155">
        <v>0</v>
      </c>
      <c r="U8" s="155">
        <v>0</v>
      </c>
      <c r="V8" s="155">
        <v>0</v>
      </c>
      <c r="W8" s="155">
        <v>0.13</v>
      </c>
      <c r="X8" s="155">
        <v>0</v>
      </c>
      <c r="Y8" s="155">
        <f t="shared" si="2"/>
        <v>0.17</v>
      </c>
      <c r="Z8" s="155">
        <v>0</v>
      </c>
      <c r="AA8" s="153">
        <v>20</v>
      </c>
      <c r="AB8" s="154">
        <v>55</v>
      </c>
      <c r="AC8" s="25">
        <f t="shared" si="3"/>
        <v>1.7</v>
      </c>
      <c r="AD8" s="156">
        <f t="shared" si="6"/>
        <v>0</v>
      </c>
      <c r="AE8" s="156">
        <f t="shared" si="7"/>
        <v>6</v>
      </c>
      <c r="AF8" s="156">
        <f t="shared" si="8"/>
        <v>5</v>
      </c>
      <c r="AG8" s="156">
        <f>5+14/18</f>
        <v>5.7777777777777777</v>
      </c>
      <c r="AH8" s="156">
        <f>Q8+(X$2/14)</f>
        <v>6.128571428571429</v>
      </c>
      <c r="AI8" s="156">
        <f>4+4/17</f>
        <v>4.2352941176470589</v>
      </c>
      <c r="AJ8" s="156">
        <f>S8+(Z$2/1)</f>
        <v>0</v>
      </c>
    </row>
    <row r="9" spans="1:36" ht="16.5" customHeight="1" x14ac:dyDescent="0.25">
      <c r="A9" s="15" t="str">
        <f>PLANTILLA!A9</f>
        <v>#20</v>
      </c>
      <c r="B9" s="15" t="str">
        <f>PLANTILLA!B9</f>
        <v>LAT</v>
      </c>
      <c r="C9" s="121">
        <f ca="1">PLANTILLA!C9</f>
        <v>14.678571428571429</v>
      </c>
      <c r="D9" s="28" t="str">
        <f>PLANTILLA!D9</f>
        <v>Roberto Montero</v>
      </c>
      <c r="E9" s="16">
        <f>PLANTILLA!E9</f>
        <v>18</v>
      </c>
      <c r="F9" s="17">
        <f ca="1">PLANTILLA!F9</f>
        <v>36</v>
      </c>
      <c r="G9" s="18" t="str">
        <f>PLANTILLA!G9</f>
        <v>TEC</v>
      </c>
      <c r="H9" s="4">
        <f>PLANTILLA!H9</f>
        <v>2</v>
      </c>
      <c r="I9" s="27">
        <f>PLANTILLA!I9</f>
        <v>0.5</v>
      </c>
      <c r="J9" s="19">
        <f>PLANTILLA!O9</f>
        <v>5.4</v>
      </c>
      <c r="K9" s="6">
        <f t="shared" si="4"/>
        <v>2</v>
      </c>
      <c r="L9" s="6">
        <f t="shared" si="5"/>
        <v>4.5</v>
      </c>
      <c r="M9" s="21">
        <f>PLANTILLA!X9</f>
        <v>0</v>
      </c>
      <c r="N9" s="21">
        <f>PLANTILLA!Y9</f>
        <v>6</v>
      </c>
      <c r="O9" s="21">
        <f>PLANTILLA!Z9</f>
        <v>4</v>
      </c>
      <c r="P9" s="21">
        <f>PLANTILLA!AA9</f>
        <v>4</v>
      </c>
      <c r="Q9" s="21">
        <f>PLANTILLA!AB9</f>
        <v>3.5528</v>
      </c>
      <c r="R9" s="21">
        <f>PLANTILLA!AC9</f>
        <v>4.0000000000000009</v>
      </c>
      <c r="S9" s="21">
        <f>PLANTILLA!AD9</f>
        <v>6</v>
      </c>
      <c r="T9" s="155">
        <v>0</v>
      </c>
      <c r="U9" s="155">
        <v>0</v>
      </c>
      <c r="V9" s="155">
        <v>0</v>
      </c>
      <c r="W9" s="155">
        <v>0.5</v>
      </c>
      <c r="X9" s="155">
        <v>0</v>
      </c>
      <c r="Y9" s="155">
        <v>1</v>
      </c>
      <c r="Z9" s="155">
        <v>0</v>
      </c>
      <c r="AA9" s="153">
        <v>20</v>
      </c>
      <c r="AB9" s="154">
        <v>96</v>
      </c>
      <c r="AC9" s="25">
        <f t="shared" si="3"/>
        <v>0.5</v>
      </c>
      <c r="AD9" s="156">
        <f t="shared" si="6"/>
        <v>0</v>
      </c>
      <c r="AE9" s="156">
        <f t="shared" si="7"/>
        <v>6</v>
      </c>
      <c r="AF9" s="156">
        <f t="shared" si="8"/>
        <v>4</v>
      </c>
      <c r="AG9" s="156">
        <v>9</v>
      </c>
      <c r="AH9" s="156">
        <f>Q9+(X$2/5)</f>
        <v>3.3527999999999998</v>
      </c>
      <c r="AI9" s="156">
        <v>9</v>
      </c>
      <c r="AJ9" s="156">
        <f>S9+(Z$2/1)</f>
        <v>6</v>
      </c>
    </row>
    <row r="10" spans="1:36" ht="16.5" customHeight="1" x14ac:dyDescent="0.25">
      <c r="A10" s="15" t="str">
        <f>PLANTILLA!A10</f>
        <v>#23</v>
      </c>
      <c r="B10" s="15" t="str">
        <f>PLANTILLA!B10</f>
        <v>LAT</v>
      </c>
      <c r="C10" s="121">
        <f ca="1">PLANTILLA!C10</f>
        <v>15.107142857142858</v>
      </c>
      <c r="D10" s="28" t="str">
        <f>PLANTILLA!D10</f>
        <v>Eckardt Hägerling</v>
      </c>
      <c r="E10" s="16">
        <f>PLANTILLA!E10</f>
        <v>17</v>
      </c>
      <c r="F10" s="17">
        <f ca="1">PLANTILLA!F10</f>
        <v>100</v>
      </c>
      <c r="G10" s="18" t="str">
        <f>PLANTILLA!G10</f>
        <v>IMP</v>
      </c>
      <c r="H10" s="4">
        <f>PLANTILLA!H10</f>
        <v>3</v>
      </c>
      <c r="I10" s="27">
        <f>PLANTILLA!I10</f>
        <v>1.3</v>
      </c>
      <c r="J10" s="19">
        <f>PLANTILLA!O10</f>
        <v>5</v>
      </c>
      <c r="K10" s="6">
        <f t="shared" si="4"/>
        <v>11.700000000000001</v>
      </c>
      <c r="L10" s="6">
        <f t="shared" si="5"/>
        <v>20.8</v>
      </c>
      <c r="M10" s="21">
        <f>PLANTILLA!X10</f>
        <v>0</v>
      </c>
      <c r="N10" s="21">
        <f>PLANTILLA!Y10</f>
        <v>5</v>
      </c>
      <c r="O10" s="21">
        <f>PLANTILLA!Z10</f>
        <v>3</v>
      </c>
      <c r="P10" s="21">
        <f>PLANTILLA!AA10</f>
        <v>4</v>
      </c>
      <c r="Q10" s="21">
        <f>PLANTILLA!AB10</f>
        <v>3</v>
      </c>
      <c r="R10" s="21">
        <f>PLANTILLA!AC10</f>
        <v>4.1966666666666672</v>
      </c>
      <c r="S10" s="21">
        <f>PLANTILLA!AD10</f>
        <v>3</v>
      </c>
      <c r="T10" s="155">
        <v>0</v>
      </c>
      <c r="U10" s="155">
        <v>0</v>
      </c>
      <c r="V10" s="155">
        <v>0</v>
      </c>
      <c r="W10" s="155">
        <v>0.13</v>
      </c>
      <c r="X10" s="155">
        <v>0</v>
      </c>
      <c r="Y10" s="155">
        <f t="shared" si="2"/>
        <v>0.17</v>
      </c>
      <c r="Z10" s="155">
        <v>0</v>
      </c>
      <c r="AA10" s="153">
        <v>20</v>
      </c>
      <c r="AB10" s="154">
        <v>84</v>
      </c>
      <c r="AC10" s="25">
        <f t="shared" si="3"/>
        <v>1.3</v>
      </c>
      <c r="AD10" s="156">
        <f t="shared" si="6"/>
        <v>0</v>
      </c>
      <c r="AE10" s="156">
        <f t="shared" si="7"/>
        <v>5</v>
      </c>
      <c r="AF10" s="156">
        <f t="shared" si="8"/>
        <v>3</v>
      </c>
      <c r="AG10" s="156">
        <f>5</f>
        <v>5</v>
      </c>
      <c r="AH10" s="156">
        <f>Q10+(X$2/16)</f>
        <v>2.9375</v>
      </c>
      <c r="AI10" s="156">
        <f>5+18/19</f>
        <v>5.9473684210526319</v>
      </c>
      <c r="AJ10" s="156">
        <f>S10+(Z$2/5)</f>
        <v>3</v>
      </c>
    </row>
    <row r="11" spans="1:36" ht="16.5" customHeight="1" x14ac:dyDescent="0.25">
      <c r="A11" s="15" t="str">
        <f>PLANTILLA!A12</f>
        <v>#3</v>
      </c>
      <c r="B11" s="15" t="str">
        <f>PLANTILLA!B12</f>
        <v>LAT</v>
      </c>
      <c r="C11" s="121">
        <f ca="1">PLANTILLA!C12</f>
        <v>15.419642857142858</v>
      </c>
      <c r="D11" s="28" t="str">
        <f>PLANTILLA!D12</f>
        <v>Will Duffill</v>
      </c>
      <c r="E11" s="16">
        <f>PLANTILLA!E12</f>
        <v>17</v>
      </c>
      <c r="F11" s="17">
        <f ca="1">PLANTILLA!F12</f>
        <v>65</v>
      </c>
      <c r="G11" s="18" t="str">
        <f>PLANTILLA!G12</f>
        <v>RAP</v>
      </c>
      <c r="H11" s="4">
        <f>PLANTILLA!H12</f>
        <v>3</v>
      </c>
      <c r="I11" s="27">
        <f>PLANTILLA!I12</f>
        <v>1.3</v>
      </c>
      <c r="J11" s="19">
        <f>PLANTILLA!O12</f>
        <v>3.7</v>
      </c>
      <c r="K11" s="6">
        <f t="shared" ref="K11" si="9">(H11)*(H11)*(I11)</f>
        <v>11.700000000000001</v>
      </c>
      <c r="L11" s="6">
        <f t="shared" ref="L11" si="10">(H11+1)*(H11+1)*I11</f>
        <v>20.8</v>
      </c>
      <c r="M11" s="21">
        <f>PLANTILLA!X12</f>
        <v>0</v>
      </c>
      <c r="N11" s="21">
        <f>PLANTILLA!Y12</f>
        <v>6</v>
      </c>
      <c r="O11" s="21">
        <f>PLANTILLA!Z12</f>
        <v>3</v>
      </c>
      <c r="P11" s="21">
        <f>PLANTILLA!AA12</f>
        <v>3</v>
      </c>
      <c r="Q11" s="21">
        <f>PLANTILLA!AB12</f>
        <v>7</v>
      </c>
      <c r="R11" s="21">
        <f>PLANTILLA!AC12</f>
        <v>4.5</v>
      </c>
      <c r="S11" s="21">
        <f>PLANTILLA!AD12</f>
        <v>3</v>
      </c>
      <c r="T11" s="155">
        <v>0</v>
      </c>
      <c r="U11" s="155">
        <v>0</v>
      </c>
      <c r="V11" s="155">
        <v>0</v>
      </c>
      <c r="W11" s="155">
        <v>0.13</v>
      </c>
      <c r="X11" s="155">
        <v>0</v>
      </c>
      <c r="Y11" s="155">
        <f t="shared" si="2"/>
        <v>0.17</v>
      </c>
      <c r="Z11" s="155">
        <v>0</v>
      </c>
      <c r="AA11" s="153">
        <v>20</v>
      </c>
      <c r="AB11" s="154">
        <v>85</v>
      </c>
      <c r="AC11" s="25">
        <f t="shared" ref="AC11" si="11">I11+$AC$2</f>
        <v>1.3</v>
      </c>
      <c r="AD11" s="156">
        <f t="shared" ref="AD11" si="12">M11</f>
        <v>0</v>
      </c>
      <c r="AE11" s="156">
        <f t="shared" ref="AE11" si="13">N11</f>
        <v>6</v>
      </c>
      <c r="AF11" s="156">
        <f t="shared" ref="AF11" si="14">O11</f>
        <v>3</v>
      </c>
      <c r="AG11" s="156">
        <f>5</f>
        <v>5</v>
      </c>
      <c r="AH11" s="156">
        <f>Q11+(X$2/16)</f>
        <v>6.9375</v>
      </c>
      <c r="AI11" s="156">
        <f>5+18/19</f>
        <v>5.9473684210526319</v>
      </c>
      <c r="AJ11" s="156">
        <f>S11+(Z$2/5)</f>
        <v>3</v>
      </c>
    </row>
    <row r="12" spans="1:36" ht="16.5" customHeight="1" x14ac:dyDescent="0.25">
      <c r="A12" s="15" t="str">
        <f>PLANTILLA!A13</f>
        <v>#7</v>
      </c>
      <c r="B12" s="15" t="str">
        <f>PLANTILLA!B13</f>
        <v>LAT</v>
      </c>
      <c r="C12" s="121">
        <f ca="1">PLANTILLA!C13</f>
        <v>15.294642857142858</v>
      </c>
      <c r="D12" s="28" t="str">
        <f>PLANTILLA!D13</f>
        <v>Raul Riquelme</v>
      </c>
      <c r="E12" s="16">
        <f>PLANTILLA!E13</f>
        <v>17</v>
      </c>
      <c r="F12" s="17">
        <f ca="1">PLANTILLA!F13</f>
        <v>79</v>
      </c>
      <c r="G12" s="18" t="str">
        <f>PLANTILLA!G13</f>
        <v>RAP</v>
      </c>
      <c r="H12" s="4">
        <f>PLANTILLA!H13</f>
        <v>6</v>
      </c>
      <c r="I12" s="27">
        <f>PLANTILLA!I13</f>
        <v>1.3</v>
      </c>
      <c r="J12" s="19">
        <f>PLANTILLA!O13</f>
        <v>3.5</v>
      </c>
      <c r="K12" s="6">
        <f t="shared" si="4"/>
        <v>46.800000000000004</v>
      </c>
      <c r="L12" s="6">
        <f t="shared" si="5"/>
        <v>63.7</v>
      </c>
      <c r="M12" s="21">
        <f>PLANTILLA!X13</f>
        <v>0</v>
      </c>
      <c r="N12" s="21">
        <f>PLANTILLA!Y13</f>
        <v>6</v>
      </c>
      <c r="O12" s="21">
        <f>PLANTILLA!Z13</f>
        <v>3</v>
      </c>
      <c r="P12" s="21">
        <f>PLANTILLA!AA13</f>
        <v>3</v>
      </c>
      <c r="Q12" s="21">
        <f>PLANTILLA!AB13</f>
        <v>3.33</v>
      </c>
      <c r="R12" s="21">
        <f>PLANTILLA!AC13</f>
        <v>5.9988235294117649</v>
      </c>
      <c r="S12" s="21">
        <f>PLANTILLA!AD13</f>
        <v>4</v>
      </c>
      <c r="T12" s="155">
        <v>0</v>
      </c>
      <c r="U12" s="155">
        <v>0</v>
      </c>
      <c r="V12" s="155">
        <v>0</v>
      </c>
      <c r="W12" s="155">
        <v>0.13</v>
      </c>
      <c r="X12" s="155">
        <v>0</v>
      </c>
      <c r="Y12" s="155">
        <f t="shared" si="2"/>
        <v>0.17</v>
      </c>
      <c r="Z12" s="155">
        <v>0</v>
      </c>
      <c r="AA12" s="153">
        <v>20</v>
      </c>
      <c r="AB12" s="154">
        <v>54</v>
      </c>
      <c r="AC12" s="25">
        <f t="shared" si="3"/>
        <v>1.3</v>
      </c>
      <c r="AD12" s="156">
        <f t="shared" si="6"/>
        <v>0</v>
      </c>
      <c r="AE12" s="156">
        <f t="shared" si="7"/>
        <v>6</v>
      </c>
      <c r="AF12" s="156">
        <f t="shared" si="8"/>
        <v>3</v>
      </c>
      <c r="AG12" s="156">
        <f>5+14/18</f>
        <v>5.7777777777777777</v>
      </c>
      <c r="AH12" s="156">
        <f>Q12+(X$2/9)</f>
        <v>3.2188888888888889</v>
      </c>
      <c r="AI12" s="156">
        <f>5+2/20</f>
        <v>5.0999999999999996</v>
      </c>
      <c r="AJ12" s="156">
        <f>S12+(Z$2/3)</f>
        <v>4</v>
      </c>
    </row>
    <row r="13" spans="1:36" ht="16.5" customHeight="1" x14ac:dyDescent="0.25">
      <c r="A13" s="15" t="str">
        <f>PLANTILLA!A14</f>
        <v>#21</v>
      </c>
      <c r="B13" s="15" t="str">
        <f>PLANTILLA!B14</f>
        <v>MED</v>
      </c>
      <c r="C13" s="121">
        <f ca="1">PLANTILLA!C14</f>
        <v>14.741071428571429</v>
      </c>
      <c r="D13" s="28" t="str">
        <f>PLANTILLA!D14</f>
        <v>Fernando Gazón</v>
      </c>
      <c r="E13" s="16">
        <f>PLANTILLA!E14</f>
        <v>18</v>
      </c>
      <c r="F13" s="17">
        <f ca="1">PLANTILLA!F14</f>
        <v>29</v>
      </c>
      <c r="G13" s="18" t="str">
        <f>PLANTILLA!G14</f>
        <v>IMP</v>
      </c>
      <c r="H13" s="4">
        <f>PLANTILLA!H14</f>
        <v>3</v>
      </c>
      <c r="I13" s="27">
        <f>PLANTILLA!I14</f>
        <v>1.1000000000000001</v>
      </c>
      <c r="J13" s="19">
        <f>PLANTILLA!O14</f>
        <v>5</v>
      </c>
      <c r="K13" s="6">
        <f t="shared" si="4"/>
        <v>9.9</v>
      </c>
      <c r="L13" s="6">
        <f t="shared" si="5"/>
        <v>17.600000000000001</v>
      </c>
      <c r="M13" s="21">
        <f>PLANTILLA!X14</f>
        <v>0</v>
      </c>
      <c r="N13" s="21">
        <f>PLANTILLA!Y14</f>
        <v>3</v>
      </c>
      <c r="O13" s="21">
        <f>PLANTILLA!Z14</f>
        <v>6</v>
      </c>
      <c r="P13" s="21">
        <f>PLANTILLA!AA14</f>
        <v>3</v>
      </c>
      <c r="Q13" s="21">
        <f>PLANTILLA!AB14</f>
        <v>4.25</v>
      </c>
      <c r="R13" s="21">
        <f>PLANTILLA!AC14</f>
        <v>5.207261437908496</v>
      </c>
      <c r="S13" s="21">
        <f>PLANTILLA!AD14</f>
        <v>3</v>
      </c>
      <c r="T13" s="155">
        <v>0</v>
      </c>
      <c r="U13" s="155">
        <v>0</v>
      </c>
      <c r="V13" s="155">
        <v>0</v>
      </c>
      <c r="W13" s="155">
        <v>1</v>
      </c>
      <c r="X13" s="155">
        <v>0</v>
      </c>
      <c r="Y13" s="155">
        <v>1</v>
      </c>
      <c r="Z13" s="155">
        <v>0</v>
      </c>
      <c r="AA13" s="153">
        <v>20</v>
      </c>
      <c r="AB13" s="154">
        <v>55</v>
      </c>
      <c r="AC13" s="25">
        <f t="shared" si="3"/>
        <v>1.1000000000000001</v>
      </c>
      <c r="AD13" s="156">
        <f t="shared" si="6"/>
        <v>0</v>
      </c>
      <c r="AE13" s="156">
        <f t="shared" si="7"/>
        <v>3</v>
      </c>
      <c r="AF13" s="156">
        <f t="shared" si="8"/>
        <v>6</v>
      </c>
      <c r="AG13" s="156">
        <f>12+5/6</f>
        <v>12.833333333333334</v>
      </c>
      <c r="AH13" s="156">
        <f>Q13+(X$2/6)</f>
        <v>4.083333333333333</v>
      </c>
      <c r="AI13" s="156">
        <f>8+2/4</f>
        <v>8.5</v>
      </c>
      <c r="AJ13" s="156">
        <f>S13+(Z$2/2.5)</f>
        <v>3</v>
      </c>
    </row>
    <row r="14" spans="1:36" ht="16.5" customHeight="1" x14ac:dyDescent="0.25">
      <c r="A14" s="15" t="str">
        <f>PLANTILLA!A15</f>
        <v>#26</v>
      </c>
      <c r="B14" s="15" t="str">
        <f>PLANTILLA!B15</f>
        <v>MED</v>
      </c>
      <c r="C14" s="121">
        <f ca="1">PLANTILLA!C15</f>
        <v>14.848214285714286</v>
      </c>
      <c r="D14" s="28" t="str">
        <f>PLANTILLA!D15</f>
        <v>Roberto Abenoza</v>
      </c>
      <c r="E14" s="16">
        <f>PLANTILLA!E15</f>
        <v>18</v>
      </c>
      <c r="F14" s="17">
        <f ca="1">PLANTILLA!F15</f>
        <v>17</v>
      </c>
      <c r="G14" s="18" t="str">
        <f>PLANTILLA!G15</f>
        <v>CAB</v>
      </c>
      <c r="H14" s="4">
        <f>PLANTILLA!H15</f>
        <v>4</v>
      </c>
      <c r="I14" s="27">
        <f>PLANTILLA!I15</f>
        <v>0.5</v>
      </c>
      <c r="J14" s="19">
        <f>PLANTILLA!O15</f>
        <v>5</v>
      </c>
      <c r="K14" s="6">
        <f t="shared" si="4"/>
        <v>8</v>
      </c>
      <c r="L14" s="6">
        <f t="shared" si="5"/>
        <v>12.5</v>
      </c>
      <c r="M14" s="21">
        <f>PLANTILLA!X15</f>
        <v>0</v>
      </c>
      <c r="N14" s="21">
        <f>PLANTILLA!Y15</f>
        <v>2</v>
      </c>
      <c r="O14" s="21">
        <f>PLANTILLA!Z15</f>
        <v>5</v>
      </c>
      <c r="P14" s="21">
        <f>PLANTILLA!AA15</f>
        <v>3</v>
      </c>
      <c r="Q14" s="21">
        <f>PLANTILLA!AB15</f>
        <v>3</v>
      </c>
      <c r="R14" s="21">
        <f>PLANTILLA!AC15</f>
        <v>5.3499999999999988</v>
      </c>
      <c r="S14" s="21">
        <f>PLANTILLA!AD15</f>
        <v>5</v>
      </c>
      <c r="T14" s="155">
        <v>0</v>
      </c>
      <c r="U14" s="155">
        <v>0</v>
      </c>
      <c r="V14" s="155">
        <v>0</v>
      </c>
      <c r="W14" s="155">
        <v>1</v>
      </c>
      <c r="X14" s="155">
        <v>0</v>
      </c>
      <c r="Y14" s="155">
        <v>1</v>
      </c>
      <c r="Z14" s="155">
        <v>0</v>
      </c>
      <c r="AA14" s="153">
        <v>20</v>
      </c>
      <c r="AB14" s="154">
        <v>55</v>
      </c>
      <c r="AC14" s="25">
        <f t="shared" si="3"/>
        <v>0.5</v>
      </c>
      <c r="AD14" s="156">
        <f t="shared" si="6"/>
        <v>0</v>
      </c>
      <c r="AE14" s="156">
        <f t="shared" si="7"/>
        <v>2</v>
      </c>
      <c r="AF14" s="156">
        <f t="shared" si="8"/>
        <v>5</v>
      </c>
      <c r="AG14" s="156">
        <f>12+3/6</f>
        <v>12.5</v>
      </c>
      <c r="AH14" s="156">
        <f>Q14+(X$2/16)</f>
        <v>2.9375</v>
      </c>
      <c r="AI14" s="156">
        <f>8+2/4</f>
        <v>8.5</v>
      </c>
      <c r="AJ14" s="156">
        <f>S14+(Z$2/2)</f>
        <v>5</v>
      </c>
    </row>
    <row r="15" spans="1:36" ht="16.5" customHeight="1" x14ac:dyDescent="0.25">
      <c r="A15" s="15" t="str">
        <f>PLANTILLA!A16</f>
        <v>#29</v>
      </c>
      <c r="B15" s="15" t="str">
        <f>PLANTILLA!B16</f>
        <v>MED</v>
      </c>
      <c r="C15" s="121">
        <f ca="1">PLANTILLA!C16</f>
        <v>15.116071428571429</v>
      </c>
      <c r="D15" s="28" t="str">
        <f>PLANTILLA!D16</f>
        <v>Julio Calle</v>
      </c>
      <c r="E15" s="16">
        <f>PLANTILLA!E16</f>
        <v>17</v>
      </c>
      <c r="F15" s="17">
        <f ca="1">PLANTILLA!F16</f>
        <v>99</v>
      </c>
      <c r="G15" s="18" t="str">
        <f>PLANTILLA!G16</f>
        <v>POT</v>
      </c>
      <c r="H15" s="4">
        <f>PLANTILLA!H16</f>
        <v>3</v>
      </c>
      <c r="I15" s="27">
        <f>PLANTILLA!I16</f>
        <v>0.5</v>
      </c>
      <c r="J15" s="19">
        <f>PLANTILLA!O16</f>
        <v>4</v>
      </c>
      <c r="K15" s="6">
        <f t="shared" si="4"/>
        <v>4.5</v>
      </c>
      <c r="L15" s="6">
        <f t="shared" si="5"/>
        <v>8</v>
      </c>
      <c r="M15" s="21">
        <f>PLANTILLA!X16</f>
        <v>0</v>
      </c>
      <c r="N15" s="21">
        <f>PLANTILLA!Y16</f>
        <v>3</v>
      </c>
      <c r="O15" s="21">
        <f>PLANTILLA!Z16</f>
        <v>4</v>
      </c>
      <c r="P15" s="21">
        <f>PLANTILLA!AA16</f>
        <v>4</v>
      </c>
      <c r="Q15" s="21">
        <f>PLANTILLA!AB16</f>
        <v>3.0151111111111111</v>
      </c>
      <c r="R15" s="21">
        <f>PLANTILLA!AC16</f>
        <v>4.1764705882352935</v>
      </c>
      <c r="S15" s="21">
        <f>PLANTILLA!AD16</f>
        <v>1.3</v>
      </c>
      <c r="T15" s="155">
        <v>0</v>
      </c>
      <c r="U15" s="155">
        <v>0</v>
      </c>
      <c r="V15" s="155">
        <v>0</v>
      </c>
      <c r="W15" s="155">
        <v>0.13</v>
      </c>
      <c r="X15" s="155">
        <v>0</v>
      </c>
      <c r="Y15" s="155">
        <f t="shared" si="2"/>
        <v>0.17</v>
      </c>
      <c r="Z15" s="155">
        <v>0</v>
      </c>
      <c r="AA15" s="153">
        <v>20</v>
      </c>
      <c r="AB15" s="154">
        <v>63</v>
      </c>
      <c r="AC15" s="25">
        <f t="shared" si="3"/>
        <v>0.5</v>
      </c>
      <c r="AD15" s="156">
        <f t="shared" si="6"/>
        <v>0</v>
      </c>
      <c r="AE15" s="156">
        <f t="shared" si="7"/>
        <v>3</v>
      </c>
      <c r="AF15" s="156">
        <f t="shared" si="8"/>
        <v>4</v>
      </c>
      <c r="AG15" s="156">
        <f>6+11/20</f>
        <v>6.55</v>
      </c>
      <c r="AH15" s="156">
        <f>Q15+(X$2/12)</f>
        <v>2.9317777777777776</v>
      </c>
      <c r="AI15" s="156">
        <f>5+2/20</f>
        <v>5.0999999999999996</v>
      </c>
      <c r="AJ15" s="156">
        <f>S15+(Z$2/2)</f>
        <v>1.3</v>
      </c>
    </row>
    <row r="16" spans="1:36" ht="16.5" customHeight="1" x14ac:dyDescent="0.25">
      <c r="A16" s="15" t="str">
        <f>PLANTILLA!A18</f>
        <v>#8</v>
      </c>
      <c r="B16" s="15" t="str">
        <f>PLANTILLA!B18</f>
        <v>EXT</v>
      </c>
      <c r="C16" s="121">
        <f ca="1">PLANTILLA!C18</f>
        <v>15.107142857142858</v>
      </c>
      <c r="D16" s="28" t="str">
        <f>PLANTILLA!D18</f>
        <v>Enrique Cubas</v>
      </c>
      <c r="E16" s="16">
        <f>PLANTILLA!E18</f>
        <v>17</v>
      </c>
      <c r="F16" s="17">
        <f ca="1">PLANTILLA!F18</f>
        <v>100</v>
      </c>
      <c r="G16" s="18" t="str">
        <f>PLANTILLA!G18</f>
        <v>RAP</v>
      </c>
      <c r="H16" s="4">
        <f>PLANTILLA!H18</f>
        <v>1</v>
      </c>
      <c r="I16" s="27">
        <f>PLANTILLA!I18</f>
        <v>1.5</v>
      </c>
      <c r="J16" s="19">
        <f>PLANTILLA!O18</f>
        <v>5</v>
      </c>
      <c r="K16" s="6">
        <f t="shared" si="4"/>
        <v>1.5</v>
      </c>
      <c r="L16" s="6">
        <f t="shared" si="5"/>
        <v>6</v>
      </c>
      <c r="M16" s="21">
        <f>PLANTILLA!X18</f>
        <v>0</v>
      </c>
      <c r="N16" s="21">
        <f>PLANTILLA!Y18</f>
        <v>2</v>
      </c>
      <c r="O16" s="21">
        <f>PLANTILLA!Z18</f>
        <v>5.7</v>
      </c>
      <c r="P16" s="21">
        <f>PLANTILLA!AA18</f>
        <v>5.5</v>
      </c>
      <c r="Q16" s="21">
        <f>PLANTILLA!AB18</f>
        <v>5.5</v>
      </c>
      <c r="R16" s="21">
        <f>PLANTILLA!AC18</f>
        <v>5.5</v>
      </c>
      <c r="S16" s="21">
        <f>PLANTILLA!AD18</f>
        <v>5</v>
      </c>
      <c r="T16" s="155">
        <v>0</v>
      </c>
      <c r="U16" s="155">
        <v>0</v>
      </c>
      <c r="V16" s="155">
        <v>0</v>
      </c>
      <c r="W16" s="155">
        <v>0.5</v>
      </c>
      <c r="X16" s="155">
        <v>0</v>
      </c>
      <c r="Y16" s="155">
        <f t="shared" si="2"/>
        <v>0.17</v>
      </c>
      <c r="Z16" s="155">
        <v>0</v>
      </c>
      <c r="AA16" s="153">
        <v>20</v>
      </c>
      <c r="AB16" s="154">
        <v>53</v>
      </c>
      <c r="AC16" s="25">
        <f t="shared" si="3"/>
        <v>1.5</v>
      </c>
      <c r="AD16" s="156">
        <f t="shared" si="6"/>
        <v>0</v>
      </c>
      <c r="AE16" s="156">
        <f t="shared" si="7"/>
        <v>2</v>
      </c>
      <c r="AF16" s="156">
        <f t="shared" si="8"/>
        <v>5.7</v>
      </c>
      <c r="AG16" s="156">
        <f>5</f>
        <v>5</v>
      </c>
      <c r="AH16" s="156">
        <f>Q16+(X$2/13)</f>
        <v>5.4230769230769234</v>
      </c>
      <c r="AI16" s="156">
        <f>5+19/20</f>
        <v>5.95</v>
      </c>
      <c r="AJ16" s="156">
        <f>S16+(Z$2/3)</f>
        <v>5</v>
      </c>
    </row>
    <row r="17" spans="1:36" ht="16.5" customHeight="1" x14ac:dyDescent="0.25">
      <c r="A17" s="15" t="str">
        <f>PLANTILLA!A19</f>
        <v>#11</v>
      </c>
      <c r="B17" s="15" t="str">
        <f>PLANTILLA!B19</f>
        <v>EXT</v>
      </c>
      <c r="C17" s="121">
        <f ca="1">PLANTILLA!C19</f>
        <v>15.107142857142858</v>
      </c>
      <c r="D17" s="28" t="str">
        <f>PLANTILLA!D19</f>
        <v>J. G. Peñuela</v>
      </c>
      <c r="E17" s="16">
        <f>PLANTILLA!E19</f>
        <v>17</v>
      </c>
      <c r="F17" s="17">
        <f ca="1">PLANTILLA!F19</f>
        <v>100</v>
      </c>
      <c r="G17" s="18" t="str">
        <f>PLANTILLA!G19</f>
        <v>IMP</v>
      </c>
      <c r="H17" s="4">
        <f>PLANTILLA!H19</f>
        <v>6</v>
      </c>
      <c r="I17" s="27">
        <f>PLANTILLA!I19</f>
        <v>1.4</v>
      </c>
      <c r="J17" s="19">
        <f>PLANTILLA!O19</f>
        <v>4.7</v>
      </c>
      <c r="K17" s="6">
        <f t="shared" si="4"/>
        <v>50.4</v>
      </c>
      <c r="L17" s="6">
        <f t="shared" si="5"/>
        <v>68.599999999999994</v>
      </c>
      <c r="M17" s="21">
        <f>PLANTILLA!X19</f>
        <v>0</v>
      </c>
      <c r="N17" s="21">
        <f>PLANTILLA!Y19</f>
        <v>3</v>
      </c>
      <c r="O17" s="21">
        <f>PLANTILLA!Z19</f>
        <v>5</v>
      </c>
      <c r="P17" s="21">
        <f>PLANTILLA!AA19</f>
        <v>4</v>
      </c>
      <c r="Q17" s="21">
        <f>PLANTILLA!AB19</f>
        <v>5</v>
      </c>
      <c r="R17" s="21">
        <f>PLANTILLA!AC19</f>
        <v>6.0016666666666669</v>
      </c>
      <c r="S17" s="21">
        <f>PLANTILLA!AD19</f>
        <v>3</v>
      </c>
      <c r="T17" s="155">
        <v>0</v>
      </c>
      <c r="U17" s="155">
        <v>0</v>
      </c>
      <c r="V17" s="155">
        <v>0</v>
      </c>
      <c r="W17" s="155">
        <v>0.5</v>
      </c>
      <c r="X17" s="155">
        <v>0</v>
      </c>
      <c r="Y17" s="155">
        <f t="shared" si="2"/>
        <v>0.17</v>
      </c>
      <c r="Z17" s="155">
        <v>0</v>
      </c>
      <c r="AA17" s="153">
        <v>20</v>
      </c>
      <c r="AB17" s="154">
        <v>96</v>
      </c>
      <c r="AC17" s="25">
        <f t="shared" si="3"/>
        <v>1.4</v>
      </c>
      <c r="AD17" s="156">
        <f t="shared" si="6"/>
        <v>0</v>
      </c>
      <c r="AE17" s="156">
        <f t="shared" si="7"/>
        <v>3</v>
      </c>
      <c r="AF17" s="156">
        <f t="shared" si="8"/>
        <v>5</v>
      </c>
      <c r="AG17" s="156">
        <f>5</f>
        <v>5</v>
      </c>
      <c r="AH17" s="156">
        <f>Q17+(X$2/13)</f>
        <v>4.9230769230769234</v>
      </c>
      <c r="AI17" s="156">
        <f>6+19/23</f>
        <v>6.8260869565217392</v>
      </c>
      <c r="AJ17" s="156">
        <f>S17+(Z$2/3)</f>
        <v>3</v>
      </c>
    </row>
    <row r="18" spans="1:36" ht="16.5" customHeight="1" x14ac:dyDescent="0.25">
      <c r="A18" s="15" t="str">
        <f>PLANTILLA!A20</f>
        <v>#24</v>
      </c>
      <c r="B18" s="15" t="str">
        <f>PLANTILLA!B20</f>
        <v>EXT</v>
      </c>
      <c r="C18" s="121">
        <f ca="1">PLANTILLA!C20</f>
        <v>15.035714285714286</v>
      </c>
      <c r="D18" s="28" t="str">
        <f>PLANTILLA!D20</f>
        <v>Paulo Beltrán</v>
      </c>
      <c r="E18" s="16">
        <f>PLANTILLA!E20</f>
        <v>17</v>
      </c>
      <c r="F18" s="17">
        <f ca="1">PLANTILLA!F20</f>
        <v>108</v>
      </c>
      <c r="G18" s="18" t="str">
        <f>PLANTILLA!G20</f>
        <v>RAP</v>
      </c>
      <c r="H18" s="4">
        <f>PLANTILLA!H20</f>
        <v>3</v>
      </c>
      <c r="I18" s="27">
        <f>PLANTILLA!I20</f>
        <v>1.1000000000000001</v>
      </c>
      <c r="J18" s="19">
        <f>PLANTILLA!O20</f>
        <v>5</v>
      </c>
      <c r="K18" s="6">
        <f t="shared" si="4"/>
        <v>9.9</v>
      </c>
      <c r="L18" s="6">
        <f t="shared" si="5"/>
        <v>17.600000000000001</v>
      </c>
      <c r="M18" s="21">
        <f>PLANTILLA!X20</f>
        <v>0</v>
      </c>
      <c r="N18" s="21">
        <f>PLANTILLA!Y20</f>
        <v>4</v>
      </c>
      <c r="O18" s="21">
        <f>PLANTILLA!Z20</f>
        <v>2</v>
      </c>
      <c r="P18" s="21">
        <f>PLANTILLA!AA20</f>
        <v>5</v>
      </c>
      <c r="Q18" s="21">
        <f>PLANTILLA!AB20</f>
        <v>4.25</v>
      </c>
      <c r="R18" s="21">
        <f>PLANTILLA!AC20</f>
        <v>4.3607843137254889</v>
      </c>
      <c r="S18" s="21">
        <f>PLANTILLA!AD20</f>
        <v>4</v>
      </c>
      <c r="T18" s="155">
        <v>0</v>
      </c>
      <c r="U18" s="155">
        <v>0</v>
      </c>
      <c r="V18" s="155">
        <v>0</v>
      </c>
      <c r="W18" s="155">
        <v>0.13</v>
      </c>
      <c r="X18" s="155">
        <v>0</v>
      </c>
      <c r="Y18" s="155">
        <f t="shared" si="2"/>
        <v>0.17</v>
      </c>
      <c r="Z18" s="155">
        <v>0</v>
      </c>
      <c r="AA18" s="153">
        <v>20</v>
      </c>
      <c r="AB18" s="154">
        <v>52</v>
      </c>
      <c r="AC18" s="25">
        <f t="shared" si="3"/>
        <v>1.1000000000000001</v>
      </c>
      <c r="AD18" s="156">
        <f t="shared" si="6"/>
        <v>0</v>
      </c>
      <c r="AE18" s="156">
        <f t="shared" si="7"/>
        <v>4</v>
      </c>
      <c r="AF18" s="156">
        <f t="shared" si="8"/>
        <v>2</v>
      </c>
      <c r="AG18" s="156">
        <f>4+4/15</f>
        <v>4.2666666666666666</v>
      </c>
      <c r="AH18" s="156">
        <f>Q18+(X$2/13)</f>
        <v>4.1730769230769234</v>
      </c>
      <c r="AI18" s="156">
        <f>5+19/20</f>
        <v>5.95</v>
      </c>
      <c r="AJ18" s="156">
        <f>S18+(Z$2/3)</f>
        <v>4</v>
      </c>
    </row>
    <row r="19" spans="1:36" ht="16.5" customHeight="1" x14ac:dyDescent="0.25">
      <c r="A19" s="15" t="str">
        <f>PLANTILLA!A21</f>
        <v>#22</v>
      </c>
      <c r="B19" s="15" t="str">
        <f>PLANTILLA!B21</f>
        <v>DAV</v>
      </c>
      <c r="C19" s="121">
        <f ca="1">PLANTILLA!C21</f>
        <v>15.125</v>
      </c>
      <c r="D19" s="28" t="str">
        <f>PLANTILLA!D21</f>
        <v>Santiago Serra</v>
      </c>
      <c r="E19" s="16">
        <f>PLANTILLA!E21</f>
        <v>17</v>
      </c>
      <c r="F19" s="17">
        <f ca="1">PLANTILLA!F21</f>
        <v>98</v>
      </c>
      <c r="G19" s="18"/>
      <c r="H19" s="4">
        <f>PLANTILLA!H21</f>
        <v>4</v>
      </c>
      <c r="I19" s="27">
        <f>PLANTILLA!I21</f>
        <v>1.1000000000000001</v>
      </c>
      <c r="J19" s="19">
        <f>PLANTILLA!O21</f>
        <v>5</v>
      </c>
      <c r="K19" s="6">
        <f t="shared" ref="K19" si="15">(H19)*(H19)*(I19)</f>
        <v>17.600000000000001</v>
      </c>
      <c r="L19" s="6">
        <f t="shared" ref="L19" si="16">(H19+1)*(H19+1)*I19</f>
        <v>27.500000000000004</v>
      </c>
      <c r="M19" s="21">
        <f>PLANTILLA!X21</f>
        <v>1</v>
      </c>
      <c r="N19" s="21">
        <f>PLANTILLA!Y21</f>
        <v>4</v>
      </c>
      <c r="O19" s="21">
        <f>PLANTILLA!Z21</f>
        <v>2</v>
      </c>
      <c r="P19" s="21">
        <f>PLANTILLA!AA21</f>
        <v>3</v>
      </c>
      <c r="Q19" s="21">
        <f>PLANTILLA!AB21</f>
        <v>5</v>
      </c>
      <c r="R19" s="21">
        <f>PLANTILLA!AC21</f>
        <v>5.3027777777777771</v>
      </c>
      <c r="S19" s="21">
        <f>PLANTILLA!AD21</f>
        <v>6</v>
      </c>
      <c r="T19" s="155">
        <v>0</v>
      </c>
      <c r="U19" s="155">
        <v>0</v>
      </c>
      <c r="V19" s="155">
        <v>0</v>
      </c>
      <c r="W19" s="155">
        <v>0.5</v>
      </c>
      <c r="X19" s="155">
        <v>0</v>
      </c>
      <c r="Y19" s="155">
        <v>1</v>
      </c>
      <c r="Z19" s="155">
        <v>0</v>
      </c>
      <c r="AA19" s="153">
        <v>20</v>
      </c>
      <c r="AB19" s="154">
        <v>53</v>
      </c>
      <c r="AC19" s="25">
        <f t="shared" ref="AC19" si="17">I19+$AC$2</f>
        <v>1.1000000000000001</v>
      </c>
      <c r="AD19" s="156">
        <f t="shared" ref="AD19" si="18">M19</f>
        <v>1</v>
      </c>
      <c r="AE19" s="156">
        <f t="shared" ref="AE19" si="19">N19</f>
        <v>4</v>
      </c>
      <c r="AF19" s="156">
        <f t="shared" ref="AF19" si="20">O19</f>
        <v>2</v>
      </c>
      <c r="AG19" s="156">
        <v>10</v>
      </c>
      <c r="AH19" s="156">
        <f>Q19+(X$2/13)</f>
        <v>4.9230769230769234</v>
      </c>
      <c r="AI19" s="156">
        <v>10</v>
      </c>
      <c r="AJ19" s="156">
        <f>S19+(Z$2/3)</f>
        <v>6</v>
      </c>
    </row>
    <row r="20" spans="1:36" ht="16.5" customHeight="1" x14ac:dyDescent="0.25">
      <c r="A20" s="15" t="str">
        <f>PLANTILLA!A22</f>
        <v>#25</v>
      </c>
      <c r="B20" s="15" t="str">
        <f>PLANTILLA!B22</f>
        <v>DAV</v>
      </c>
      <c r="C20" s="121">
        <f ca="1">PLANTILLA!C22</f>
        <v>14.741071428571429</v>
      </c>
      <c r="D20" s="28" t="str">
        <f>PLANTILLA!D22</f>
        <v>Nicolás Eans</v>
      </c>
      <c r="E20" s="16">
        <f>PLANTILLA!E22</f>
        <v>18</v>
      </c>
      <c r="F20" s="17">
        <f ca="1">PLANTILLA!F22</f>
        <v>29</v>
      </c>
      <c r="G20" s="18"/>
      <c r="H20" s="4">
        <f>PLANTILLA!H22</f>
        <v>3</v>
      </c>
      <c r="I20" s="27">
        <f>PLANTILLA!I22</f>
        <v>0.5</v>
      </c>
      <c r="J20" s="19">
        <f>PLANTILLA!O22</f>
        <v>5</v>
      </c>
      <c r="K20" s="6">
        <f t="shared" ref="K20:K21" si="21">(H20)*(H20)*(I20)</f>
        <v>4.5</v>
      </c>
      <c r="L20" s="6">
        <f t="shared" ref="L20:L21" si="22">(H20+1)*(H20+1)*I20</f>
        <v>8</v>
      </c>
      <c r="M20" s="21">
        <f>PLANTILLA!X22</f>
        <v>0</v>
      </c>
      <c r="N20" s="21">
        <f>PLANTILLA!Y22</f>
        <v>5</v>
      </c>
      <c r="O20" s="21">
        <f>PLANTILLA!Z22</f>
        <v>2</v>
      </c>
      <c r="P20" s="21">
        <f>PLANTILLA!AA22</f>
        <v>3</v>
      </c>
      <c r="Q20" s="21">
        <f>PLANTILLA!AB22</f>
        <v>5</v>
      </c>
      <c r="R20" s="21">
        <f>PLANTILLA!AC22</f>
        <v>6.3043478260869579</v>
      </c>
      <c r="S20" s="21">
        <f>PLANTILLA!AD22</f>
        <v>3</v>
      </c>
      <c r="T20" s="155">
        <v>0</v>
      </c>
      <c r="U20" s="155">
        <v>0</v>
      </c>
      <c r="V20" s="155">
        <v>0</v>
      </c>
      <c r="W20" s="155">
        <v>0.5</v>
      </c>
      <c r="X20" s="155">
        <v>0</v>
      </c>
      <c r="Y20" s="155">
        <v>1</v>
      </c>
      <c r="Z20" s="155">
        <v>0</v>
      </c>
      <c r="AA20" s="153">
        <v>20</v>
      </c>
      <c r="AB20" s="154">
        <v>54</v>
      </c>
      <c r="AC20" s="25">
        <f t="shared" ref="AC20:AC21" si="23">I20+$AC$2</f>
        <v>0.5</v>
      </c>
      <c r="AD20" s="156">
        <f t="shared" ref="AD20:AD21" si="24">M20</f>
        <v>0</v>
      </c>
      <c r="AE20" s="156">
        <f t="shared" ref="AE20:AE21" si="25">N20</f>
        <v>5</v>
      </c>
      <c r="AF20" s="156">
        <f t="shared" ref="AF20:AF21" si="26">O20</f>
        <v>2</v>
      </c>
      <c r="AG20" s="156">
        <v>11</v>
      </c>
      <c r="AH20" s="156">
        <f t="shared" ref="AH20:AH21" si="27">Q20+(X$2/13)</f>
        <v>4.9230769230769234</v>
      </c>
      <c r="AI20" s="156">
        <v>11</v>
      </c>
      <c r="AJ20" s="156">
        <f t="shared" ref="AJ20:AJ21" si="28">S20+(Z$2/3)</f>
        <v>3</v>
      </c>
    </row>
    <row r="21" spans="1:36" ht="16.5" customHeight="1" x14ac:dyDescent="0.25">
      <c r="A21" s="15" t="str">
        <f>PLANTILLA!A23</f>
        <v>#27</v>
      </c>
      <c r="B21" s="15" t="str">
        <f>PLANTILLA!B23</f>
        <v>DAV</v>
      </c>
      <c r="C21" s="121">
        <f ca="1">PLANTILLA!C23</f>
        <v>15.133928571428571</v>
      </c>
      <c r="D21" s="28" t="str">
        <f>PLANTILLA!D23</f>
        <v>Noel Fuster</v>
      </c>
      <c r="E21" s="16">
        <f>PLANTILLA!E23</f>
        <v>17</v>
      </c>
      <c r="F21" s="17">
        <f ca="1">PLANTILLA!F23</f>
        <v>97</v>
      </c>
      <c r="G21" s="18"/>
      <c r="H21" s="4">
        <f>PLANTILLA!H23</f>
        <v>4</v>
      </c>
      <c r="I21" s="27">
        <f>PLANTILLA!I23</f>
        <v>0.5</v>
      </c>
      <c r="J21" s="19">
        <f>PLANTILLA!O23</f>
        <v>5</v>
      </c>
      <c r="K21" s="6">
        <f t="shared" si="21"/>
        <v>8</v>
      </c>
      <c r="L21" s="6">
        <f t="shared" si="22"/>
        <v>12.5</v>
      </c>
      <c r="M21" s="21">
        <f>PLANTILLA!X23</f>
        <v>0</v>
      </c>
      <c r="N21" s="21">
        <f>PLANTILLA!Y23</f>
        <v>4</v>
      </c>
      <c r="O21" s="21">
        <f>PLANTILLA!Z23</f>
        <v>2</v>
      </c>
      <c r="P21" s="21">
        <f>PLANTILLA!AA23</f>
        <v>2</v>
      </c>
      <c r="Q21" s="21">
        <f>PLANTILLA!AB23</f>
        <v>3.0896666666666666</v>
      </c>
      <c r="R21" s="21">
        <f>PLANTILLA!AC23</f>
        <v>5.2527777777777773</v>
      </c>
      <c r="S21" s="21">
        <f>PLANTILLA!AD23</f>
        <v>2.5</v>
      </c>
      <c r="T21" s="155">
        <v>0</v>
      </c>
      <c r="U21" s="155">
        <v>0</v>
      </c>
      <c r="V21" s="155">
        <v>0</v>
      </c>
      <c r="W21" s="155">
        <v>0.5</v>
      </c>
      <c r="X21" s="155">
        <v>0</v>
      </c>
      <c r="Y21" s="155">
        <v>1</v>
      </c>
      <c r="Z21" s="155">
        <v>0</v>
      </c>
      <c r="AA21" s="153">
        <v>20</v>
      </c>
      <c r="AB21" s="154">
        <v>55</v>
      </c>
      <c r="AC21" s="25">
        <f t="shared" si="23"/>
        <v>0.5</v>
      </c>
      <c r="AD21" s="156">
        <f t="shared" si="24"/>
        <v>0</v>
      </c>
      <c r="AE21" s="156">
        <f t="shared" si="25"/>
        <v>4</v>
      </c>
      <c r="AF21" s="156">
        <f t="shared" si="26"/>
        <v>2</v>
      </c>
      <c r="AG21" s="156">
        <v>12</v>
      </c>
      <c r="AH21" s="156">
        <f t="shared" si="27"/>
        <v>3.0127435897435895</v>
      </c>
      <c r="AI21" s="156">
        <v>12</v>
      </c>
      <c r="AJ21" s="156">
        <f t="shared" si="28"/>
        <v>2.5</v>
      </c>
    </row>
    <row r="22" spans="1:36" ht="16.5" customHeight="1" x14ac:dyDescent="0.25">
      <c r="A22" s="15"/>
      <c r="B22" s="15"/>
      <c r="C22" s="121"/>
      <c r="D22" s="28"/>
      <c r="E22" s="16"/>
      <c r="F22" s="17"/>
      <c r="G22" s="18"/>
      <c r="H22" s="4"/>
      <c r="I22" s="27"/>
      <c r="J22" s="19"/>
      <c r="K22" s="6"/>
      <c r="L22" s="6"/>
      <c r="M22" s="21"/>
      <c r="N22" s="21"/>
      <c r="O22" s="21"/>
      <c r="P22" s="21"/>
      <c r="Q22" s="21"/>
      <c r="R22" s="21"/>
      <c r="S22" s="21"/>
      <c r="T22" s="155"/>
      <c r="U22" s="155"/>
      <c r="V22" s="155"/>
      <c r="W22" s="155"/>
      <c r="X22" s="155"/>
      <c r="Y22" s="155"/>
      <c r="Z22" s="155"/>
      <c r="AA22" s="153"/>
      <c r="AB22" s="154"/>
      <c r="AC22" s="25"/>
      <c r="AD22" s="156"/>
      <c r="AE22" s="156"/>
      <c r="AF22" s="156"/>
      <c r="AG22" s="156"/>
      <c r="AH22" s="156"/>
      <c r="AI22" s="156"/>
      <c r="AJ22" s="156"/>
    </row>
    <row r="23" spans="1:36" ht="16.5" customHeight="1" x14ac:dyDescent="0.25">
      <c r="A23" s="15">
        <f>PLANTILLA!A24</f>
        <v>0</v>
      </c>
      <c r="B23" s="15">
        <f>PLANTILLA!B24</f>
        <v>0</v>
      </c>
      <c r="C23" s="121">
        <f>PLANTILLA!C24</f>
        <v>0</v>
      </c>
      <c r="D23" s="28" t="str">
        <f>PLANTILLA!D24</f>
        <v>A. Ilisie</v>
      </c>
      <c r="E23" s="220"/>
      <c r="F23" s="220"/>
      <c r="G23" s="220"/>
      <c r="H23" s="220"/>
      <c r="I23" s="220"/>
      <c r="J23" s="220"/>
      <c r="K23" s="220"/>
      <c r="L23" s="220"/>
      <c r="M23" s="220"/>
      <c r="N23" s="220"/>
      <c r="O23" s="220"/>
      <c r="P23" s="220"/>
      <c r="Q23" s="220"/>
      <c r="R23" s="220"/>
      <c r="S23" s="220"/>
      <c r="T23" s="220"/>
      <c r="U23" s="220"/>
      <c r="V23" s="220"/>
      <c r="W23" s="220"/>
      <c r="X23" s="220"/>
      <c r="Y23" s="220"/>
      <c r="Z23" s="220"/>
      <c r="AA23" s="220"/>
      <c r="AB23" s="220"/>
      <c r="AC23" s="220"/>
      <c r="AD23" s="65"/>
      <c r="AE23" s="65"/>
      <c r="AF23" s="65"/>
      <c r="AG23" s="65"/>
      <c r="AH23" s="65"/>
      <c r="AI23" s="65"/>
      <c r="AJ23" s="65"/>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46"/>
      <c r="AE29" s="46"/>
      <c r="AF29" s="46"/>
      <c r="AG29" s="46"/>
      <c r="AH29" s="46"/>
      <c r="AI29" s="46"/>
      <c r="AJ29" s="46"/>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row r="71" spans="3:36" x14ac:dyDescent="0.25">
      <c r="C71" s="137"/>
      <c r="D71" s="110"/>
      <c r="G71" s="65"/>
      <c r="H71" s="52"/>
      <c r="J71" s="65"/>
      <c r="K71" s="65"/>
      <c r="M71" s="138"/>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2">
    <cfRule type="cellIs" dxfId="5" priority="57" operator="lessThan">
      <formula>0.2</formula>
    </cfRule>
    <cfRule type="cellIs" dxfId="4" priority="58" operator="greaterThan">
      <formula>0.9</formula>
    </cfRule>
  </conditionalFormatting>
  <conditionalFormatting sqref="I4:I22">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2">
    <cfRule type="cellIs" dxfId="0" priority="4966" operator="greaterThan">
      <formula>8</formula>
    </cfRule>
    <cfRule type="colorScale" priority="4967">
      <colorScale>
        <cfvo type="min"/>
        <cfvo type="max"/>
        <color rgb="FFFFEF9C"/>
        <color rgb="FFFF7128"/>
      </colorScale>
    </cfRule>
  </conditionalFormatting>
  <conditionalFormatting sqref="AD4:AJ22">
    <cfRule type="colorScale" priority="4968">
      <colorScale>
        <cfvo type="min"/>
        <cfvo type="max"/>
        <color rgb="FFFFEF9C"/>
        <color rgb="FF63BE7B"/>
      </colorScale>
    </cfRule>
  </conditionalFormatting>
  <conditionalFormatting sqref="C4:C23">
    <cfRule type="colorScale" priority="4999">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TL_v1</vt:lpstr>
      <vt:lpstr>CA_v1</vt:lpstr>
      <vt:lpstr>Planning_Entrenador</vt:lpstr>
      <vt:lpstr>PLANTILLA</vt:lpstr>
      <vt:lpstr>CAPITAN</vt:lpstr>
      <vt:lpstr>Evaluacion Jugadores</vt:lpstr>
      <vt:lpstr>CambioENTRENADOR</vt:lpstr>
      <vt:lpstr>Rendimiento_ENTRENAMIENTO</vt:lpstr>
      <vt:lpstr>Gomis</vt:lpstr>
      <vt:lpstr>Peñuela</vt:lpstr>
      <vt:lpstr>Minaya</vt:lpstr>
      <vt:lpstr>Cubas</vt:lpstr>
      <vt:lpstr>Riquelme</vt:lpstr>
      <vt:lpstr>Duffill</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2018-02-09T11:22:27Z</dcterms:modified>
</cp:coreProperties>
</file>