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HoldingIdeas\projects\current\hattrick\"/>
    </mc:Choice>
  </mc:AlternateContent>
  <xr:revisionPtr revIDLastSave="0" documentId="13_ncr:1_{CD580FA6-2359-4D30-8804-E3FB1A5D9B39}" xr6:coauthVersionLast="33" xr6:coauthVersionMax="33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Hall_of_Fame" sheetId="6" r:id="rId1"/>
    <sheet name="Plantilla" sheetId="1" r:id="rId2"/>
    <sheet name="Juvenils" sheetId="3" r:id="rId3"/>
    <sheet name="Planning" sheetId="7" r:id="rId4"/>
    <sheet name="Porteria" sheetId="8" r:id="rId5"/>
    <sheet name="Economia" sheetId="5" r:id="rId6"/>
    <sheet name="Ahch-To" sheetId="4" r:id="rId7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8" i="4" l="1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B21" i="4"/>
  <c r="B20" i="4"/>
  <c r="B19" i="4"/>
  <c r="B18" i="4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G4" i="1"/>
  <c r="AF4" i="1"/>
  <c r="U7" i="5" l="1"/>
  <c r="U6" i="5"/>
  <c r="S6" i="5"/>
  <c r="Q6" i="5"/>
  <c r="T11" i="5"/>
  <c r="T6" i="5"/>
  <c r="Z10" i="6"/>
  <c r="AA10" i="6" s="1"/>
  <c r="Z11" i="6"/>
  <c r="AA11" i="6" s="1"/>
  <c r="Z12" i="6"/>
  <c r="AA12" i="6" s="1"/>
  <c r="W9" i="3" l="1"/>
  <c r="W15" i="3"/>
  <c r="W5" i="1" l="1"/>
  <c r="Z8" i="6" l="1"/>
  <c r="AA8" i="6" s="1"/>
  <c r="W12" i="3" l="1"/>
  <c r="W18" i="3" s="1"/>
  <c r="W20" i="3"/>
  <c r="W21" i="3"/>
  <c r="W8" i="3"/>
  <c r="W13" i="3"/>
  <c r="W25" i="3"/>
  <c r="W26" i="3"/>
  <c r="W23" i="3"/>
  <c r="W24" i="3"/>
  <c r="W19" i="3"/>
  <c r="W27" i="3"/>
  <c r="W7" i="3"/>
  <c r="W14" i="3"/>
  <c r="W22" i="3"/>
  <c r="W5" i="3"/>
  <c r="W6" i="3"/>
  <c r="W4" i="3"/>
  <c r="X28" i="8" l="1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S10" i="8" l="1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H24" i="8"/>
  <c r="H23" i="8"/>
  <c r="H22" i="8"/>
  <c r="H21" i="8"/>
  <c r="H20" i="8"/>
  <c r="M27" i="8"/>
  <c r="M26" i="8"/>
  <c r="M25" i="8"/>
  <c r="M24" i="8"/>
  <c r="M23" i="8"/>
  <c r="E11" i="8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6" i="8" s="1"/>
  <c r="E27" i="8" s="1"/>
  <c r="E28" i="8" s="1"/>
  <c r="E10" i="8"/>
  <c r="A18" i="8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N2" i="8"/>
  <c r="S2" i="8" s="1"/>
  <c r="X2" i="8" s="1"/>
  <c r="R2" i="8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I2" i="8"/>
  <c r="I3" i="8" s="1"/>
  <c r="I4" i="8" s="1"/>
  <c r="I5" i="8" s="1"/>
  <c r="I6" i="8" s="1"/>
  <c r="I7" i="8" s="1"/>
  <c r="I8" i="8" s="1"/>
  <c r="I9" i="8" s="1"/>
  <c r="I10" i="8" s="1"/>
  <c r="I11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H2" i="8"/>
  <c r="G2" i="8"/>
  <c r="G3" i="8" s="1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E2" i="8"/>
  <c r="E3" i="8" s="1"/>
  <c r="E4" i="8" s="1"/>
  <c r="E5" i="8" s="1"/>
  <c r="E6" i="8" s="1"/>
  <c r="E7" i="8" s="1"/>
  <c r="E8" i="8" s="1"/>
  <c r="D2" i="8"/>
  <c r="C2" i="8"/>
  <c r="C3" i="8" s="1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3" i="8"/>
  <c r="N3" i="8" l="1"/>
  <c r="S3" i="8" s="1"/>
  <c r="X3" i="8" s="1"/>
  <c r="Q2" i="8"/>
  <c r="N4" i="8"/>
  <c r="W2" i="8"/>
  <c r="W3" i="8" s="1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R3" i="8"/>
  <c r="R4" i="8" s="1"/>
  <c r="R5" i="8" s="1"/>
  <c r="R6" i="8" s="1"/>
  <c r="R7" i="8" s="1"/>
  <c r="R8" i="8" s="1"/>
  <c r="R9" i="8" s="1"/>
  <c r="O17" i="6"/>
  <c r="O20" i="6"/>
  <c r="O19" i="6"/>
  <c r="O18" i="6"/>
  <c r="O8" i="6"/>
  <c r="N5" i="8" l="1"/>
  <c r="S4" i="8"/>
  <c r="X4" i="8" s="1"/>
  <c r="Q3" i="8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V2" i="8"/>
  <c r="V3" i="8" s="1"/>
  <c r="V4" i="8" s="1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X20" i="3"/>
  <c r="X9" i="3"/>
  <c r="X8" i="3"/>
  <c r="X15" i="3"/>
  <c r="X25" i="3"/>
  <c r="X24" i="3"/>
  <c r="X19" i="3"/>
  <c r="X27" i="3"/>
  <c r="X23" i="3"/>
  <c r="X26" i="3"/>
  <c r="X7" i="3"/>
  <c r="X13" i="3"/>
  <c r="X6" i="3"/>
  <c r="X21" i="3"/>
  <c r="X14" i="3"/>
  <c r="X5" i="3"/>
  <c r="X4" i="3"/>
  <c r="N6" i="8" l="1"/>
  <c r="S5" i="8"/>
  <c r="X5" i="8" s="1"/>
  <c r="R11" i="5"/>
  <c r="Q11" i="5"/>
  <c r="L32" i="6"/>
  <c r="B26" i="6"/>
  <c r="O13" i="6"/>
  <c r="O12" i="6"/>
  <c r="O7" i="6"/>
  <c r="N7" i="8" l="1"/>
  <c r="S6" i="8"/>
  <c r="X6" i="8" s="1"/>
  <c r="O15" i="6"/>
  <c r="O10" i="6"/>
  <c r="O11" i="6"/>
  <c r="O6" i="6"/>
  <c r="O14" i="6"/>
  <c r="O9" i="6"/>
  <c r="O16" i="6"/>
  <c r="Z9" i="6"/>
  <c r="AA9" i="6" s="1"/>
  <c r="Z6" i="6"/>
  <c r="AA6" i="6" s="1"/>
  <c r="Z7" i="6"/>
  <c r="AA7" i="6" s="1"/>
  <c r="N8" i="8" l="1"/>
  <c r="S7" i="8"/>
  <c r="X7" i="8" s="1"/>
  <c r="AL12" i="3"/>
  <c r="AL18" i="3" s="1"/>
  <c r="N9" i="8" l="1"/>
  <c r="S8" i="8"/>
  <c r="X8" i="8" s="1"/>
  <c r="R16" i="5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N11" i="8" l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7" i="8" s="1"/>
  <c r="N28" i="8" s="1"/>
  <c r="S9" i="8"/>
  <c r="X9" i="8" s="1"/>
  <c r="E13" i="3"/>
  <c r="P6" i="5" l="1"/>
  <c r="Q18" i="5" l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X15" i="5"/>
  <c r="Y15" i="5" s="1"/>
  <c r="Z15" i="5" s="1"/>
  <c r="AA15" i="5" s="1"/>
  <c r="AB15" i="5" s="1"/>
  <c r="AC15" i="5" s="1"/>
  <c r="AD15" i="5" s="1"/>
  <c r="AE15" i="5" s="1"/>
  <c r="E4" i="3" l="1"/>
  <c r="N1" i="5" l="1"/>
  <c r="N27" i="5" s="1"/>
  <c r="Q3" i="5"/>
  <c r="M16" i="5"/>
  <c r="M17" i="5"/>
  <c r="H23" i="5" s="1"/>
  <c r="M18" i="5"/>
  <c r="M19" i="5"/>
  <c r="M20" i="5"/>
  <c r="M21" i="5"/>
  <c r="E7" i="5" s="1"/>
  <c r="M22" i="5"/>
  <c r="M23" i="5"/>
  <c r="M24" i="5"/>
  <c r="M15" i="5"/>
  <c r="M8" i="5"/>
  <c r="M9" i="5"/>
  <c r="M12" i="5"/>
  <c r="E31" i="5" s="1"/>
  <c r="O38" i="5"/>
  <c r="N38" i="5"/>
  <c r="N25" i="5"/>
  <c r="N14" i="5"/>
  <c r="N5" i="5"/>
  <c r="N26" i="5" s="1"/>
  <c r="O5" i="5" s="1"/>
  <c r="N4" i="5"/>
  <c r="O4" i="5" s="1"/>
  <c r="X7" i="5"/>
  <c r="Y7" i="5" s="1"/>
  <c r="Z7" i="5" s="1"/>
  <c r="AA7" i="5" s="1"/>
  <c r="AB7" i="5" s="1"/>
  <c r="AC7" i="5" s="1"/>
  <c r="AD7" i="5" s="1"/>
  <c r="AE7" i="5" s="1"/>
  <c r="O6" i="5"/>
  <c r="O14" i="5" s="1"/>
  <c r="AE38" i="5"/>
  <c r="AD38" i="5"/>
  <c r="AC38" i="5"/>
  <c r="AB38" i="5"/>
  <c r="AA38" i="5"/>
  <c r="Z38" i="5"/>
  <c r="Y38" i="5"/>
  <c r="X38" i="5"/>
  <c r="W38" i="5"/>
  <c r="T38" i="5"/>
  <c r="S38" i="5"/>
  <c r="R38" i="5"/>
  <c r="Q38" i="5"/>
  <c r="P38" i="5"/>
  <c r="A31" i="5"/>
  <c r="A30" i="5"/>
  <c r="A29" i="5"/>
  <c r="O27" i="5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26" i="5"/>
  <c r="L24" i="5"/>
  <c r="A32" i="5" s="1"/>
  <c r="L19" i="5"/>
  <c r="A28" i="5" s="1"/>
  <c r="L18" i="5"/>
  <c r="A27" i="5" s="1"/>
  <c r="L16" i="5"/>
  <c r="A25" i="5" s="1"/>
  <c r="L15" i="5"/>
  <c r="A24" i="5" s="1"/>
  <c r="P13" i="5"/>
  <c r="P14" i="5" s="1"/>
  <c r="D13" i="5"/>
  <c r="D27" i="5" s="1"/>
  <c r="A13" i="5"/>
  <c r="D12" i="5"/>
  <c r="D26" i="5" s="1"/>
  <c r="A12" i="5"/>
  <c r="A11" i="5"/>
  <c r="Q10" i="5"/>
  <c r="A10" i="5"/>
  <c r="A9" i="5"/>
  <c r="A8" i="5"/>
  <c r="H5" i="5"/>
  <c r="A7" i="5"/>
  <c r="A6" i="5"/>
  <c r="P1" i="5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R3" i="5" l="1"/>
  <c r="M7" i="5"/>
  <c r="E6" i="5"/>
  <c r="R10" i="5"/>
  <c r="S10" i="5" s="1"/>
  <c r="T10" i="5" s="1"/>
  <c r="X10" i="5" s="1"/>
  <c r="Y10" i="5" s="1"/>
  <c r="Z10" i="5" s="1"/>
  <c r="AA10" i="5" s="1"/>
  <c r="AB10" i="5" s="1"/>
  <c r="AC10" i="5" s="1"/>
  <c r="AD10" i="5" s="1"/>
  <c r="AE10" i="5" s="1"/>
  <c r="E11" i="5"/>
  <c r="E25" i="5"/>
  <c r="M6" i="5"/>
  <c r="E5" i="5"/>
  <c r="E15" i="5"/>
  <c r="Q13" i="5"/>
  <c r="R13" i="5" s="1"/>
  <c r="S13" i="5" s="1"/>
  <c r="T13" i="5" s="1"/>
  <c r="U13" i="5" s="1"/>
  <c r="E22" i="5"/>
  <c r="V13" i="5" l="1"/>
  <c r="W13" i="5" s="1"/>
  <c r="X13" i="5" s="1"/>
  <c r="Y13" i="5" s="1"/>
  <c r="Z13" i="5" s="1"/>
  <c r="AA13" i="5" s="1"/>
  <c r="AB13" i="5" s="1"/>
  <c r="AC13" i="5" s="1"/>
  <c r="AD13" i="5" s="1"/>
  <c r="AE13" i="5" s="1"/>
  <c r="M13" i="5" s="1"/>
  <c r="R14" i="5"/>
  <c r="S11" i="5"/>
  <c r="Y11" i="5" s="1"/>
  <c r="Z11" i="5" s="1"/>
  <c r="AA11" i="5" s="1"/>
  <c r="AB11" i="5" s="1"/>
  <c r="AC11" i="5" s="1"/>
  <c r="AD11" i="5" s="1"/>
  <c r="AE11" i="5" s="1"/>
  <c r="S3" i="5"/>
  <c r="M10" i="5"/>
  <c r="E34" i="5" s="1"/>
  <c r="H29" i="5"/>
  <c r="H28" i="5"/>
  <c r="Q14" i="5"/>
  <c r="E21" i="5"/>
  <c r="T14" i="5"/>
  <c r="H32" i="5"/>
  <c r="E32" i="5"/>
  <c r="H24" i="5"/>
  <c r="T3" i="5" l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S14" i="5"/>
  <c r="M11" i="5"/>
  <c r="E30" i="5" s="1"/>
  <c r="H31" i="5"/>
  <c r="H22" i="5"/>
  <c r="E26" i="5"/>
  <c r="E12" i="5"/>
  <c r="U14" i="5"/>
  <c r="V14" i="5" l="1"/>
  <c r="W14" i="5" l="1"/>
  <c r="X14" i="5" l="1"/>
  <c r="Y14" i="5" l="1"/>
  <c r="Z14" i="5" l="1"/>
  <c r="AA14" i="5" l="1"/>
  <c r="AB14" i="5" l="1"/>
  <c r="AC14" i="5" l="1"/>
  <c r="AD14" i="5" l="1"/>
  <c r="AE14" i="5" l="1"/>
  <c r="M14" i="5" s="1"/>
  <c r="B7" i="5" l="1"/>
  <c r="E33" i="5"/>
  <c r="A15" i="5"/>
  <c r="B9" i="5"/>
  <c r="B11" i="5"/>
  <c r="B12" i="5"/>
  <c r="B8" i="5"/>
  <c r="B10" i="5"/>
  <c r="B6" i="5"/>
  <c r="B13" i="5"/>
  <c r="B14" i="5" l="1"/>
  <c r="E29" i="5"/>
  <c r="H27" i="5" l="1"/>
  <c r="U2" i="1" l="1"/>
  <c r="S2" i="1"/>
  <c r="P2" i="1"/>
  <c r="M2" i="1"/>
  <c r="I2" i="1"/>
  <c r="U22" i="1"/>
  <c r="S22" i="1"/>
  <c r="C16" i="4" l="1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J29" i="4" l="1"/>
  <c r="AH29" i="4"/>
  <c r="AF29" i="4"/>
  <c r="AJ28" i="4"/>
  <c r="AH28" i="4"/>
  <c r="AF28" i="4"/>
  <c r="AJ27" i="4"/>
  <c r="AH27" i="4"/>
  <c r="AF27" i="4"/>
  <c r="AJ26" i="4"/>
  <c r="AH26" i="4"/>
  <c r="AF26" i="4"/>
  <c r="B25" i="4"/>
  <c r="B29" i="4" s="1"/>
  <c r="C23" i="4"/>
  <c r="B23" i="4"/>
  <c r="B27" i="4" s="1"/>
  <c r="Q13" i="4"/>
  <c r="L7" i="4" s="1"/>
  <c r="O13" i="4"/>
  <c r="L5" i="4" s="1"/>
  <c r="N13" i="4"/>
  <c r="P12" i="4"/>
  <c r="E12" i="4"/>
  <c r="P11" i="4"/>
  <c r="E11" i="4"/>
  <c r="P10" i="4"/>
  <c r="E10" i="4"/>
  <c r="P9" i="4"/>
  <c r="H9" i="4"/>
  <c r="I11" i="4" s="1"/>
  <c r="E9" i="4"/>
  <c r="P8" i="4"/>
  <c r="P7" i="4"/>
  <c r="K7" i="4"/>
  <c r="J7" i="4"/>
  <c r="I7" i="4"/>
  <c r="G7" i="4"/>
  <c r="E7" i="4"/>
  <c r="P6" i="4"/>
  <c r="K6" i="4"/>
  <c r="J6" i="4"/>
  <c r="I6" i="4"/>
  <c r="G6" i="4"/>
  <c r="E6" i="4"/>
  <c r="P5" i="4"/>
  <c r="B24" i="4" s="1"/>
  <c r="B28" i="4" s="1"/>
  <c r="K5" i="4"/>
  <c r="J5" i="4"/>
  <c r="I5" i="4"/>
  <c r="G5" i="4"/>
  <c r="E5" i="4"/>
  <c r="P4" i="4"/>
  <c r="L4" i="4"/>
  <c r="K4" i="4"/>
  <c r="J4" i="4"/>
  <c r="I4" i="4"/>
  <c r="G4" i="4"/>
  <c r="E4" i="4"/>
  <c r="P3" i="4"/>
  <c r="C3" i="4"/>
  <c r="C8" i="4" s="1"/>
  <c r="B3" i="4"/>
  <c r="P2" i="4"/>
  <c r="P13" i="4" s="1"/>
  <c r="L6" i="4" s="1"/>
  <c r="L8" i="4" s="1"/>
  <c r="A30" i="3"/>
  <c r="E5" i="3"/>
  <c r="E23" i="3"/>
  <c r="X22" i="3"/>
  <c r="E22" i="3"/>
  <c r="E24" i="3"/>
  <c r="E27" i="3"/>
  <c r="E25" i="3"/>
  <c r="E6" i="3"/>
  <c r="E26" i="3"/>
  <c r="E15" i="3"/>
  <c r="E8" i="3"/>
  <c r="E7" i="3"/>
  <c r="E21" i="3"/>
  <c r="E9" i="3"/>
  <c r="E20" i="3"/>
  <c r="E19" i="3"/>
  <c r="E14" i="3"/>
  <c r="AM12" i="3"/>
  <c r="AM18" i="3" s="1"/>
  <c r="Y12" i="3"/>
  <c r="Y18" i="3" s="1"/>
  <c r="X12" i="3"/>
  <c r="X18" i="3" s="1"/>
  <c r="V12" i="3"/>
  <c r="V18" i="3" s="1"/>
  <c r="F12" i="3"/>
  <c r="F18" i="3" s="1"/>
  <c r="AY21" i="1"/>
  <c r="AK21" i="1"/>
  <c r="AJ21" i="1"/>
  <c r="V21" i="1"/>
  <c r="T21" i="1"/>
  <c r="R21" i="1"/>
  <c r="Q21" i="1"/>
  <c r="N21" i="1"/>
  <c r="L21" i="1"/>
  <c r="K21" i="1"/>
  <c r="J21" i="1"/>
  <c r="AH21" i="1" s="1"/>
  <c r="AQ21" i="1"/>
  <c r="AY20" i="1"/>
  <c r="AK20" i="1"/>
  <c r="AJ20" i="1"/>
  <c r="V20" i="1"/>
  <c r="T20" i="1"/>
  <c r="R20" i="1"/>
  <c r="Q20" i="1"/>
  <c r="N20" i="1"/>
  <c r="L20" i="1"/>
  <c r="K20" i="1"/>
  <c r="J20" i="1"/>
  <c r="AQ20" i="1"/>
  <c r="AY19" i="1"/>
  <c r="AK19" i="1"/>
  <c r="AJ19" i="1"/>
  <c r="V19" i="1"/>
  <c r="T19" i="1"/>
  <c r="R19" i="1"/>
  <c r="Q19" i="1"/>
  <c r="N19" i="1"/>
  <c r="L19" i="1"/>
  <c r="K19" i="1"/>
  <c r="J19" i="1"/>
  <c r="AL19" i="1" s="1"/>
  <c r="AQ19" i="1"/>
  <c r="AY18" i="1"/>
  <c r="AK18" i="1"/>
  <c r="AJ18" i="1"/>
  <c r="V18" i="1"/>
  <c r="T18" i="1"/>
  <c r="R18" i="1"/>
  <c r="Q18" i="1"/>
  <c r="N18" i="1"/>
  <c r="L18" i="1"/>
  <c r="K18" i="1"/>
  <c r="J18" i="1"/>
  <c r="AL18" i="1" s="1"/>
  <c r="AQ18" i="1"/>
  <c r="AY17" i="1"/>
  <c r="AK17" i="1"/>
  <c r="AJ17" i="1"/>
  <c r="V17" i="1"/>
  <c r="T17" i="1"/>
  <c r="R17" i="1"/>
  <c r="Q17" i="1"/>
  <c r="N17" i="1"/>
  <c r="L17" i="1"/>
  <c r="K17" i="1"/>
  <c r="J17" i="1"/>
  <c r="AN17" i="1" s="1"/>
  <c r="AQ17" i="1"/>
  <c r="AY16" i="1"/>
  <c r="AK16" i="1"/>
  <c r="AJ16" i="1"/>
  <c r="V16" i="1"/>
  <c r="T16" i="1"/>
  <c r="R16" i="1"/>
  <c r="Q16" i="1"/>
  <c r="N16" i="1"/>
  <c r="L16" i="1"/>
  <c r="K16" i="1"/>
  <c r="J16" i="1"/>
  <c r="AI16" i="1" s="1"/>
  <c r="AQ16" i="1"/>
  <c r="AY15" i="1"/>
  <c r="AK15" i="1"/>
  <c r="AJ15" i="1"/>
  <c r="V15" i="1"/>
  <c r="T15" i="1"/>
  <c r="R15" i="1"/>
  <c r="Q15" i="1"/>
  <c r="N15" i="1"/>
  <c r="L15" i="1"/>
  <c r="K15" i="1"/>
  <c r="J15" i="1"/>
  <c r="AQ15" i="1"/>
  <c r="AY14" i="1"/>
  <c r="AK14" i="1"/>
  <c r="AJ14" i="1"/>
  <c r="V14" i="1"/>
  <c r="T14" i="1"/>
  <c r="R14" i="1"/>
  <c r="Q14" i="1"/>
  <c r="N14" i="1"/>
  <c r="L14" i="1"/>
  <c r="K14" i="1"/>
  <c r="J14" i="1"/>
  <c r="AM14" i="1" s="1"/>
  <c r="AQ14" i="1"/>
  <c r="AY13" i="1"/>
  <c r="AK13" i="1"/>
  <c r="AJ13" i="1"/>
  <c r="V13" i="1"/>
  <c r="T13" i="1"/>
  <c r="R13" i="1"/>
  <c r="Q13" i="1"/>
  <c r="N13" i="1"/>
  <c r="L13" i="1"/>
  <c r="K13" i="1"/>
  <c r="J13" i="1"/>
  <c r="AH13" i="1" s="1"/>
  <c r="AQ13" i="1"/>
  <c r="AY12" i="1"/>
  <c r="AK12" i="1"/>
  <c r="AJ12" i="1"/>
  <c r="V12" i="1"/>
  <c r="T12" i="1"/>
  <c r="R12" i="1"/>
  <c r="Q12" i="1"/>
  <c r="N12" i="1"/>
  <c r="L12" i="1"/>
  <c r="K12" i="1"/>
  <c r="J12" i="1"/>
  <c r="AQ12" i="1"/>
  <c r="AY11" i="1"/>
  <c r="AK11" i="1"/>
  <c r="AJ11" i="1"/>
  <c r="V11" i="1"/>
  <c r="T11" i="1"/>
  <c r="R11" i="1"/>
  <c r="Q11" i="1"/>
  <c r="N11" i="1"/>
  <c r="L11" i="1"/>
  <c r="K11" i="1"/>
  <c r="J11" i="1"/>
  <c r="AL11" i="1" s="1"/>
  <c r="AQ11" i="1"/>
  <c r="AY10" i="1"/>
  <c r="AK10" i="1"/>
  <c r="AJ10" i="1"/>
  <c r="V10" i="1"/>
  <c r="T10" i="1"/>
  <c r="R10" i="1"/>
  <c r="Q10" i="1"/>
  <c r="N10" i="1"/>
  <c r="L10" i="1"/>
  <c r="K10" i="1"/>
  <c r="J10" i="1"/>
  <c r="AL10" i="1" s="1"/>
  <c r="AQ10" i="1"/>
  <c r="AY9" i="1"/>
  <c r="AK9" i="1"/>
  <c r="AJ9" i="1"/>
  <c r="V9" i="1"/>
  <c r="T9" i="1"/>
  <c r="R9" i="1"/>
  <c r="Q9" i="1"/>
  <c r="N9" i="1"/>
  <c r="L9" i="1"/>
  <c r="K9" i="1"/>
  <c r="J9" i="1"/>
  <c r="AN9" i="1" s="1"/>
  <c r="AQ9" i="1"/>
  <c r="AY8" i="1"/>
  <c r="AK8" i="1"/>
  <c r="AJ8" i="1"/>
  <c r="V8" i="1"/>
  <c r="T8" i="1"/>
  <c r="R8" i="1"/>
  <c r="Q8" i="1"/>
  <c r="N8" i="1"/>
  <c r="L8" i="1"/>
  <c r="K8" i="1"/>
  <c r="J8" i="1"/>
  <c r="AN8" i="1" s="1"/>
  <c r="AQ8" i="1"/>
  <c r="AY7" i="1"/>
  <c r="AK7" i="1"/>
  <c r="AJ7" i="1"/>
  <c r="V7" i="1"/>
  <c r="T7" i="1"/>
  <c r="R7" i="1"/>
  <c r="Q7" i="1"/>
  <c r="N7" i="1"/>
  <c r="L7" i="1"/>
  <c r="K7" i="1"/>
  <c r="J7" i="1"/>
  <c r="AQ7" i="1"/>
  <c r="AY5" i="1"/>
  <c r="AK5" i="1"/>
  <c r="AJ5" i="1"/>
  <c r="V5" i="1"/>
  <c r="T5" i="1"/>
  <c r="R5" i="1"/>
  <c r="Q5" i="1"/>
  <c r="N5" i="1"/>
  <c r="L5" i="1"/>
  <c r="K5" i="1"/>
  <c r="J5" i="1"/>
  <c r="AH5" i="1" s="1"/>
  <c r="AQ5" i="1"/>
  <c r="AY6" i="1"/>
  <c r="AK6" i="1"/>
  <c r="AJ6" i="1"/>
  <c r="V6" i="1"/>
  <c r="T6" i="1"/>
  <c r="R6" i="1"/>
  <c r="Q6" i="1"/>
  <c r="N6" i="1"/>
  <c r="L6" i="1"/>
  <c r="K6" i="1"/>
  <c r="J6" i="1"/>
  <c r="AN6" i="1" s="1"/>
  <c r="AQ6" i="1"/>
  <c r="AY4" i="1"/>
  <c r="AK4" i="1"/>
  <c r="AJ4" i="1"/>
  <c r="V4" i="1"/>
  <c r="T4" i="1"/>
  <c r="R4" i="1"/>
  <c r="Q4" i="1"/>
  <c r="N4" i="1"/>
  <c r="L4" i="1"/>
  <c r="K4" i="1"/>
  <c r="J4" i="1"/>
  <c r="AL4" i="1" s="1"/>
  <c r="AQ4" i="1"/>
  <c r="D1" i="1"/>
  <c r="C24" i="3" l="1"/>
  <c r="C21" i="3"/>
  <c r="B12" i="4"/>
  <c r="C7" i="3"/>
  <c r="C22" i="3"/>
  <c r="C15" i="3"/>
  <c r="C6" i="3"/>
  <c r="C9" i="3"/>
  <c r="C8" i="3"/>
  <c r="C23" i="3"/>
  <c r="F8" i="1"/>
  <c r="C8" i="1" s="1"/>
  <c r="F13" i="1"/>
  <c r="C13" i="1" s="1"/>
  <c r="F18" i="1"/>
  <c r="C18" i="1" s="1"/>
  <c r="F9" i="1"/>
  <c r="C9" i="1" s="1"/>
  <c r="C13" i="3"/>
  <c r="C5" i="3"/>
  <c r="F12" i="1"/>
  <c r="C12" i="1" s="1"/>
  <c r="F17" i="1"/>
  <c r="C17" i="1" s="1"/>
  <c r="F11" i="1"/>
  <c r="C11" i="1" s="1"/>
  <c r="F10" i="1"/>
  <c r="C10" i="1" s="1"/>
  <c r="Q2" i="1"/>
  <c r="C4" i="3"/>
  <c r="T22" i="1"/>
  <c r="J8" i="4"/>
  <c r="K8" i="4"/>
  <c r="I12" i="4"/>
  <c r="R2" i="1"/>
  <c r="B17" i="4"/>
  <c r="I10" i="4"/>
  <c r="C9" i="4"/>
  <c r="AN16" i="1"/>
  <c r="AM11" i="1"/>
  <c r="AM4" i="1"/>
  <c r="V22" i="1"/>
  <c r="AM17" i="1"/>
  <c r="AM7" i="1"/>
  <c r="AM15" i="1"/>
  <c r="AM19" i="1"/>
  <c r="F14" i="1"/>
  <c r="C14" i="1" s="1"/>
  <c r="F21" i="1"/>
  <c r="C21" i="1" s="1"/>
  <c r="AM9" i="1"/>
  <c r="AH8" i="1"/>
  <c r="AI5" i="1"/>
  <c r="AI7" i="1"/>
  <c r="AI11" i="1"/>
  <c r="AL16" i="1"/>
  <c r="AI15" i="1"/>
  <c r="AI19" i="1"/>
  <c r="AL14" i="1"/>
  <c r="AI13" i="1"/>
  <c r="AI9" i="1"/>
  <c r="AM13" i="1"/>
  <c r="AM5" i="1"/>
  <c r="AH10" i="1"/>
  <c r="AN14" i="1"/>
  <c r="AI21" i="1"/>
  <c r="AI4" i="1"/>
  <c r="AI17" i="1"/>
  <c r="AM21" i="1"/>
  <c r="F7" i="1"/>
  <c r="C7" i="1" s="1"/>
  <c r="C20" i="3"/>
  <c r="C25" i="3"/>
  <c r="C14" i="3"/>
  <c r="C26" i="3"/>
  <c r="C27" i="3"/>
  <c r="F6" i="1"/>
  <c r="O2" i="8" s="1"/>
  <c r="C19" i="3"/>
  <c r="A31" i="3"/>
  <c r="AL8" i="1"/>
  <c r="AM6" i="1"/>
  <c r="AL6" i="1"/>
  <c r="AI6" i="1"/>
  <c r="AH6" i="1"/>
  <c r="AN20" i="1"/>
  <c r="AM20" i="1"/>
  <c r="AL20" i="1"/>
  <c r="AI20" i="1"/>
  <c r="AH20" i="1"/>
  <c r="AM12" i="1"/>
  <c r="AL12" i="1"/>
  <c r="AI12" i="1"/>
  <c r="AN12" i="1"/>
  <c r="AI8" i="1"/>
  <c r="AM8" i="1"/>
  <c r="AN10" i="1"/>
  <c r="AM10" i="1"/>
  <c r="AI10" i="1"/>
  <c r="AH12" i="1"/>
  <c r="AN18" i="1"/>
  <c r="AM18" i="1"/>
  <c r="AI18" i="1"/>
  <c r="AH18" i="1"/>
  <c r="F15" i="1"/>
  <c r="C15" i="1" s="1"/>
  <c r="F5" i="1"/>
  <c r="J2" i="8" s="1"/>
  <c r="J3" i="8" s="1"/>
  <c r="J4" i="8" s="1"/>
  <c r="J5" i="8" s="1"/>
  <c r="J6" i="8" s="1"/>
  <c r="J7" i="8" s="1"/>
  <c r="J8" i="8" s="1"/>
  <c r="J9" i="8" s="1"/>
  <c r="J10" i="8" s="1"/>
  <c r="J11" i="8" s="1"/>
  <c r="F16" i="1"/>
  <c r="C16" i="1" s="1"/>
  <c r="F19" i="1"/>
  <c r="C19" i="1" s="1"/>
  <c r="F4" i="1"/>
  <c r="F2" i="8" s="1"/>
  <c r="F3" i="8" s="1"/>
  <c r="F4" i="8" s="1"/>
  <c r="F5" i="8" s="1"/>
  <c r="F6" i="8" s="1"/>
  <c r="F7" i="8" s="1"/>
  <c r="F8" i="8" s="1"/>
  <c r="F20" i="1"/>
  <c r="C20" i="1" s="1"/>
  <c r="B13" i="4"/>
  <c r="B10" i="4" s="1"/>
  <c r="AN4" i="1"/>
  <c r="AL5" i="1"/>
  <c r="AH7" i="1"/>
  <c r="AN11" i="1"/>
  <c r="AL13" i="1"/>
  <c r="AH15" i="1"/>
  <c r="AM16" i="1"/>
  <c r="AN19" i="1"/>
  <c r="AL21" i="1"/>
  <c r="AN5" i="1"/>
  <c r="AL7" i="1"/>
  <c r="AH9" i="1"/>
  <c r="AN13" i="1"/>
  <c r="AL15" i="1"/>
  <c r="AH17" i="1"/>
  <c r="AN21" i="1"/>
  <c r="AH14" i="1"/>
  <c r="AH4" i="1"/>
  <c r="AN7" i="1"/>
  <c r="AL9" i="1"/>
  <c r="AH11" i="1"/>
  <c r="AI14" i="1"/>
  <c r="AN15" i="1"/>
  <c r="AL17" i="1"/>
  <c r="AH19" i="1"/>
  <c r="B30" i="4"/>
  <c r="C30" i="4" s="1"/>
  <c r="AH16" i="1"/>
  <c r="C24" i="4"/>
  <c r="C25" i="4"/>
  <c r="B22" i="4"/>
  <c r="B26" i="4" s="1"/>
  <c r="C10" i="4"/>
  <c r="C11" i="4"/>
  <c r="I13" i="4"/>
  <c r="O3" i="8" l="1"/>
  <c r="T2" i="8"/>
  <c r="Y2" i="8" s="1"/>
  <c r="J12" i="8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F9" i="8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C5" i="1"/>
  <c r="C6" i="1"/>
  <c r="C4" i="1"/>
  <c r="B31" i="4"/>
  <c r="B32" i="4" s="1"/>
  <c r="B33" i="4" s="1"/>
  <c r="D30" i="4"/>
  <c r="E30" i="4" s="1"/>
  <c r="C31" i="4"/>
  <c r="D25" i="4"/>
  <c r="D29" i="4" s="1"/>
  <c r="D24" i="4"/>
  <c r="D28" i="4" s="1"/>
  <c r="D23" i="4"/>
  <c r="D27" i="4" s="1"/>
  <c r="C22" i="4"/>
  <c r="C17" i="4"/>
  <c r="C32" i="4" l="1"/>
  <c r="C33" i="4" s="1"/>
  <c r="O4" i="8"/>
  <c r="T3" i="8"/>
  <c r="Y3" i="8" s="1"/>
  <c r="F25" i="8"/>
  <c r="F26" i="8" s="1"/>
  <c r="F27" i="8" s="1"/>
  <c r="F28" i="8" s="1"/>
  <c r="D17" i="4"/>
  <c r="D22" i="4"/>
  <c r="D26" i="4" s="1"/>
  <c r="D31" i="4" s="1"/>
  <c r="D32" i="4" s="1"/>
  <c r="E31" i="4"/>
  <c r="F30" i="4"/>
  <c r="G30" i="4" s="1"/>
  <c r="E25" i="4"/>
  <c r="E23" i="4"/>
  <c r="E24" i="4"/>
  <c r="O5" i="8" l="1"/>
  <c r="T4" i="8"/>
  <c r="Y4" i="8" s="1"/>
  <c r="D33" i="4"/>
  <c r="E32" i="4"/>
  <c r="G31" i="4"/>
  <c r="H30" i="4"/>
  <c r="I30" i="4" s="1"/>
  <c r="F25" i="4"/>
  <c r="F29" i="4" s="1"/>
  <c r="F23" i="4"/>
  <c r="F27" i="4" s="1"/>
  <c r="F24" i="4"/>
  <c r="F28" i="4" s="1"/>
  <c r="E22" i="4"/>
  <c r="E17" i="4"/>
  <c r="O6" i="8" l="1"/>
  <c r="T5" i="8"/>
  <c r="Y5" i="8" s="1"/>
  <c r="E33" i="4"/>
  <c r="F22" i="4"/>
  <c r="F26" i="4" s="1"/>
  <c r="F31" i="4" s="1"/>
  <c r="F32" i="4" s="1"/>
  <c r="F17" i="4"/>
  <c r="G23" i="4"/>
  <c r="G25" i="4"/>
  <c r="G24" i="4"/>
  <c r="J30" i="4"/>
  <c r="K30" i="4" s="1"/>
  <c r="I31" i="4"/>
  <c r="O7" i="8" l="1"/>
  <c r="T6" i="8"/>
  <c r="Y6" i="8" s="1"/>
  <c r="F33" i="4"/>
  <c r="G32" i="4"/>
  <c r="G22" i="4"/>
  <c r="G17" i="4"/>
  <c r="L30" i="4"/>
  <c r="M30" i="4" s="1"/>
  <c r="K31" i="4"/>
  <c r="H23" i="4"/>
  <c r="H27" i="4" s="1"/>
  <c r="H24" i="4"/>
  <c r="H28" i="4" s="1"/>
  <c r="H25" i="4"/>
  <c r="H29" i="4" s="1"/>
  <c r="O8" i="8" l="1"/>
  <c r="T7" i="8"/>
  <c r="Y7" i="8" s="1"/>
  <c r="M31" i="4"/>
  <c r="N30" i="4"/>
  <c r="O30" i="4" s="1"/>
  <c r="H22" i="4"/>
  <c r="H26" i="4" s="1"/>
  <c r="H31" i="4" s="1"/>
  <c r="H32" i="4" s="1"/>
  <c r="H17" i="4"/>
  <c r="I24" i="4"/>
  <c r="I23" i="4"/>
  <c r="I25" i="4"/>
  <c r="G33" i="4"/>
  <c r="O9" i="8" l="1"/>
  <c r="T8" i="8"/>
  <c r="Y8" i="8" s="1"/>
  <c r="I32" i="4"/>
  <c r="H33" i="4"/>
  <c r="J24" i="4"/>
  <c r="J28" i="4" s="1"/>
  <c r="J23" i="4"/>
  <c r="J27" i="4" s="1"/>
  <c r="J25" i="4"/>
  <c r="J29" i="4" s="1"/>
  <c r="I22" i="4"/>
  <c r="I17" i="4"/>
  <c r="O31" i="4"/>
  <c r="P30" i="4"/>
  <c r="Q30" i="4" s="1"/>
  <c r="O10" i="8" l="1"/>
  <c r="T9" i="8"/>
  <c r="Y9" i="8" s="1"/>
  <c r="J17" i="4"/>
  <c r="J22" i="4"/>
  <c r="J26" i="4" s="1"/>
  <c r="J31" i="4" s="1"/>
  <c r="J32" i="4" s="1"/>
  <c r="K24" i="4"/>
  <c r="K25" i="4"/>
  <c r="K23" i="4"/>
  <c r="R30" i="4"/>
  <c r="S30" i="4" s="1"/>
  <c r="Q31" i="4"/>
  <c r="I33" i="4"/>
  <c r="O11" i="8" l="1"/>
  <c r="T10" i="8"/>
  <c r="Y10" i="8" s="1"/>
  <c r="K32" i="4"/>
  <c r="J33" i="4"/>
  <c r="K22" i="4"/>
  <c r="K17" i="4"/>
  <c r="L25" i="4"/>
  <c r="L29" i="4" s="1"/>
  <c r="L24" i="4"/>
  <c r="L28" i="4" s="1"/>
  <c r="L23" i="4"/>
  <c r="L27" i="4" s="1"/>
  <c r="T30" i="4"/>
  <c r="U30" i="4" s="1"/>
  <c r="S31" i="4"/>
  <c r="O12" i="8" l="1"/>
  <c r="T11" i="8"/>
  <c r="Y11" i="8" s="1"/>
  <c r="M25" i="4"/>
  <c r="M23" i="4"/>
  <c r="M24" i="4"/>
  <c r="L17" i="4"/>
  <c r="L22" i="4"/>
  <c r="L26" i="4" s="1"/>
  <c r="L31" i="4" s="1"/>
  <c r="L32" i="4" s="1"/>
  <c r="U31" i="4"/>
  <c r="V30" i="4"/>
  <c r="W30" i="4" s="1"/>
  <c r="K33" i="4"/>
  <c r="O13" i="8" l="1"/>
  <c r="T12" i="8"/>
  <c r="Y12" i="8" s="1"/>
  <c r="L33" i="4"/>
  <c r="M32" i="4"/>
  <c r="W31" i="4"/>
  <c r="X30" i="4"/>
  <c r="Y30" i="4" s="1"/>
  <c r="M22" i="4"/>
  <c r="M17" i="4"/>
  <c r="N25" i="4"/>
  <c r="N29" i="4" s="1"/>
  <c r="N23" i="4"/>
  <c r="N27" i="4" s="1"/>
  <c r="N24" i="4"/>
  <c r="N28" i="4" s="1"/>
  <c r="O14" i="8" l="1"/>
  <c r="T13" i="8"/>
  <c r="Y13" i="8" s="1"/>
  <c r="Z30" i="4"/>
  <c r="AA30" i="4" s="1"/>
  <c r="Y31" i="4"/>
  <c r="M33" i="4"/>
  <c r="N22" i="4"/>
  <c r="N26" i="4" s="1"/>
  <c r="N31" i="4" s="1"/>
  <c r="N32" i="4" s="1"/>
  <c r="N17" i="4"/>
  <c r="O23" i="4"/>
  <c r="O25" i="4"/>
  <c r="O24" i="4"/>
  <c r="O15" i="8" l="1"/>
  <c r="T14" i="8"/>
  <c r="Y14" i="8" s="1"/>
  <c r="N33" i="4"/>
  <c r="O32" i="4"/>
  <c r="P23" i="4"/>
  <c r="P27" i="4" s="1"/>
  <c r="P24" i="4"/>
  <c r="P28" i="4" s="1"/>
  <c r="P25" i="4"/>
  <c r="P29" i="4" s="1"/>
  <c r="AB30" i="4"/>
  <c r="AC30" i="4" s="1"/>
  <c r="AA31" i="4"/>
  <c r="O22" i="4"/>
  <c r="O17" i="4"/>
  <c r="O16" i="8" l="1"/>
  <c r="T15" i="8"/>
  <c r="Y15" i="8" s="1"/>
  <c r="O33" i="4"/>
  <c r="Q24" i="4"/>
  <c r="Q23" i="4"/>
  <c r="Q25" i="4"/>
  <c r="AC31" i="4"/>
  <c r="AD30" i="4"/>
  <c r="P22" i="4"/>
  <c r="P26" i="4" s="1"/>
  <c r="P31" i="4" s="1"/>
  <c r="P32" i="4" s="1"/>
  <c r="P17" i="4"/>
  <c r="O17" i="8" l="1"/>
  <c r="T16" i="8"/>
  <c r="Y16" i="8" s="1"/>
  <c r="R24" i="4"/>
  <c r="R28" i="4" s="1"/>
  <c r="R23" i="4"/>
  <c r="R27" i="4" s="1"/>
  <c r="R25" i="4"/>
  <c r="R29" i="4" s="1"/>
  <c r="Q22" i="4"/>
  <c r="Q17" i="4"/>
  <c r="Q32" i="4"/>
  <c r="P33" i="4"/>
  <c r="O18" i="8" l="1"/>
  <c r="T17" i="8"/>
  <c r="Y17" i="8" s="1"/>
  <c r="Q33" i="4"/>
  <c r="R17" i="4"/>
  <c r="R22" i="4"/>
  <c r="R26" i="4" s="1"/>
  <c r="R31" i="4" s="1"/>
  <c r="R32" i="4" s="1"/>
  <c r="S24" i="4"/>
  <c r="S25" i="4"/>
  <c r="S23" i="4"/>
  <c r="O19" i="8" l="1"/>
  <c r="T18" i="8"/>
  <c r="Y18" i="8" s="1"/>
  <c r="S32" i="4"/>
  <c r="R33" i="4"/>
  <c r="S22" i="4"/>
  <c r="S17" i="4"/>
  <c r="T25" i="4"/>
  <c r="T29" i="4" s="1"/>
  <c r="T24" i="4"/>
  <c r="T28" i="4" s="1"/>
  <c r="T23" i="4"/>
  <c r="T27" i="4" s="1"/>
  <c r="O20" i="8" l="1"/>
  <c r="T19" i="8"/>
  <c r="Y19" i="8" s="1"/>
  <c r="U25" i="4"/>
  <c r="U23" i="4"/>
  <c r="U24" i="4"/>
  <c r="T17" i="4"/>
  <c r="T22" i="4"/>
  <c r="T26" i="4" s="1"/>
  <c r="T31" i="4" s="1"/>
  <c r="T32" i="4" s="1"/>
  <c r="S33" i="4"/>
  <c r="O21" i="8" l="1"/>
  <c r="T20" i="8"/>
  <c r="Y20" i="8" s="1"/>
  <c r="T33" i="4"/>
  <c r="U32" i="4"/>
  <c r="V25" i="4"/>
  <c r="V29" i="4" s="1"/>
  <c r="V23" i="4"/>
  <c r="V27" i="4" s="1"/>
  <c r="V24" i="4"/>
  <c r="V28" i="4" s="1"/>
  <c r="U17" i="4"/>
  <c r="U22" i="4"/>
  <c r="O22" i="8" l="1"/>
  <c r="T21" i="8"/>
  <c r="Y21" i="8" s="1"/>
  <c r="V22" i="4"/>
  <c r="V26" i="4" s="1"/>
  <c r="V31" i="4" s="1"/>
  <c r="V32" i="4" s="1"/>
  <c r="V17" i="4"/>
  <c r="W23" i="4"/>
  <c r="W25" i="4"/>
  <c r="W24" i="4"/>
  <c r="U33" i="4"/>
  <c r="O23" i="8" l="1"/>
  <c r="T22" i="8"/>
  <c r="Y22" i="8" s="1"/>
  <c r="W22" i="4"/>
  <c r="W17" i="4"/>
  <c r="X23" i="4"/>
  <c r="X27" i="4" s="1"/>
  <c r="X24" i="4"/>
  <c r="X28" i="4" s="1"/>
  <c r="X25" i="4"/>
  <c r="X29" i="4" s="1"/>
  <c r="V33" i="4"/>
  <c r="W32" i="4"/>
  <c r="O24" i="8" l="1"/>
  <c r="T23" i="8"/>
  <c r="Y23" i="8" s="1"/>
  <c r="Y24" i="4"/>
  <c r="Y23" i="4"/>
  <c r="Y25" i="4"/>
  <c r="X22" i="4"/>
  <c r="X26" i="4" s="1"/>
  <c r="X31" i="4" s="1"/>
  <c r="X32" i="4" s="1"/>
  <c r="X17" i="4"/>
  <c r="W33" i="4"/>
  <c r="O25" i="8" l="1"/>
  <c r="T24" i="8"/>
  <c r="Y24" i="8" s="1"/>
  <c r="Y32" i="4"/>
  <c r="X33" i="4"/>
  <c r="Z24" i="4"/>
  <c r="Z28" i="4" s="1"/>
  <c r="Z23" i="4"/>
  <c r="Z27" i="4" s="1"/>
  <c r="Z25" i="4"/>
  <c r="Z29" i="4" s="1"/>
  <c r="Y22" i="4"/>
  <c r="Y17" i="4"/>
  <c r="T25" i="8" l="1"/>
  <c r="Y25" i="8" s="1"/>
  <c r="O26" i="8"/>
  <c r="AA24" i="4"/>
  <c r="AA25" i="4"/>
  <c r="AA23" i="4"/>
  <c r="Z17" i="4"/>
  <c r="Z22" i="4"/>
  <c r="Z26" i="4" s="1"/>
  <c r="Z31" i="4" s="1"/>
  <c r="Z32" i="4" s="1"/>
  <c r="Y33" i="4"/>
  <c r="O27" i="8" l="1"/>
  <c r="T26" i="8"/>
  <c r="Y26" i="8" s="1"/>
  <c r="AA32" i="4"/>
  <c r="Z33" i="4"/>
  <c r="AB25" i="4"/>
  <c r="AB29" i="4" s="1"/>
  <c r="AB24" i="4"/>
  <c r="AB28" i="4" s="1"/>
  <c r="AB23" i="4"/>
  <c r="AB27" i="4" s="1"/>
  <c r="AA22" i="4"/>
  <c r="AA17" i="4"/>
  <c r="O28" i="8" l="1"/>
  <c r="T28" i="8" s="1"/>
  <c r="Y28" i="8" s="1"/>
  <c r="T27" i="8"/>
  <c r="Y27" i="8" s="1"/>
  <c r="AC25" i="4"/>
  <c r="AC23" i="4"/>
  <c r="AC24" i="4"/>
  <c r="AB17" i="4"/>
  <c r="AB22" i="4"/>
  <c r="AB26" i="4" s="1"/>
  <c r="AB31" i="4" s="1"/>
  <c r="AB32" i="4" s="1"/>
  <c r="AA33" i="4"/>
  <c r="AB33" i="4" l="1"/>
  <c r="AC32" i="4"/>
  <c r="AD25" i="4"/>
  <c r="AD29" i="4" s="1"/>
  <c r="AD23" i="4"/>
  <c r="AD27" i="4" s="1"/>
  <c r="AD24" i="4"/>
  <c r="AD28" i="4" s="1"/>
  <c r="AC22" i="4"/>
  <c r="AC17" i="4"/>
  <c r="AD22" i="4" l="1"/>
  <c r="AD26" i="4" s="1"/>
  <c r="AD31" i="4" s="1"/>
  <c r="AD32" i="4" s="1"/>
  <c r="AD33" i="4" s="1"/>
  <c r="AD17" i="4"/>
  <c r="AC33" i="4"/>
  <c r="P4" i="5" l="1"/>
  <c r="Q4" i="5" s="1"/>
  <c r="R4" i="5" l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E27" i="5" l="1"/>
  <c r="E13" i="5"/>
  <c r="E10" i="5" l="1"/>
  <c r="E24" i="5"/>
  <c r="E35" i="5" l="1"/>
  <c r="F6" i="5" l="1"/>
  <c r="F30" i="5"/>
  <c r="F7" i="5"/>
  <c r="F21" i="5"/>
  <c r="F11" i="5"/>
  <c r="F25" i="5"/>
  <c r="F8" i="5"/>
  <c r="F26" i="5"/>
  <c r="F15" i="5"/>
  <c r="F19" i="5"/>
  <c r="F29" i="5"/>
  <c r="F33" i="5"/>
  <c r="F32" i="5"/>
  <c r="F34" i="5"/>
  <c r="F16" i="5"/>
  <c r="F18" i="5"/>
  <c r="F31" i="5"/>
  <c r="F12" i="5"/>
  <c r="F5" i="5"/>
  <c r="F17" i="5"/>
  <c r="F22" i="5"/>
  <c r="F13" i="5"/>
  <c r="F27" i="5"/>
  <c r="F10" i="5"/>
  <c r="F24" i="5"/>
  <c r="P25" i="5"/>
  <c r="F35" i="5" l="1"/>
  <c r="R25" i="5"/>
  <c r="Q25" i="5"/>
  <c r="S25" i="5" l="1"/>
  <c r="T25" i="5" l="1"/>
  <c r="U25" i="5" l="1"/>
  <c r="V25" i="5" l="1"/>
  <c r="W25" i="5" l="1"/>
  <c r="X25" i="5" l="1"/>
  <c r="Y25" i="5" l="1"/>
  <c r="Z25" i="5" l="1"/>
  <c r="AA25" i="5" l="1"/>
  <c r="AB25" i="5" l="1"/>
  <c r="AC25" i="5" l="1"/>
  <c r="AD25" i="5" l="1"/>
  <c r="AE25" i="5" l="1"/>
  <c r="H30" i="5" l="1"/>
  <c r="H26" i="5" l="1"/>
  <c r="H16" i="5" l="1"/>
  <c r="H10" i="5" l="1"/>
  <c r="O25" i="5"/>
  <c r="M25" i="5" s="1"/>
  <c r="B28" i="5" l="1"/>
  <c r="B26" i="5"/>
  <c r="B30" i="5"/>
  <c r="B32" i="5"/>
  <c r="B27" i="5"/>
  <c r="M26" i="5"/>
  <c r="B24" i="5"/>
  <c r="A35" i="5"/>
  <c r="B25" i="5"/>
  <c r="B31" i="5"/>
  <c r="B29" i="5"/>
  <c r="O26" i="5"/>
  <c r="P5" i="5" s="1"/>
  <c r="P26" i="5" s="1"/>
  <c r="Q5" i="5" s="1"/>
  <c r="Q26" i="5" s="1"/>
  <c r="R5" i="5" s="1"/>
  <c r="R26" i="5" s="1"/>
  <c r="S5" i="5" s="1"/>
  <c r="S26" i="5" s="1"/>
  <c r="T5" i="5" s="1"/>
  <c r="T26" i="5" s="1"/>
  <c r="U5" i="5" s="1"/>
  <c r="U26" i="5" s="1"/>
  <c r="V5" i="5" s="1"/>
  <c r="V26" i="5" s="1"/>
  <c r="H19" i="5"/>
  <c r="B33" i="5" l="1"/>
  <c r="W5" i="5"/>
  <c r="W26" i="5" s="1"/>
  <c r="H18" i="5"/>
  <c r="X5" i="5" l="1"/>
  <c r="X26" i="5" s="1"/>
  <c r="Y5" i="5" s="1"/>
  <c r="Y26" i="5" s="1"/>
  <c r="Z5" i="5" s="1"/>
  <c r="Z26" i="5" s="1"/>
  <c r="AA5" i="5" s="1"/>
  <c r="AA26" i="5" s="1"/>
  <c r="AB5" i="5" s="1"/>
  <c r="AB26" i="5" s="1"/>
  <c r="AC5" i="5" s="1"/>
  <c r="AC26" i="5" s="1"/>
  <c r="AD5" i="5" s="1"/>
  <c r="AD26" i="5" s="1"/>
  <c r="AE5" i="5" s="1"/>
  <c r="AE26" i="5" s="1"/>
  <c r="H35" i="5"/>
  <c r="I18" i="5" s="1"/>
  <c r="I10" i="5" l="1"/>
  <c r="I6" i="5"/>
  <c r="I26" i="5"/>
  <c r="I29" i="5"/>
  <c r="I35" i="5"/>
  <c r="I7" i="5"/>
  <c r="I14" i="5"/>
  <c r="I31" i="5"/>
  <c r="I30" i="5"/>
  <c r="I28" i="5"/>
  <c r="I23" i="5"/>
  <c r="I12" i="5"/>
  <c r="I11" i="5"/>
  <c r="I13" i="5"/>
  <c r="I5" i="5"/>
  <c r="I22" i="5"/>
  <c r="I24" i="5"/>
  <c r="I27" i="5"/>
  <c r="I16" i="5"/>
  <c r="H36" i="5"/>
  <c r="I15" i="5"/>
  <c r="I32" i="5"/>
  <c r="I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PORTA Isaac</author>
  </authors>
  <commentList>
    <comment ref="K3" authorId="0" shapeId="0" xr:uid="{00000000-0006-0000-0000-000001000000}">
      <text>
        <r>
          <rPr>
            <sz val="8"/>
            <color rgb="FF000000"/>
            <rFont val="Tahoma"/>
            <family val="2"/>
            <charset val="1"/>
          </rPr>
          <t>Lid*Lid*Exp</t>
        </r>
      </text>
    </comment>
    <comment ref="D4" authorId="1" shapeId="0" xr:uid="{00000000-0006-0000-0000-000002000000}">
      <text>
        <r>
          <rPr>
            <sz val="9"/>
            <color indexed="81"/>
            <rFont val="Tahoma"/>
            <family val="2"/>
          </rPr>
          <t>Porter del equip futur!</t>
        </r>
      </text>
    </comment>
    <comment ref="D9" authorId="1" shapeId="0" xr:uid="{00000000-0006-0000-0000-000003000000}">
      <text>
        <r>
          <rPr>
            <sz val="9"/>
            <color indexed="81"/>
            <rFont val="Tahoma"/>
            <family val="2"/>
          </rPr>
          <t>Posible Entrenador</t>
        </r>
      </text>
    </comment>
    <comment ref="D10" authorId="1" shapeId="0" xr:uid="{00000000-0006-0000-0000-000004000000}">
      <text>
        <r>
          <rPr>
            <sz val="9"/>
            <color indexed="81"/>
            <rFont val="Tahoma"/>
            <family val="2"/>
          </rPr>
          <t>Posible Entrenador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PORTA Isaac</author>
  </authors>
  <commentList>
    <comment ref="K9" authorId="0" shapeId="0" xr:uid="{D57428CF-3281-4385-B6C1-15C58BD667CB}">
      <text>
        <r>
          <rPr>
            <b/>
            <sz val="9"/>
            <color indexed="81"/>
            <rFont val="Tahoma"/>
            <family val="2"/>
          </rPr>
          <t>Vender!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sharedStrings.xml><?xml version="1.0" encoding="utf-8"?>
<sst xmlns="http://schemas.openxmlformats.org/spreadsheetml/2006/main" count="686" uniqueCount="348">
  <si>
    <t>Nfin</t>
  </si>
  <si>
    <t>POS</t>
  </si>
  <si>
    <t>h36</t>
  </si>
  <si>
    <t>Jugador</t>
  </si>
  <si>
    <t>Anys</t>
  </si>
  <si>
    <t>Dias</t>
  </si>
  <si>
    <t>PA</t>
  </si>
  <si>
    <t>Ag</t>
  </si>
  <si>
    <t>Ho</t>
  </si>
  <si>
    <t>%T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</si>
  <si>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</si>
  <si>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</si>
  <si>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</si>
  <si>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</si>
  <si>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</si>
  <si>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</si>
  <si>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</si>
  <si>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</si>
  <si>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</si>
  <si>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</si>
  <si>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</si>
  <si>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</si>
  <si>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</si>
  <si>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</si>
  <si>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</si>
  <si>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JMn</t>
  </si>
  <si>
    <t>JMx</t>
  </si>
  <si>
    <t>CA</t>
  </si>
  <si>
    <t>TL</t>
  </si>
  <si>
    <t>PEN</t>
  </si>
  <si>
    <t>BPMin</t>
  </si>
  <si>
    <t>BPMax</t>
  </si>
  <si>
    <t>Po</t>
  </si>
  <si>
    <t>De</t>
  </si>
  <si>
    <t>Cr</t>
  </si>
  <si>
    <t>Ex</t>
  </si>
  <si>
    <t>Ps</t>
  </si>
  <si>
    <t>An</t>
  </si>
  <si>
    <t>Ab</t>
  </si>
  <si>
    <t>Pot</t>
  </si>
  <si>
    <t>Epo</t>
  </si>
  <si>
    <t>Ede</t>
  </si>
  <si>
    <t>Eju</t>
  </si>
  <si>
    <t>Ela</t>
  </si>
  <si>
    <t>Epa</t>
  </si>
  <si>
    <t>Ean</t>
  </si>
  <si>
    <t>EBP</t>
  </si>
  <si>
    <t>Total</t>
  </si>
  <si>
    <t>LastWeek</t>
  </si>
  <si>
    <t>Fascenso</t>
  </si>
  <si>
    <t>#1</t>
  </si>
  <si>
    <t>CEN</t>
  </si>
  <si>
    <t>E. Tarrida</t>
  </si>
  <si>
    <t>RAP</t>
  </si>
  <si>
    <t>Inici</t>
  </si>
  <si>
    <t>#3</t>
  </si>
  <si>
    <t>POR</t>
  </si>
  <si>
    <t>S. Candela</t>
  </si>
  <si>
    <t>CAB</t>
  </si>
  <si>
    <t>#2</t>
  </si>
  <si>
    <t>J. Poblet</t>
  </si>
  <si>
    <t>#7</t>
  </si>
  <si>
    <t>LAT</t>
  </si>
  <si>
    <t>H. Grijalva</t>
  </si>
  <si>
    <t>#6</t>
  </si>
  <si>
    <t>M. Teixé</t>
  </si>
  <si>
    <t>#4</t>
  </si>
  <si>
    <t>J-L. Grellier</t>
  </si>
  <si>
    <t>#5</t>
  </si>
  <si>
    <t>A. Aluja</t>
  </si>
  <si>
    <t>#11</t>
  </si>
  <si>
    <t>MED</t>
  </si>
  <si>
    <t>J. Banal</t>
  </si>
  <si>
    <t>POT</t>
  </si>
  <si>
    <t>#8</t>
  </si>
  <si>
    <t>D. Salat</t>
  </si>
  <si>
    <t>#9</t>
  </si>
  <si>
    <t>P-P. Cunill</t>
  </si>
  <si>
    <t>#10</t>
  </si>
  <si>
    <t>I. Escuder</t>
  </si>
  <si>
    <t>#12</t>
  </si>
  <si>
    <t>A. Guau</t>
  </si>
  <si>
    <t>#14</t>
  </si>
  <si>
    <t>M. Tàcias</t>
  </si>
  <si>
    <t>IMP</t>
  </si>
  <si>
    <t>#13</t>
  </si>
  <si>
    <t>EXT</t>
  </si>
  <si>
    <t>A. Aguilella</t>
  </si>
  <si>
    <t>#15</t>
  </si>
  <si>
    <t>T. Averous</t>
  </si>
  <si>
    <t>#16</t>
  </si>
  <si>
    <t>DAV</t>
  </si>
  <si>
    <t>L-G. Salares</t>
  </si>
  <si>
    <t>#17</t>
  </si>
  <si>
    <t>J. Autet</t>
  </si>
  <si>
    <t>#18</t>
  </si>
  <si>
    <t>A. Manent</t>
  </si>
  <si>
    <t>IV.11</t>
  </si>
  <si>
    <t>S15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</si>
  <si>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</si>
  <si>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</si>
  <si>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</si>
  <si>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</si>
  <si>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</si>
  <si>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</si>
  <si>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</si>
  <si>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</si>
  <si>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</si>
  <si>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</si>
  <si>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</si>
  <si>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</si>
  <si>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</si>
  <si>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</si>
  <si>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</si>
  <si>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Socios</t>
  </si>
  <si>
    <t>SALDO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</si>
  <si>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</si>
  <si>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</si>
  <si>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</si>
  <si>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</si>
  <si>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</si>
  <si>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</si>
  <si>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</si>
  <si>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</si>
  <si>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</si>
  <si>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</si>
  <si>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Sueldos</t>
  </si>
  <si>
    <t xml:space="preserve">Mantenimiento </t>
  </si>
  <si>
    <t>Construcción del estadio</t>
  </si>
  <si>
    <t>Estadio</t>
  </si>
  <si>
    <t>Empleados</t>
  </si>
  <si>
    <t>Juveniles</t>
  </si>
  <si>
    <t>Compra de jugadores*</t>
  </si>
  <si>
    <t>Compra</t>
  </si>
  <si>
    <t>Entrenador</t>
  </si>
  <si>
    <t>Viajes+Venta</t>
  </si>
  <si>
    <t>Intereses</t>
  </si>
  <si>
    <t>TOTAL GASTOS</t>
  </si>
  <si>
    <t>SALDO FINAL</t>
  </si>
  <si>
    <t>Jugadores</t>
  </si>
  <si>
    <t>Plantilla Medias (mirar antes entreno) (sin entrenador)</t>
  </si>
  <si>
    <t>Sueldo</t>
  </si>
  <si>
    <t>TSI11</t>
  </si>
  <si>
    <t>Sueldo11</t>
  </si>
  <si>
    <t>Edad11</t>
  </si>
  <si>
    <t>22(62)</t>
  </si>
  <si>
    <t>Resistencia11</t>
  </si>
  <si>
    <t>Forma11</t>
  </si>
  <si>
    <t>Experiencia11</t>
  </si>
  <si>
    <t>Hibridación</t>
  </si>
  <si>
    <t>Edad</t>
  </si>
  <si>
    <t>Esp</t>
  </si>
  <si>
    <t>Asc</t>
  </si>
  <si>
    <t>NivelM</t>
  </si>
  <si>
    <t>DEF</t>
  </si>
  <si>
    <t>JUG</t>
  </si>
  <si>
    <t>PAS</t>
  </si>
  <si>
    <t>ANO</t>
  </si>
  <si>
    <t>BP</t>
  </si>
  <si>
    <t>Cap</t>
  </si>
  <si>
    <t>Ca</t>
  </si>
  <si>
    <t>DCO</t>
  </si>
  <si>
    <t>LO</t>
  </si>
  <si>
    <t>EO</t>
  </si>
  <si>
    <t>MO</t>
  </si>
  <si>
    <t>PRIMER EQUIPO</t>
  </si>
  <si>
    <t>Info</t>
  </si>
  <si>
    <t>Habilidades</t>
  </si>
  <si>
    <t xml:space="preserve">RELEVANTES </t>
  </si>
  <si>
    <t>RELLENOS</t>
  </si>
  <si>
    <t>N. Aloy</t>
  </si>
  <si>
    <t>FC-2</t>
  </si>
  <si>
    <t>V. Garrell</t>
  </si>
  <si>
    <t>FC-4</t>
  </si>
  <si>
    <t>no</t>
  </si>
  <si>
    <t>V. Valldaura</t>
  </si>
  <si>
    <t>FF+3</t>
  </si>
  <si>
    <t>R. Riart</t>
  </si>
  <si>
    <t>FF-3</t>
  </si>
  <si>
    <t>A. Valldeoriola</t>
  </si>
  <si>
    <t>débil</t>
  </si>
  <si>
    <t>M-B. Ortega</t>
  </si>
  <si>
    <t>P. Torres</t>
  </si>
  <si>
    <t>A. Capdevila</t>
  </si>
  <si>
    <t>J. Estela</t>
  </si>
  <si>
    <t>Actualización</t>
  </si>
  <si>
    <t>Capitan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</si>
  <si>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</si>
  <si>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</si>
  <si>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</si>
  <si>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</si>
  <si>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</si>
  <si>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</si>
  <si>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</si>
  <si>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</si>
  <si>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</si>
  <si>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</si>
  <si>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</si>
  <si>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</si>
  <si>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</si>
  <si>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</si>
  <si>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</si>
  <si>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</si>
  <si>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</si>
  <si>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</si>
  <si>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</si>
  <si>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</si>
  <si>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</si>
  <si>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</si>
  <si>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</si>
  <si>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</si>
  <si>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</si>
  <si>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</si>
  <si>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</si>
  <si>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</si>
  <si>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</si>
  <si>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</si>
  <si>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</si>
  <si>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</si>
  <si>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</si>
  <si>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</si>
  <si>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</si>
  <si>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</si>
  <si>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</si>
  <si>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</si>
  <si>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</si>
  <si>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</si>
  <si>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</si>
  <si>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</si>
  <si>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Polèmic</t>
  </si>
  <si>
    <t>Malintencionat - Polèmic e Infame</t>
  </si>
  <si>
    <t>Agradable i Popular</t>
  </si>
  <si>
    <t>Malintencionat i no Infame</t>
  </si>
  <si>
    <t>22(66)</t>
  </si>
  <si>
    <t xml:space="preserve">a cierre de ejercicio </t>
  </si>
  <si>
    <t>ACTIVO</t>
  </si>
  <si>
    <t>PASIVO</t>
  </si>
  <si>
    <t>Inmobilizado</t>
  </si>
  <si>
    <t>Patrimonio</t>
  </si>
  <si>
    <t>Capital Inicial</t>
  </si>
  <si>
    <t>ByP Acum</t>
  </si>
  <si>
    <t>Amortizaciones</t>
  </si>
  <si>
    <t>B/P</t>
  </si>
  <si>
    <t>Step</t>
  </si>
  <si>
    <t>B/P Jugadores</t>
  </si>
  <si>
    <t>B/P Step</t>
  </si>
  <si>
    <t>Entrenables</t>
  </si>
  <si>
    <t>B/P Cantera</t>
  </si>
  <si>
    <t>Mercadeo</t>
  </si>
  <si>
    <t>B/P Entrenables</t>
  </si>
  <si>
    <t>B/P Mercadeo</t>
  </si>
  <si>
    <t>B/P Act</t>
  </si>
  <si>
    <t>Compras</t>
  </si>
  <si>
    <t>Pagos LP</t>
  </si>
  <si>
    <t>Ingresos</t>
  </si>
  <si>
    <t>Pagos CP</t>
  </si>
  <si>
    <t>Salarios</t>
  </si>
  <si>
    <t>Fpromo</t>
  </si>
  <si>
    <t>U20</t>
  </si>
  <si>
    <t>Bep</t>
  </si>
  <si>
    <t>BALANCE DE SITUACION Año En Curso</t>
  </si>
  <si>
    <t>RESERVAS</t>
  </si>
  <si>
    <t>Reservas</t>
  </si>
  <si>
    <t>Reservas Inicio</t>
  </si>
  <si>
    <t>Ing Reservas</t>
  </si>
  <si>
    <t>Pago Reservas</t>
  </si>
  <si>
    <t>Cash</t>
  </si>
  <si>
    <t>Cash Incial</t>
  </si>
  <si>
    <t>B. Corominola</t>
  </si>
  <si>
    <t>MD</t>
  </si>
  <si>
    <t>LD</t>
  </si>
  <si>
    <t>23(42)</t>
  </si>
  <si>
    <t>DC</t>
  </si>
  <si>
    <t>A. Arsequell</t>
  </si>
  <si>
    <t>TEC</t>
  </si>
  <si>
    <t>23(45)</t>
  </si>
  <si>
    <t>Comentarios</t>
  </si>
  <si>
    <t>Fecha Actualizacion</t>
  </si>
  <si>
    <t>Mejor Partido</t>
  </si>
  <si>
    <t>Porteria Imbatuda</t>
  </si>
  <si>
    <t>Més Partits Jugats</t>
  </si>
  <si>
    <t>Gols Marcats</t>
  </si>
  <si>
    <t>G/P</t>
  </si>
  <si>
    <t>Millor Qualificació</t>
  </si>
  <si>
    <t>Més vegades Capità</t>
  </si>
  <si>
    <t>Joel Autet</t>
  </si>
  <si>
    <t>Thibault Averous</t>
  </si>
  <si>
    <t>Luis Gerardo Salares</t>
  </si>
  <si>
    <t>Darius Salat</t>
  </si>
  <si>
    <t>Jean-Louis Grellier</t>
  </si>
  <si>
    <t>Ismael Escuder</t>
  </si>
  <si>
    <t>Agustí Aguilella</t>
  </si>
  <si>
    <t>Maximilià Teixè</t>
  </si>
  <si>
    <t>Àlex Aluja</t>
  </si>
  <si>
    <t>Pere Pau Cunill</t>
  </si>
  <si>
    <t>Jesús Banal</t>
  </si>
  <si>
    <t>Àlex Guau</t>
  </si>
  <si>
    <t>Joan Poblet</t>
  </si>
  <si>
    <t>Marc Tàcias</t>
  </si>
  <si>
    <t>Hernán Grijalva</t>
  </si>
  <si>
    <t>Eusebi Tarrida</t>
  </si>
  <si>
    <t>Samuel Candela</t>
  </si>
  <si>
    <t>Més Targetes</t>
  </si>
  <si>
    <t>Grogues</t>
  </si>
  <si>
    <t>Vermelles</t>
  </si>
  <si>
    <t>T/P</t>
  </si>
  <si>
    <t>C</t>
  </si>
  <si>
    <t>F/N</t>
  </si>
  <si>
    <t>Agradable i Popular /Tranquil-Calmat</t>
  </si>
  <si>
    <t>AIM</t>
  </si>
  <si>
    <t>Solo Jugadas/Anotación/Pases y BP</t>
  </si>
  <si>
    <t>253 + 343</t>
  </si>
  <si>
    <t>MED/DAV</t>
  </si>
  <si>
    <t>O. Lluch</t>
  </si>
  <si>
    <t>Alex Manent</t>
  </si>
  <si>
    <t>23(111)</t>
  </si>
  <si>
    <t>I. Velayo</t>
  </si>
  <si>
    <t>ns/nc</t>
  </si>
  <si>
    <t>ED</t>
  </si>
  <si>
    <t>24(6)</t>
  </si>
  <si>
    <t>24(9)</t>
  </si>
  <si>
    <t>R. Abrain</t>
  </si>
  <si>
    <t>176 hts</t>
  </si>
  <si>
    <t>R.C. Deportivo de la Coruña - Luke JC</t>
  </si>
  <si>
    <t>Semana</t>
  </si>
  <si>
    <t>Fecha</t>
  </si>
  <si>
    <t>Porteria</t>
  </si>
  <si>
    <t>Precio</t>
  </si>
  <si>
    <t>Insuf</t>
  </si>
  <si>
    <t>FF(R3)</t>
  </si>
  <si>
    <t>FF+2S</t>
  </si>
  <si>
    <t>FC+6S</t>
  </si>
  <si>
    <t>Hab</t>
  </si>
  <si>
    <t>Arsequell &gt; Aloy &gt; Lluch</t>
  </si>
  <si>
    <t>J-L. Maillochon</t>
  </si>
  <si>
    <t>T. Orozco</t>
  </si>
  <si>
    <t>Acep</t>
  </si>
  <si>
    <t>R. Hamelin</t>
  </si>
  <si>
    <t>Luke JC - Real Moudrid C.F.</t>
  </si>
  <si>
    <t>183 hts</t>
  </si>
  <si>
    <t>Més vegades millor jugador</t>
  </si>
  <si>
    <t>23(79)</t>
  </si>
  <si>
    <t>FF+5S</t>
  </si>
  <si>
    <t>Pmn</t>
  </si>
  <si>
    <t>PMx</t>
  </si>
  <si>
    <t>DD</t>
  </si>
  <si>
    <t>POR/DAV</t>
  </si>
  <si>
    <t>Aloy  &gt; Arsequell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</si>
</sst>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0\ %"/>
    <numFmt numFmtId="166" formatCode="_-* #,##0.00\ _€_-;\-* #,##0.00\ _€_-;_-* \-??\ _€_-;_-@_-"/>
    <numFmt numFmtId="167" formatCode="_-* #,##0\ _€_-;\-* #,##0\ _€_-;_-* \-??\ _€_-;_-@_-"/>
    <numFmt numFmtId="168" formatCode="_-* #,##0.0\ _€_-;\-* #,##0.0\ _€_-;_-* \-??\ _€_-;_-@_-"/>
    <numFmt numFmtId="169" formatCode="_-* #,##0\ [$€-C0A]_-;\-* #,##0\ [$€-C0A]_-;_-* \-??\ [$€-C0A]_-;_-@_-"/>
    <numFmt numFmtId="170" formatCode="0.0%"/>
    <numFmt numFmtId="171" formatCode="_-* #,##0.00\ [$€-C0A]_-;\-* #,##0.00\ [$€-C0A]_-;_-* \-??\ [$€-C0A]_-;_-@_-"/>
    <numFmt numFmtId="172" formatCode="_-* #,##0.00&quot; €&quot;_-;\-* #,##0.00&quot; €&quot;_-;_-* \-??&quot; €&quot;_-;_-@_-"/>
    <numFmt numFmtId="173" formatCode="_-* #,##0&quot; €&quot;_-;\-* #,##0&quot; €&quot;_-;_-* \-??&quot; €&quot;_-;_-@_-"/>
    <numFmt numFmtId="174" formatCode="_-* #,##0\ [$€-C0A]_-;\-* #,##0\ [$€-C0A]_-;_-* &quot;-&quot;??\ [$€-C0A]_-;_-@_-"/>
  </numFmts>
  <fonts count="6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FFFFFF"/>
      <name val="Verdana"/>
      <family val="2"/>
      <charset val="1"/>
    </font>
    <font>
      <b/>
      <i/>
      <u/>
      <sz val="8"/>
      <color rgb="FFFFFFFF"/>
      <name val="Verdana"/>
      <family val="2"/>
      <charset val="1"/>
    </font>
    <font>
      <b/>
      <sz val="8"/>
      <name val="Verdana"/>
      <family val="2"/>
      <charset val="1"/>
    </font>
    <font>
      <sz val="11"/>
      <name val="Calibri"/>
      <family val="2"/>
      <charset val="1"/>
    </font>
    <font>
      <i/>
      <u/>
      <sz val="11"/>
      <name val="Calibri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/>
      <sz val="8"/>
      <color rgb="FF000000"/>
      <name val="Verdana"/>
      <family val="2"/>
      <charset val="1"/>
    </font>
    <font>
      <b/>
      <sz val="8"/>
      <color rgb="FF00B050"/>
      <name val="Verdana"/>
      <family val="2"/>
      <charset val="1"/>
    </font>
    <font>
      <sz val="8"/>
      <color rgb="FF385724"/>
      <name val="Verdana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u/>
      <sz val="11"/>
      <color rgb="FFFFFFFF"/>
      <name val="Calibri"/>
      <family val="2"/>
      <charset val="1"/>
    </font>
    <font>
      <b/>
      <u/>
      <sz val="10"/>
      <color rgb="FFFFFFFF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7.5"/>
      <color rgb="FFFFFFFF"/>
      <name val="Calibri"/>
      <family val="2"/>
      <charset val="1"/>
    </font>
    <font>
      <b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1"/>
      <name val="Calibri"/>
      <family val="2"/>
    </font>
    <font>
      <sz val="9"/>
      <color indexed="81"/>
      <name val="Tahoma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b/>
      <i/>
      <sz val="11"/>
      <name val="Calibri"/>
      <family val="2"/>
    </font>
    <font>
      <i/>
      <sz val="11"/>
      <color rgb="FFFF0000"/>
      <name val="Calibri"/>
      <family val="2"/>
    </font>
    <font>
      <i/>
      <sz val="11"/>
      <name val="Calibri"/>
      <family val="2"/>
    </font>
    <font>
      <i/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2E75B6"/>
        <bgColor rgb="FF3C65AE"/>
      </patternFill>
    </fill>
    <fill>
      <patternFill patternType="solid">
        <fgColor rgb="FFB4C7E7"/>
        <bgColor rgb="FFB3CAC7"/>
      </patternFill>
    </fill>
    <fill>
      <patternFill patternType="solid">
        <fgColor rgb="FF548235"/>
        <bgColor rgb="FF639A3F"/>
      </patternFill>
    </fill>
    <fill>
      <patternFill patternType="solid">
        <fgColor rgb="FFA9D18E"/>
        <bgColor rgb="FFB3CAC7"/>
      </patternFill>
    </fill>
    <fill>
      <patternFill patternType="solid">
        <fgColor rgb="FFC55A11"/>
        <bgColor rgb="FFD36F2B"/>
      </patternFill>
    </fill>
    <fill>
      <patternFill patternType="solid">
        <fgColor rgb="FFE2F0D9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FF00"/>
        <bgColor rgb="FFFFC000"/>
      </patternFill>
    </fill>
    <fill>
      <patternFill patternType="solid">
        <fgColor rgb="FFFFE699"/>
        <bgColor rgb="FFFFEB9C"/>
      </patternFill>
    </fill>
    <fill>
      <patternFill patternType="solid">
        <fgColor rgb="FF000000"/>
        <bgColor rgb="FF000080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1A78B"/>
      </patternFill>
    </fill>
    <fill>
      <patternFill patternType="solid">
        <fgColor rgb="FFD0CECE"/>
        <bgColor rgb="FFCCCCCC"/>
      </patternFill>
    </fill>
    <fill>
      <patternFill patternType="solid">
        <fgColor rgb="FF00B050"/>
        <bgColor rgb="FF5EB91E"/>
      </patternFill>
    </fill>
    <fill>
      <patternFill patternType="solid">
        <fgColor rgb="FFC9C9C9"/>
        <bgColor rgb="FFCCCCCC"/>
      </patternFill>
    </fill>
    <fill>
      <patternFill patternType="solid">
        <fgColor rgb="FF5EB91E"/>
        <bgColor rgb="FF639A3F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  <fill>
      <patternFill patternType="solid">
        <fgColor theme="6" tint="0.79998168889431442"/>
        <bgColor rgb="FFEEEE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EEEE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DBDBDB"/>
      </patternFill>
    </fill>
    <fill>
      <patternFill patternType="solid">
        <fgColor theme="5" tint="0.79998168889431442"/>
        <bgColor rgb="FFB4C7E7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8" tint="0.79998168889431442"/>
        <bgColor rgb="FFEEEEEE"/>
      </patternFill>
    </fill>
    <fill>
      <patternFill patternType="solid">
        <fgColor rgb="FFFFFF00"/>
        <bgColor rgb="FF639A3F"/>
      </patternFill>
    </fill>
    <fill>
      <patternFill patternType="solid">
        <fgColor theme="8" tint="0.59999389629810485"/>
        <bgColor rgb="FF639A3F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6" fontId="39" fillId="0" borderId="0" applyBorder="0" applyProtection="0"/>
    <xf numFmtId="172" fontId="39" fillId="0" borderId="0" applyBorder="0" applyProtection="0"/>
    <xf numFmtId="165" fontId="39" fillId="0" borderId="0" applyBorder="0" applyProtection="0"/>
    <xf numFmtId="0" fontId="39" fillId="0" borderId="0"/>
  </cellStyleXfs>
  <cellXfs count="453">
    <xf numFmtId="0" fontId="0" fillId="0" borderId="0" xfId="0"/>
    <xf numFmtId="0" fontId="4" fillId="0" borderId="0" xfId="4" applyFont="1"/>
    <xf numFmtId="164" fontId="5" fillId="0" borderId="0" xfId="4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4" applyFont="1" applyBorder="1" applyAlignment="1">
      <alignment horizontal="left"/>
    </xf>
    <xf numFmtId="0" fontId="6" fillId="0" borderId="0" xfId="4" applyFont="1" applyBorder="1" applyAlignment="1">
      <alignment horizontal="center"/>
    </xf>
    <xf numFmtId="0" fontId="7" fillId="0" borderId="0" xfId="4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164" fontId="4" fillId="0" borderId="0" xfId="4" applyNumberFormat="1" applyFont="1" applyBorder="1" applyAlignment="1"/>
    <xf numFmtId="164" fontId="4" fillId="0" borderId="0" xfId="4" applyNumberFormat="1" applyFont="1" applyBorder="1" applyAlignment="1">
      <alignment horizontal="center"/>
    </xf>
    <xf numFmtId="164" fontId="4" fillId="0" borderId="1" xfId="4" applyNumberFormat="1" applyFont="1" applyBorder="1" applyAlignment="1">
      <alignment horizontal="center"/>
    </xf>
    <xf numFmtId="165" fontId="4" fillId="0" borderId="1" xfId="3" applyFont="1" applyBorder="1" applyAlignment="1" applyProtection="1">
      <alignment horizontal="center"/>
    </xf>
    <xf numFmtId="167" fontId="4" fillId="0" borderId="1" xfId="1" applyNumberFormat="1" applyFont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2" fillId="3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3" fillId="0" borderId="1" xfId="0" applyFont="1" applyBorder="1"/>
    <xf numFmtId="0" fontId="0" fillId="0" borderId="1" xfId="0" applyFont="1" applyBorder="1"/>
    <xf numFmtId="164" fontId="14" fillId="0" borderId="1" xfId="0" applyNumberFormat="1" applyFont="1" applyBorder="1"/>
    <xf numFmtId="0" fontId="15" fillId="8" borderId="1" xfId="0" applyFont="1" applyFill="1" applyBorder="1" applyAlignment="1">
      <alignment horizontal="left" vertical="center"/>
    </xf>
    <xf numFmtId="1" fontId="15" fillId="8" borderId="1" xfId="0" applyNumberFormat="1" applyFont="1" applyFill="1" applyBorder="1" applyAlignment="1">
      <alignment horizontal="left" vertical="center"/>
    </xf>
    <xf numFmtId="0" fontId="16" fillId="9" borderId="1" xfId="0" applyFont="1" applyFill="1" applyBorder="1" applyAlignment="1">
      <alignment horizontal="center" vertical="center"/>
    </xf>
    <xf numFmtId="1" fontId="15" fillId="9" borderId="1" xfId="0" applyNumberFormat="1" applyFont="1" applyFill="1" applyBorder="1" applyAlignment="1">
      <alignment horizontal="center" vertical="center"/>
    </xf>
    <xf numFmtId="165" fontId="16" fillId="9" borderId="1" xfId="3" applyFont="1" applyFill="1" applyBorder="1" applyAlignment="1" applyProtection="1">
      <alignment horizontal="center" vertical="center"/>
    </xf>
    <xf numFmtId="0" fontId="16" fillId="0" borderId="1" xfId="0" applyFont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left" vertical="center"/>
    </xf>
    <xf numFmtId="2" fontId="16" fillId="9" borderId="1" xfId="0" applyNumberFormat="1" applyFont="1" applyFill="1" applyBorder="1" applyAlignment="1">
      <alignment horizontal="left" vertical="center"/>
    </xf>
    <xf numFmtId="1" fontId="16" fillId="10" borderId="1" xfId="0" applyNumberFormat="1" applyFont="1" applyFill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center" vertical="center"/>
    </xf>
    <xf numFmtId="1" fontId="16" fillId="9" borderId="1" xfId="0" applyNumberFormat="1" applyFont="1" applyFill="1" applyBorder="1" applyAlignment="1">
      <alignment horizontal="center" vertical="center"/>
    </xf>
    <xf numFmtId="2" fontId="16" fillId="9" borderId="1" xfId="0" applyNumberFormat="1" applyFont="1" applyFill="1" applyBorder="1" applyAlignment="1">
      <alignment horizontal="center" vertical="center"/>
    </xf>
    <xf numFmtId="167" fontId="16" fillId="9" borderId="1" xfId="1" applyNumberFormat="1" applyFont="1" applyFill="1" applyBorder="1" applyAlignment="1" applyProtection="1">
      <alignment horizontal="right" vertical="center"/>
    </xf>
    <xf numFmtId="167" fontId="16" fillId="9" borderId="1" xfId="1" applyNumberFormat="1" applyFont="1" applyFill="1" applyBorder="1" applyAlignment="1" applyProtection="1">
      <alignment horizontal="left" vertical="center"/>
    </xf>
    <xf numFmtId="167" fontId="15" fillId="9" borderId="1" xfId="1" applyNumberFormat="1" applyFont="1" applyFill="1" applyBorder="1" applyAlignment="1" applyProtection="1">
      <alignment horizontal="right" vertical="center"/>
    </xf>
    <xf numFmtId="168" fontId="16" fillId="9" borderId="1" xfId="1" applyNumberFormat="1" applyFont="1" applyFill="1" applyBorder="1" applyAlignment="1" applyProtection="1">
      <alignment horizontal="right" vertical="center"/>
    </xf>
    <xf numFmtId="164" fontId="0" fillId="0" borderId="1" xfId="0" applyNumberFormat="1" applyBorder="1"/>
    <xf numFmtId="168" fontId="7" fillId="0" borderId="1" xfId="1" applyNumberFormat="1" applyFont="1" applyBorder="1" applyAlignment="1" applyProtection="1">
      <alignment horizontal="center"/>
    </xf>
    <xf numFmtId="2" fontId="16" fillId="8" borderId="1" xfId="0" applyNumberFormat="1" applyFont="1" applyFill="1" applyBorder="1" applyAlignment="1">
      <alignment horizontal="left" vertical="center"/>
    </xf>
    <xf numFmtId="167" fontId="17" fillId="9" borderId="1" xfId="1" applyNumberFormat="1" applyFont="1" applyFill="1" applyBorder="1" applyAlignment="1" applyProtection="1">
      <alignment horizontal="right" vertical="center"/>
    </xf>
    <xf numFmtId="168" fontId="16" fillId="9" borderId="1" xfId="1" applyNumberFormat="1" applyFont="1" applyFill="1" applyBorder="1" applyAlignment="1" applyProtection="1">
      <alignment horizontal="center" vertical="center"/>
    </xf>
    <xf numFmtId="168" fontId="16" fillId="9" borderId="1" xfId="3" applyNumberFormat="1" applyFont="1" applyFill="1" applyBorder="1" applyAlignment="1" applyProtection="1">
      <alignment horizontal="center" vertical="center"/>
    </xf>
    <xf numFmtId="14" fontId="16" fillId="9" borderId="1" xfId="0" applyNumberFormat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left" vertical="center"/>
    </xf>
    <xf numFmtId="1" fontId="16" fillId="8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6" fillId="9" borderId="1" xfId="0" applyNumberFormat="1" applyFont="1" applyFill="1" applyBorder="1" applyAlignment="1">
      <alignment horizontal="left" vertical="center"/>
    </xf>
    <xf numFmtId="164" fontId="16" fillId="9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0" fontId="13" fillId="0" borderId="1" xfId="4" applyFont="1" applyBorder="1"/>
    <xf numFmtId="0" fontId="0" fillId="0" borderId="1" xfId="4" applyFont="1" applyBorder="1"/>
    <xf numFmtId="0" fontId="8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167" fontId="4" fillId="0" borderId="0" xfId="1" applyNumberFormat="1" applyFont="1" applyBorder="1" applyAlignment="1" applyProtection="1"/>
    <xf numFmtId="168" fontId="12" fillId="9" borderId="1" xfId="1" applyNumberFormat="1" applyFont="1" applyFill="1" applyBorder="1" applyAlignment="1" applyProtection="1">
      <alignment horizontal="right" vertical="center"/>
    </xf>
    <xf numFmtId="167" fontId="20" fillId="0" borderId="0" xfId="0" applyNumberFormat="1" applyFont="1" applyAlignment="1">
      <alignment horizontal="right"/>
    </xf>
    <xf numFmtId="0" fontId="9" fillId="0" borderId="0" xfId="0" applyFont="1"/>
    <xf numFmtId="164" fontId="0" fillId="0" borderId="0" xfId="0" applyNumberFormat="1"/>
    <xf numFmtId="2" fontId="0" fillId="0" borderId="0" xfId="0" applyNumberFormat="1"/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9" fillId="0" borderId="0" xfId="0" applyNumberFormat="1" applyFont="1"/>
    <xf numFmtId="167" fontId="9" fillId="0" borderId="0" xfId="0" applyNumberFormat="1" applyFont="1"/>
    <xf numFmtId="0" fontId="4" fillId="0" borderId="0" xfId="0" applyFont="1" applyBorder="1"/>
    <xf numFmtId="0" fontId="22" fillId="0" borderId="0" xfId="0" applyFont="1"/>
    <xf numFmtId="0" fontId="23" fillId="0" borderId="0" xfId="0" applyFont="1"/>
    <xf numFmtId="0" fontId="23" fillId="0" borderId="0" xfId="0" applyFont="1" applyBorder="1"/>
    <xf numFmtId="14" fontId="23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12" borderId="3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1" fontId="4" fillId="12" borderId="1" xfId="0" applyNumberFormat="1" applyFont="1" applyFill="1" applyBorder="1" applyAlignment="1">
      <alignment horizontal="center" wrapText="1"/>
    </xf>
    <xf numFmtId="0" fontId="24" fillId="13" borderId="4" xfId="0" applyFont="1" applyFill="1" applyBorder="1"/>
    <xf numFmtId="169" fontId="24" fillId="13" borderId="4" xfId="0" applyNumberFormat="1" applyFont="1" applyFill="1" applyBorder="1"/>
    <xf numFmtId="169" fontId="24" fillId="13" borderId="1" xfId="0" applyNumberFormat="1" applyFont="1" applyFill="1" applyBorder="1"/>
    <xf numFmtId="0" fontId="25" fillId="0" borderId="0" xfId="0" applyFont="1"/>
    <xf numFmtId="169" fontId="4" fillId="14" borderId="1" xfId="0" applyNumberFormat="1" applyFont="1" applyFill="1" applyBorder="1"/>
    <xf numFmtId="169" fontId="27" fillId="14" borderId="1" xfId="0" applyNumberFormat="1" applyFont="1" applyFill="1" applyBorder="1"/>
    <xf numFmtId="0" fontId="27" fillId="0" borderId="0" xfId="0" applyFont="1"/>
    <xf numFmtId="0" fontId="24" fillId="13" borderId="1" xfId="0" applyFont="1" applyFill="1" applyBorder="1"/>
    <xf numFmtId="0" fontId="23" fillId="0" borderId="0" xfId="0" applyFont="1" applyAlignment="1">
      <alignment wrapText="1"/>
    </xf>
    <xf numFmtId="14" fontId="23" fillId="0" borderId="0" xfId="0" applyNumberFormat="1" applyFont="1" applyAlignment="1">
      <alignment wrapText="1"/>
    </xf>
    <xf numFmtId="171" fontId="4" fillId="0" borderId="0" xfId="0" applyNumberFormat="1" applyFont="1"/>
    <xf numFmtId="170" fontId="27" fillId="0" borderId="1" xfId="3" applyNumberFormat="1" applyFont="1" applyBorder="1" applyAlignment="1" applyProtection="1"/>
    <xf numFmtId="171" fontId="4" fillId="0" borderId="0" xfId="0" applyNumberFormat="1" applyFont="1" applyAlignment="1">
      <alignment horizontal="center"/>
    </xf>
    <xf numFmtId="0" fontId="4" fillId="17" borderId="1" xfId="0" applyFont="1" applyFill="1" applyBorder="1" applyAlignment="1">
      <alignment horizontal="center"/>
    </xf>
    <xf numFmtId="167" fontId="4" fillId="17" borderId="1" xfId="1" applyNumberFormat="1" applyFont="1" applyFill="1" applyBorder="1" applyAlignment="1" applyProtection="1">
      <alignment horizontal="center" wrapText="1"/>
    </xf>
    <xf numFmtId="170" fontId="27" fillId="0" borderId="3" xfId="3" applyNumberFormat="1" applyFont="1" applyBorder="1" applyAlignment="1" applyProtection="1">
      <alignment horizontal="center"/>
    </xf>
    <xf numFmtId="0" fontId="4" fillId="17" borderId="1" xfId="0" applyFont="1" applyFill="1" applyBorder="1" applyAlignment="1">
      <alignment horizontal="right"/>
    </xf>
    <xf numFmtId="173" fontId="4" fillId="17" borderId="1" xfId="2" applyNumberFormat="1" applyFont="1" applyFill="1" applyBorder="1" applyAlignment="1" applyProtection="1">
      <alignment horizontal="center" wrapText="1"/>
    </xf>
    <xf numFmtId="166" fontId="4" fillId="17" borderId="1" xfId="1" applyFont="1" applyFill="1" applyBorder="1" applyAlignment="1" applyProtection="1">
      <alignment horizontal="center" wrapText="1"/>
    </xf>
    <xf numFmtId="0" fontId="4" fillId="0" borderId="0" xfId="0" applyFont="1" applyAlignment="1">
      <alignment horizontal="right"/>
    </xf>
    <xf numFmtId="2" fontId="28" fillId="0" borderId="0" xfId="0" applyNumberFormat="1" applyFon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29" fillId="18" borderId="0" xfId="4" applyFont="1" applyFill="1" applyBorder="1" applyAlignment="1">
      <alignment horizontal="center"/>
    </xf>
    <xf numFmtId="0" fontId="29" fillId="18" borderId="0" xfId="4" applyFont="1" applyFill="1" applyBorder="1" applyAlignment="1">
      <alignment horizontal="left"/>
    </xf>
    <xf numFmtId="0" fontId="30" fillId="18" borderId="0" xfId="4" applyFont="1" applyFill="1" applyBorder="1" applyAlignment="1">
      <alignment horizontal="center"/>
    </xf>
    <xf numFmtId="0" fontId="6" fillId="18" borderId="0" xfId="4" applyFont="1" applyFill="1" applyBorder="1" applyAlignment="1">
      <alignment horizontal="left"/>
    </xf>
    <xf numFmtId="0" fontId="6" fillId="18" borderId="0" xfId="4" applyFont="1" applyFill="1" applyBorder="1" applyAlignment="1">
      <alignment horizontal="center"/>
    </xf>
    <xf numFmtId="0" fontId="32" fillId="18" borderId="0" xfId="4" applyFont="1" applyFill="1" applyBorder="1" applyAlignment="1">
      <alignment horizontal="center"/>
    </xf>
    <xf numFmtId="0" fontId="39" fillId="0" borderId="0" xfId="4" applyBorder="1" applyAlignment="1">
      <alignment horizontal="center"/>
    </xf>
    <xf numFmtId="0" fontId="6" fillId="19" borderId="0" xfId="4" applyFont="1" applyFill="1" applyBorder="1" applyAlignment="1">
      <alignment horizontal="left"/>
    </xf>
    <xf numFmtId="0" fontId="29" fillId="6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left"/>
    </xf>
    <xf numFmtId="0" fontId="30" fillId="6" borderId="0" xfId="4" applyFont="1" applyFill="1" applyBorder="1" applyAlignment="1">
      <alignment horizontal="center"/>
    </xf>
    <xf numFmtId="0" fontId="6" fillId="6" borderId="0" xfId="4" applyFont="1" applyFill="1" applyBorder="1" applyAlignment="1">
      <alignment horizontal="left"/>
    </xf>
    <xf numFmtId="0" fontId="6" fillId="6" borderId="0" xfId="4" applyFont="1" applyFill="1" applyBorder="1" applyAlignment="1">
      <alignment horizontal="center"/>
    </xf>
    <xf numFmtId="0" fontId="32" fillId="6" borderId="0" xfId="4" applyFont="1" applyFill="1" applyBorder="1" applyAlignment="1">
      <alignment horizontal="center"/>
    </xf>
    <xf numFmtId="0" fontId="6" fillId="16" borderId="0" xfId="4" applyFont="1" applyFill="1" applyBorder="1" applyAlignment="1">
      <alignment horizontal="left"/>
    </xf>
    <xf numFmtId="0" fontId="29" fillId="13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left"/>
    </xf>
    <xf numFmtId="0" fontId="32" fillId="13" borderId="0" xfId="4" applyFont="1" applyFill="1" applyBorder="1" applyAlignment="1">
      <alignment horizontal="center"/>
    </xf>
    <xf numFmtId="0" fontId="6" fillId="13" borderId="0" xfId="4" applyFont="1" applyFill="1" applyBorder="1" applyAlignment="1">
      <alignment horizontal="left"/>
    </xf>
    <xf numFmtId="0" fontId="6" fillId="13" borderId="0" xfId="4" applyFont="1" applyFill="1" applyBorder="1" applyAlignment="1">
      <alignment horizontal="center"/>
    </xf>
    <xf numFmtId="0" fontId="13" fillId="0" borderId="0" xfId="4" applyFont="1" applyBorder="1"/>
    <xf numFmtId="1" fontId="13" fillId="0" borderId="0" xfId="4" applyNumberFormat="1" applyFont="1" applyBorder="1"/>
    <xf numFmtId="0" fontId="5" fillId="0" borderId="0" xfId="4" applyFont="1" applyBorder="1" applyAlignment="1">
      <alignment horizontal="center"/>
    </xf>
    <xf numFmtId="0" fontId="13" fillId="0" borderId="0" xfId="4" applyFont="1" applyBorder="1" applyAlignment="1">
      <alignment horizontal="center"/>
    </xf>
    <xf numFmtId="0" fontId="34" fillId="0" borderId="0" xfId="4" applyFont="1" applyBorder="1" applyAlignment="1">
      <alignment horizontal="center"/>
    </xf>
    <xf numFmtId="0" fontId="39" fillId="0" borderId="0" xfId="4" applyAlignment="1">
      <alignment horizontal="center"/>
    </xf>
    <xf numFmtId="0" fontId="39" fillId="0" borderId="0" xfId="4" applyBorder="1"/>
    <xf numFmtId="0" fontId="4" fillId="0" borderId="0" xfId="4" applyFont="1" applyBorder="1" applyAlignment="1">
      <alignment horizontal="center"/>
    </xf>
    <xf numFmtId="0" fontId="0" fillId="7" borderId="0" xfId="4" applyFont="1" applyFill="1" applyBorder="1" applyAlignment="1">
      <alignment horizontal="right"/>
    </xf>
    <xf numFmtId="0" fontId="13" fillId="7" borderId="0" xfId="4" applyFont="1" applyFill="1" applyBorder="1" applyAlignment="1">
      <alignment horizontal="right"/>
    </xf>
    <xf numFmtId="1" fontId="39" fillId="0" borderId="0" xfId="4" applyNumberFormat="1" applyBorder="1"/>
    <xf numFmtId="0" fontId="4" fillId="0" borderId="4" xfId="4" applyFont="1" applyBorder="1"/>
    <xf numFmtId="0" fontId="39" fillId="0" borderId="0" xfId="4"/>
    <xf numFmtId="1" fontId="39" fillId="0" borderId="0" xfId="4" applyNumberFormat="1"/>
    <xf numFmtId="0" fontId="34" fillId="0" borderId="0" xfId="4" applyFont="1" applyAlignment="1">
      <alignment horizontal="center"/>
    </xf>
    <xf numFmtId="14" fontId="4" fillId="0" borderId="1" xfId="4" applyNumberFormat="1" applyFont="1" applyBorder="1"/>
    <xf numFmtId="14" fontId="39" fillId="0" borderId="0" xfId="4" applyNumberFormat="1"/>
    <xf numFmtId="0" fontId="9" fillId="0" borderId="0" xfId="4" applyFont="1" applyAlignment="1">
      <alignment horizontal="center"/>
    </xf>
    <xf numFmtId="1" fontId="20" fillId="0" borderId="0" xfId="4" applyNumberFormat="1" applyFont="1" applyBorder="1"/>
    <xf numFmtId="14" fontId="20" fillId="0" borderId="0" xfId="4" applyNumberFormat="1" applyFont="1" applyBorder="1"/>
    <xf numFmtId="0" fontId="4" fillId="0" borderId="0" xfId="4" applyFont="1" applyAlignment="1">
      <alignment horizontal="left"/>
    </xf>
    <xf numFmtId="0" fontId="36" fillId="13" borderId="0" xfId="0" applyFont="1" applyFill="1" applyAlignment="1">
      <alignment horizontal="center" wrapText="1"/>
    </xf>
    <xf numFmtId="0" fontId="0" fillId="11" borderId="1" xfId="0" applyFont="1" applyFill="1" applyBorder="1"/>
    <xf numFmtId="0" fontId="37" fillId="23" borderId="0" xfId="0" applyFont="1" applyFill="1" applyAlignment="1">
      <alignment horizontal="center" wrapText="1"/>
    </xf>
    <xf numFmtId="0" fontId="38" fillId="0" borderId="0" xfId="0" applyFont="1" applyAlignment="1">
      <alignment horizontal="center" wrapText="1"/>
    </xf>
    <xf numFmtId="2" fontId="38" fillId="0" borderId="0" xfId="0" applyNumberFormat="1" applyFont="1" applyAlignment="1">
      <alignment horizontal="center" wrapText="1"/>
    </xf>
    <xf numFmtId="0" fontId="37" fillId="0" borderId="0" xfId="0" applyFont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6" xfId="0" applyBorder="1" applyAlignment="1">
      <alignment wrapText="1"/>
    </xf>
    <xf numFmtId="1" fontId="0" fillId="0" borderId="7" xfId="0" applyNumberFormat="1" applyBorder="1"/>
    <xf numFmtId="0" fontId="0" fillId="0" borderId="6" xfId="0" applyFont="1" applyBorder="1"/>
    <xf numFmtId="0" fontId="38" fillId="24" borderId="0" xfId="0" applyFont="1" applyFill="1" applyAlignment="1">
      <alignment horizontal="center" wrapText="1"/>
    </xf>
    <xf numFmtId="0" fontId="37" fillId="24" borderId="0" xfId="0" applyFont="1" applyFill="1" applyAlignment="1">
      <alignment horizontal="center" wrapText="1"/>
    </xf>
    <xf numFmtId="1" fontId="0" fillId="4" borderId="8" xfId="0" applyNumberFormat="1" applyFill="1" applyBorder="1"/>
    <xf numFmtId="0" fontId="38" fillId="0" borderId="3" xfId="0" applyFont="1" applyBorder="1" applyAlignment="1">
      <alignment horizontal="center" wrapText="1"/>
    </xf>
    <xf numFmtId="173" fontId="0" fillId="0" borderId="1" xfId="2" applyNumberFormat="1" applyFont="1" applyBorder="1" applyAlignment="1" applyProtection="1"/>
    <xf numFmtId="0" fontId="38" fillId="0" borderId="1" xfId="0" applyFont="1" applyBorder="1" applyAlignment="1">
      <alignment horizontal="center" wrapText="1"/>
    </xf>
    <xf numFmtId="173" fontId="0" fillId="0" borderId="6" xfId="2" applyNumberFormat="1" applyFont="1" applyBorder="1" applyAlignment="1" applyProtection="1"/>
    <xf numFmtId="1" fontId="0" fillId="4" borderId="9" xfId="0" applyNumberFormat="1" applyFill="1" applyBorder="1"/>
    <xf numFmtId="0" fontId="38" fillId="24" borderId="3" xfId="0" applyFont="1" applyFill="1" applyBorder="1" applyAlignment="1">
      <alignment horizontal="center" wrapText="1"/>
    </xf>
    <xf numFmtId="0" fontId="38" fillId="24" borderId="1" xfId="0" applyFont="1" applyFill="1" applyBorder="1" applyAlignment="1">
      <alignment horizontal="center" wrapText="1"/>
    </xf>
    <xf numFmtId="1" fontId="0" fillId="4" borderId="10" xfId="0" applyNumberFormat="1" applyFill="1" applyBorder="1"/>
    <xf numFmtId="170" fontId="0" fillId="15" borderId="4" xfId="3" applyNumberFormat="1" applyFont="1" applyFill="1" applyBorder="1" applyAlignment="1" applyProtection="1"/>
    <xf numFmtId="170" fontId="0" fillId="15" borderId="1" xfId="3" applyNumberFormat="1" applyFont="1" applyFill="1" applyBorder="1" applyAlignment="1" applyProtection="1"/>
    <xf numFmtId="1" fontId="0" fillId="0" borderId="0" xfId="0" applyNumberFormat="1"/>
    <xf numFmtId="170" fontId="0" fillId="11" borderId="0" xfId="3" applyNumberFormat="1" applyFont="1" applyFill="1" applyBorder="1" applyAlignment="1" applyProtection="1"/>
    <xf numFmtId="170" fontId="0" fillId="0" borderId="0" xfId="3" applyNumberFormat="1" applyFont="1" applyBorder="1" applyAlignment="1" applyProtection="1"/>
    <xf numFmtId="0" fontId="0" fillId="0" borderId="0" xfId="0" applyFont="1" applyBorder="1" applyAlignment="1">
      <alignment wrapText="1"/>
    </xf>
    <xf numFmtId="169" fontId="0" fillId="11" borderId="0" xfId="0" applyNumberFormat="1" applyFill="1" applyBorder="1" applyAlignment="1">
      <alignment wrapText="1"/>
    </xf>
    <xf numFmtId="169" fontId="0" fillId="11" borderId="0" xfId="0" applyNumberFormat="1" applyFill="1"/>
    <xf numFmtId="0" fontId="31" fillId="25" borderId="0" xfId="0" applyFont="1" applyFill="1" applyAlignment="1">
      <alignment horizontal="right"/>
    </xf>
    <xf numFmtId="169" fontId="5" fillId="11" borderId="11" xfId="0" applyNumberFormat="1" applyFont="1" applyFill="1" applyBorder="1"/>
    <xf numFmtId="0" fontId="4" fillId="26" borderId="0" xfId="0" applyFont="1" applyFill="1" applyAlignment="1">
      <alignment horizontal="center"/>
    </xf>
    <xf numFmtId="0" fontId="0" fillId="22" borderId="0" xfId="0" applyFont="1" applyFill="1"/>
    <xf numFmtId="1" fontId="0" fillId="22" borderId="0" xfId="0" applyNumberFormat="1" applyFill="1"/>
    <xf numFmtId="0" fontId="0" fillId="25" borderId="0" xfId="0" applyFont="1" applyFill="1" applyAlignment="1">
      <alignment horizontal="right"/>
    </xf>
    <xf numFmtId="1" fontId="0" fillId="25" borderId="0" xfId="0" applyNumberFormat="1" applyFill="1"/>
    <xf numFmtId="0" fontId="0" fillId="19" borderId="0" xfId="0" applyFont="1" applyFill="1" applyBorder="1" applyAlignment="1">
      <alignment horizontal="right" wrapText="1"/>
    </xf>
    <xf numFmtId="171" fontId="0" fillId="19" borderId="0" xfId="0" applyNumberFormat="1" applyFill="1" applyBorder="1"/>
    <xf numFmtId="0" fontId="0" fillId="0" borderId="0" xfId="0" applyBorder="1"/>
    <xf numFmtId="0" fontId="0" fillId="14" borderId="0" xfId="0" applyFont="1" applyFill="1" applyBorder="1" applyAlignment="1">
      <alignment horizontal="right" wrapText="1"/>
    </xf>
    <xf numFmtId="171" fontId="0" fillId="14" borderId="0" xfId="0" applyNumberFormat="1" applyFill="1"/>
    <xf numFmtId="0" fontId="9" fillId="22" borderId="0" xfId="0" applyFont="1" applyFill="1" applyBorder="1" applyAlignment="1">
      <alignment horizontal="right" wrapText="1"/>
    </xf>
    <xf numFmtId="171" fontId="23" fillId="22" borderId="0" xfId="0" applyNumberFormat="1" applyFont="1" applyFill="1"/>
    <xf numFmtId="0" fontId="9" fillId="0" borderId="0" xfId="0" applyFont="1" applyBorder="1"/>
    <xf numFmtId="0" fontId="23" fillId="22" borderId="0" xfId="0" applyFont="1" applyFill="1" applyBorder="1" applyAlignment="1">
      <alignment horizontal="right" wrapText="1"/>
    </xf>
    <xf numFmtId="0" fontId="0" fillId="27" borderId="1" xfId="4" applyFont="1" applyFill="1" applyBorder="1" applyAlignment="1">
      <alignment horizontal="right"/>
    </xf>
    <xf numFmtId="1" fontId="40" fillId="0" borderId="0" xfId="4" applyNumberFormat="1" applyFont="1" applyBorder="1" applyAlignment="1">
      <alignment horizontal="right"/>
    </xf>
    <xf numFmtId="0" fontId="13" fillId="0" borderId="5" xfId="4" applyFont="1" applyBorder="1" applyAlignment="1">
      <alignment horizontal="center"/>
    </xf>
    <xf numFmtId="0" fontId="34" fillId="0" borderId="5" xfId="4" applyFont="1" applyBorder="1" applyAlignment="1">
      <alignment horizontal="center"/>
    </xf>
    <xf numFmtId="14" fontId="13" fillId="0" borderId="5" xfId="4" applyNumberFormat="1" applyFont="1" applyBorder="1"/>
    <xf numFmtId="0" fontId="13" fillId="27" borderId="1" xfId="4" applyFont="1" applyFill="1" applyBorder="1" applyAlignment="1">
      <alignment horizontal="right"/>
    </xf>
    <xf numFmtId="0" fontId="41" fillId="30" borderId="1" xfId="4" applyFont="1" applyFill="1" applyBorder="1" applyAlignment="1">
      <alignment horizontal="right"/>
    </xf>
    <xf numFmtId="174" fontId="0" fillId="0" borderId="0" xfId="0" applyNumberFormat="1"/>
    <xf numFmtId="0" fontId="45" fillId="0" borderId="1" xfId="0" applyFont="1" applyBorder="1" applyAlignment="1">
      <alignment horizontal="center"/>
    </xf>
    <xf numFmtId="0" fontId="43" fillId="0" borderId="14" xfId="0" applyFont="1" applyBorder="1"/>
    <xf numFmtId="174" fontId="0" fillId="0" borderId="15" xfId="0" applyNumberFormat="1" applyBorder="1"/>
    <xf numFmtId="174" fontId="0" fillId="0" borderId="7" xfId="0" applyNumberFormat="1" applyBorder="1"/>
    <xf numFmtId="0" fontId="43" fillId="0" borderId="12" xfId="0" applyFont="1" applyBorder="1"/>
    <xf numFmtId="174" fontId="43" fillId="0" borderId="5" xfId="0" applyNumberFormat="1" applyFont="1" applyBorder="1"/>
    <xf numFmtId="170" fontId="43" fillId="0" borderId="2" xfId="3" applyNumberFormat="1" applyFont="1" applyBorder="1"/>
    <xf numFmtId="0" fontId="0" fillId="34" borderId="12" xfId="0" applyFill="1" applyBorder="1" applyAlignment="1">
      <alignment horizontal="right"/>
    </xf>
    <xf numFmtId="174" fontId="0" fillId="34" borderId="5" xfId="0" applyNumberFormat="1" applyFill="1" applyBorder="1"/>
    <xf numFmtId="0" fontId="0" fillId="35" borderId="12" xfId="0" applyFill="1" applyBorder="1" applyAlignment="1">
      <alignment horizontal="right"/>
    </xf>
    <xf numFmtId="0" fontId="0" fillId="36" borderId="12" xfId="0" applyFill="1" applyBorder="1" applyAlignment="1">
      <alignment horizontal="right"/>
    </xf>
    <xf numFmtId="174" fontId="0" fillId="36" borderId="5" xfId="0" applyNumberFormat="1" applyFill="1" applyBorder="1" applyAlignment="1">
      <alignment horizontal="right"/>
    </xf>
    <xf numFmtId="0" fontId="0" fillId="0" borderId="12" xfId="0" applyBorder="1"/>
    <xf numFmtId="174" fontId="0" fillId="0" borderId="5" xfId="0" applyNumberFormat="1" applyBorder="1"/>
    <xf numFmtId="0" fontId="0" fillId="0" borderId="12" xfId="0" applyBorder="1" applyAlignment="1">
      <alignment horizontal="right"/>
    </xf>
    <xf numFmtId="0" fontId="0" fillId="37" borderId="12" xfId="0" applyFill="1" applyBorder="1" applyAlignment="1">
      <alignment horizontal="right"/>
    </xf>
    <xf numFmtId="174" fontId="0" fillId="37" borderId="5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74" fontId="0" fillId="0" borderId="5" xfId="0" applyNumberFormat="1" applyFill="1" applyBorder="1" applyAlignment="1">
      <alignment horizontal="right"/>
    </xf>
    <xf numFmtId="174" fontId="43" fillId="0" borderId="5" xfId="0" applyNumberFormat="1" applyFont="1" applyFill="1" applyBorder="1" applyAlignment="1">
      <alignment horizontal="right"/>
    </xf>
    <xf numFmtId="174" fontId="0" fillId="0" borderId="2" xfId="0" applyNumberFormat="1" applyBorder="1"/>
    <xf numFmtId="0" fontId="0" fillId="39" borderId="12" xfId="0" applyFill="1" applyBorder="1" applyAlignment="1">
      <alignment horizontal="right"/>
    </xf>
    <xf numFmtId="0" fontId="46" fillId="0" borderId="12" xfId="0" applyFont="1" applyFill="1" applyBorder="1" applyAlignment="1">
      <alignment horizontal="right"/>
    </xf>
    <xf numFmtId="170" fontId="46" fillId="0" borderId="2" xfId="3" applyNumberFormat="1" applyFont="1" applyFill="1" applyBorder="1"/>
    <xf numFmtId="0" fontId="0" fillId="28" borderId="12" xfId="0" applyFill="1" applyBorder="1" applyAlignment="1">
      <alignment horizontal="right"/>
    </xf>
    <xf numFmtId="174" fontId="0" fillId="28" borderId="5" xfId="0" applyNumberFormat="1" applyFill="1" applyBorder="1"/>
    <xf numFmtId="9" fontId="43" fillId="0" borderId="7" xfId="3" applyNumberFormat="1" applyFont="1" applyBorder="1"/>
    <xf numFmtId="174" fontId="0" fillId="0" borderId="18" xfId="0" applyNumberFormat="1" applyBorder="1"/>
    <xf numFmtId="0" fontId="42" fillId="0" borderId="0" xfId="0" applyFont="1" applyFill="1" applyBorder="1" applyAlignment="1">
      <alignment horizontal="right"/>
    </xf>
    <xf numFmtId="174" fontId="42" fillId="0" borderId="0" xfId="0" applyNumberFormat="1" applyFont="1"/>
    <xf numFmtId="0" fontId="47" fillId="0" borderId="0" xfId="0" applyFont="1" applyAlignment="1">
      <alignment horizontal="right"/>
    </xf>
    <xf numFmtId="174" fontId="47" fillId="0" borderId="0" xfId="0" applyNumberFormat="1" applyFont="1"/>
    <xf numFmtId="0" fontId="43" fillId="0" borderId="0" xfId="0" applyFont="1"/>
    <xf numFmtId="174" fontId="43" fillId="0" borderId="0" xfId="0" applyNumberFormat="1" applyFont="1"/>
    <xf numFmtId="169" fontId="0" fillId="40" borderId="1" xfId="0" applyNumberFormat="1" applyFill="1" applyBorder="1"/>
    <xf numFmtId="169" fontId="0" fillId="40" borderId="1" xfId="0" applyNumberFormat="1" applyFont="1" applyFill="1" applyBorder="1"/>
    <xf numFmtId="169" fontId="0" fillId="40" borderId="1" xfId="0" applyNumberFormat="1" applyFill="1" applyBorder="1" applyAlignment="1">
      <alignment horizontal="center"/>
    </xf>
    <xf numFmtId="0" fontId="4" fillId="40" borderId="1" xfId="0" applyFont="1" applyFill="1" applyBorder="1" applyAlignment="1">
      <alignment wrapText="1"/>
    </xf>
    <xf numFmtId="0" fontId="4" fillId="41" borderId="1" xfId="0" applyFont="1" applyFill="1" applyBorder="1" applyAlignment="1">
      <alignment wrapText="1"/>
    </xf>
    <xf numFmtId="0" fontId="4" fillId="41" borderId="1" xfId="0" applyFont="1" applyFill="1" applyBorder="1"/>
    <xf numFmtId="0" fontId="27" fillId="41" borderId="1" xfId="0" applyFont="1" applyFill="1" applyBorder="1" applyAlignment="1">
      <alignment wrapText="1"/>
    </xf>
    <xf numFmtId="0" fontId="27" fillId="41" borderId="1" xfId="0" applyFont="1" applyFill="1" applyBorder="1"/>
    <xf numFmtId="169" fontId="0" fillId="41" borderId="1" xfId="0" applyNumberFormat="1" applyFill="1" applyBorder="1"/>
    <xf numFmtId="169" fontId="27" fillId="41" borderId="1" xfId="0" applyNumberFormat="1" applyFont="1" applyFill="1" applyBorder="1"/>
    <xf numFmtId="0" fontId="50" fillId="30" borderId="1" xfId="4" applyFont="1" applyFill="1" applyBorder="1" applyAlignment="1">
      <alignment horizontal="right"/>
    </xf>
    <xf numFmtId="14" fontId="23" fillId="37" borderId="0" xfId="0" applyNumberFormat="1" applyFont="1" applyFill="1" applyAlignment="1">
      <alignment horizontal="center"/>
    </xf>
    <xf numFmtId="0" fontId="4" fillId="42" borderId="1" xfId="0" applyFont="1" applyFill="1" applyBorder="1" applyAlignment="1">
      <alignment horizontal="center" wrapText="1"/>
    </xf>
    <xf numFmtId="1" fontId="4" fillId="42" borderId="1" xfId="0" applyNumberFormat="1" applyFont="1" applyFill="1" applyBorder="1" applyAlignment="1">
      <alignment horizontal="center" wrapText="1"/>
    </xf>
    <xf numFmtId="0" fontId="24" fillId="43" borderId="4" xfId="0" applyFont="1" applyFill="1" applyBorder="1"/>
    <xf numFmtId="169" fontId="24" fillId="43" borderId="4" xfId="0" applyNumberFormat="1" applyFont="1" applyFill="1" applyBorder="1"/>
    <xf numFmtId="169" fontId="24" fillId="43" borderId="1" xfId="0" applyNumberFormat="1" applyFont="1" applyFill="1" applyBorder="1"/>
    <xf numFmtId="170" fontId="43" fillId="0" borderId="0" xfId="3" applyNumberFormat="1" applyFont="1" applyBorder="1"/>
    <xf numFmtId="174" fontId="43" fillId="0" borderId="0" xfId="0" applyNumberFormat="1" applyFont="1" applyBorder="1"/>
    <xf numFmtId="170" fontId="3" fillId="0" borderId="0" xfId="3" applyNumberFormat="1" applyFont="1" applyBorder="1"/>
    <xf numFmtId="174" fontId="0" fillId="35" borderId="0" xfId="0" applyNumberFormat="1" applyFill="1" applyBorder="1"/>
    <xf numFmtId="170" fontId="3" fillId="0" borderId="2" xfId="3" applyNumberFormat="1" applyFont="1" applyBorder="1"/>
    <xf numFmtId="169" fontId="4" fillId="44" borderId="1" xfId="0" applyNumberFormat="1" applyFont="1" applyFill="1" applyBorder="1"/>
    <xf numFmtId="174" fontId="0" fillId="0" borderId="0" xfId="0" applyNumberFormat="1" applyBorder="1"/>
    <xf numFmtId="174" fontId="0" fillId="28" borderId="0" xfId="0" applyNumberFormat="1" applyFill="1" applyBorder="1" applyAlignment="1">
      <alignment horizontal="right"/>
    </xf>
    <xf numFmtId="0" fontId="46" fillId="28" borderId="12" xfId="0" applyFont="1" applyFill="1" applyBorder="1" applyAlignment="1">
      <alignment horizontal="right"/>
    </xf>
    <xf numFmtId="174" fontId="46" fillId="28" borderId="0" xfId="0" applyNumberFormat="1" applyFont="1" applyFill="1" applyBorder="1" applyAlignment="1">
      <alignment horizontal="right"/>
    </xf>
    <xf numFmtId="170" fontId="46" fillId="0" borderId="2" xfId="3" applyNumberFormat="1" applyFont="1" applyBorder="1"/>
    <xf numFmtId="0" fontId="52" fillId="0" borderId="0" xfId="0" applyFont="1"/>
    <xf numFmtId="0" fontId="53" fillId="0" borderId="0" xfId="0" applyFont="1"/>
    <xf numFmtId="170" fontId="52" fillId="0" borderId="1" xfId="0" applyNumberFormat="1" applyFont="1" applyBorder="1"/>
    <xf numFmtId="0" fontId="0" fillId="0" borderId="5" xfId="0" applyBorder="1"/>
    <xf numFmtId="169" fontId="52" fillId="44" borderId="1" xfId="0" applyNumberFormat="1" applyFont="1" applyFill="1" applyBorder="1"/>
    <xf numFmtId="0" fontId="0" fillId="38" borderId="12" xfId="0" applyFill="1" applyBorder="1" applyAlignment="1">
      <alignment horizontal="right"/>
    </xf>
    <xf numFmtId="174" fontId="0" fillId="38" borderId="0" xfId="0" applyNumberFormat="1" applyFill="1" applyBorder="1"/>
    <xf numFmtId="0" fontId="46" fillId="37" borderId="12" xfId="0" applyFont="1" applyFill="1" applyBorder="1" applyAlignment="1">
      <alignment horizontal="right"/>
    </xf>
    <xf numFmtId="174" fontId="46" fillId="37" borderId="5" xfId="0" applyNumberFormat="1" applyFont="1" applyFill="1" applyBorder="1" applyAlignment="1">
      <alignment horizontal="right"/>
    </xf>
    <xf numFmtId="170" fontId="46" fillId="0" borderId="0" xfId="3" applyNumberFormat="1" applyFont="1" applyBorder="1"/>
    <xf numFmtId="174" fontId="43" fillId="0" borderId="0" xfId="0" applyNumberFormat="1" applyFont="1" applyFill="1" applyBorder="1" applyAlignment="1">
      <alignment horizontal="right"/>
    </xf>
    <xf numFmtId="174" fontId="0" fillId="39" borderId="0" xfId="0" applyNumberFormat="1" applyFill="1" applyBorder="1" applyAlignment="1">
      <alignment horizontal="right"/>
    </xf>
    <xf numFmtId="174" fontId="0" fillId="0" borderId="0" xfId="0" applyNumberFormat="1" applyFill="1" applyBorder="1"/>
    <xf numFmtId="170" fontId="3" fillId="0" borderId="2" xfId="3" applyNumberFormat="1" applyFont="1" applyFill="1" applyBorder="1"/>
    <xf numFmtId="174" fontId="0" fillId="39" borderId="0" xfId="0" applyNumberFormat="1" applyFill="1" applyBorder="1"/>
    <xf numFmtId="174" fontId="46" fillId="0" borderId="0" xfId="0" applyNumberFormat="1" applyFont="1" applyFill="1" applyBorder="1"/>
    <xf numFmtId="0" fontId="0" fillId="28" borderId="16" xfId="0" applyFill="1" applyBorder="1" applyAlignment="1">
      <alignment horizontal="right"/>
    </xf>
    <xf numFmtId="174" fontId="0" fillId="28" borderId="17" xfId="0" applyNumberFormat="1" applyFill="1" applyBorder="1"/>
    <xf numFmtId="0" fontId="0" fillId="0" borderId="16" xfId="0" applyFill="1" applyBorder="1" applyAlignment="1">
      <alignment horizontal="right"/>
    </xf>
    <xf numFmtId="174" fontId="0" fillId="0" borderId="19" xfId="0" applyNumberFormat="1" applyFill="1" applyBorder="1"/>
    <xf numFmtId="170" fontId="3" fillId="0" borderId="4" xfId="3" applyNumberFormat="1" applyFont="1" applyFill="1" applyBorder="1"/>
    <xf numFmtId="0" fontId="45" fillId="0" borderId="16" xfId="0" applyFont="1" applyBorder="1" applyAlignment="1">
      <alignment horizontal="right"/>
    </xf>
    <xf numFmtId="174" fontId="45" fillId="0" borderId="17" xfId="0" applyNumberFormat="1" applyFont="1" applyBorder="1"/>
    <xf numFmtId="9" fontId="43" fillId="0" borderId="4" xfId="3" applyNumberFormat="1" applyFont="1" applyBorder="1"/>
    <xf numFmtId="169" fontId="4" fillId="45" borderId="1" xfId="0" applyNumberFormat="1" applyFont="1" applyFill="1" applyBorder="1"/>
    <xf numFmtId="169" fontId="52" fillId="40" borderId="1" xfId="0" applyNumberFormat="1" applyFont="1" applyFill="1" applyBorder="1"/>
    <xf numFmtId="169" fontId="4" fillId="46" borderId="1" xfId="0" applyNumberFormat="1" applyFont="1" applyFill="1" applyBorder="1"/>
    <xf numFmtId="0" fontId="52" fillId="40" borderId="1" xfId="0" applyFont="1" applyFill="1" applyBorder="1"/>
    <xf numFmtId="0" fontId="52" fillId="40" borderId="1" xfId="0" applyFont="1" applyFill="1" applyBorder="1" applyAlignment="1">
      <alignment wrapText="1"/>
    </xf>
    <xf numFmtId="170" fontId="4" fillId="45" borderId="1" xfId="3" applyNumberFormat="1" applyFont="1" applyFill="1" applyBorder="1" applyAlignment="1" applyProtection="1"/>
    <xf numFmtId="170" fontId="4" fillId="46" borderId="1" xfId="3" applyNumberFormat="1" applyFont="1" applyFill="1" applyBorder="1" applyAlignment="1" applyProtection="1"/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54" fillId="7" borderId="0" xfId="4" applyFont="1" applyFill="1" applyBorder="1" applyAlignment="1">
      <alignment horizontal="right"/>
    </xf>
    <xf numFmtId="0" fontId="55" fillId="7" borderId="0" xfId="4" applyFont="1" applyFill="1" applyBorder="1" applyAlignment="1">
      <alignment horizontal="right"/>
    </xf>
    <xf numFmtId="0" fontId="13" fillId="47" borderId="1" xfId="4" applyFont="1" applyFill="1" applyBorder="1" applyAlignment="1">
      <alignment horizontal="right"/>
    </xf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56" fillId="18" borderId="0" xfId="4" applyFont="1" applyFill="1" applyBorder="1" applyAlignment="1">
      <alignment horizontal="center"/>
    </xf>
    <xf numFmtId="0" fontId="55" fillId="0" borderId="5" xfId="4" applyFont="1" applyBorder="1" applyAlignment="1">
      <alignment horizontal="center"/>
    </xf>
    <xf numFmtId="0" fontId="54" fillId="0" borderId="5" xfId="4" applyFont="1" applyBorder="1" applyAlignment="1">
      <alignment horizontal="center"/>
    </xf>
    <xf numFmtId="0" fontId="56" fillId="6" borderId="0" xfId="4" applyFont="1" applyFill="1" applyBorder="1" applyAlignment="1">
      <alignment horizontal="center"/>
    </xf>
    <xf numFmtId="0" fontId="56" fillId="13" borderId="0" xfId="4" applyFont="1" applyFill="1" applyBorder="1" applyAlignment="1">
      <alignment horizontal="center"/>
    </xf>
    <xf numFmtId="0" fontId="54" fillId="0" borderId="0" xfId="4" applyFont="1" applyBorder="1" applyAlignment="1">
      <alignment horizontal="center"/>
    </xf>
    <xf numFmtId="0" fontId="54" fillId="0" borderId="0" xfId="4" applyFont="1" applyAlignment="1">
      <alignment horizontal="center"/>
    </xf>
    <xf numFmtId="0" fontId="54" fillId="0" borderId="0" xfId="0" applyFont="1"/>
    <xf numFmtId="0" fontId="57" fillId="18" borderId="0" xfId="4" applyFont="1" applyFill="1" applyBorder="1" applyAlignment="1">
      <alignment horizontal="center"/>
    </xf>
    <xf numFmtId="0" fontId="57" fillId="6" borderId="0" xfId="4" applyFont="1" applyFill="1" applyBorder="1" applyAlignment="1">
      <alignment horizontal="center"/>
    </xf>
    <xf numFmtId="0" fontId="57" fillId="13" borderId="0" xfId="4" applyFont="1" applyFill="1" applyBorder="1" applyAlignment="1">
      <alignment horizontal="center"/>
    </xf>
    <xf numFmtId="2" fontId="33" fillId="0" borderId="1" xfId="4" applyNumberFormat="1" applyFont="1" applyBorder="1" applyAlignment="1">
      <alignment horizontal="center"/>
    </xf>
    <xf numFmtId="2" fontId="13" fillId="20" borderId="1" xfId="4" applyNumberFormat="1" applyFont="1" applyFill="1" applyBorder="1" applyAlignment="1">
      <alignment horizontal="center"/>
    </xf>
    <xf numFmtId="2" fontId="5" fillId="20" borderId="1" xfId="4" applyNumberFormat="1" applyFont="1" applyFill="1" applyBorder="1" applyAlignment="1">
      <alignment horizontal="center"/>
    </xf>
    <xf numFmtId="2" fontId="39" fillId="0" borderId="1" xfId="4" applyNumberFormat="1" applyBorder="1" applyAlignment="1">
      <alignment horizontal="center"/>
    </xf>
    <xf numFmtId="2" fontId="35" fillId="11" borderId="1" xfId="4" applyNumberFormat="1" applyFont="1" applyFill="1" applyBorder="1" applyAlignment="1">
      <alignment horizontal="center"/>
    </xf>
    <xf numFmtId="0" fontId="39" fillId="0" borderId="1" xfId="4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0" fontId="45" fillId="0" borderId="0" xfId="0" applyFont="1"/>
    <xf numFmtId="170" fontId="45" fillId="0" borderId="0" xfId="3" applyNumberFormat="1" applyFont="1"/>
    <xf numFmtId="0" fontId="0" fillId="0" borderId="0" xfId="0" applyFont="1"/>
    <xf numFmtId="0" fontId="45" fillId="0" borderId="0" xfId="0" applyFont="1" applyAlignment="1">
      <alignment horizontal="left"/>
    </xf>
    <xf numFmtId="0" fontId="43" fillId="28" borderId="0" xfId="0" applyFont="1" applyFill="1" applyAlignment="1">
      <alignment horizontal="center"/>
    </xf>
    <xf numFmtId="0" fontId="43" fillId="28" borderId="0" xfId="0" applyFont="1" applyFill="1"/>
    <xf numFmtId="0" fontId="0" fillId="29" borderId="0" xfId="0" applyFill="1"/>
    <xf numFmtId="0" fontId="0" fillId="29" borderId="0" xfId="0" applyFill="1" applyAlignment="1">
      <alignment horizontal="center"/>
    </xf>
    <xf numFmtId="0" fontId="0" fillId="29" borderId="0" xfId="0" applyFont="1" applyFill="1" applyBorder="1"/>
    <xf numFmtId="0" fontId="46" fillId="29" borderId="0" xfId="0" applyFont="1" applyFill="1" applyBorder="1" applyAlignment="1">
      <alignment horizontal="center"/>
    </xf>
    <xf numFmtId="0" fontId="46" fillId="29" borderId="0" xfId="0" applyFont="1" applyFill="1" applyBorder="1"/>
    <xf numFmtId="14" fontId="46" fillId="29" borderId="0" xfId="0" applyNumberFormat="1" applyFont="1" applyFill="1" applyBorder="1"/>
    <xf numFmtId="0" fontId="0" fillId="29" borderId="0" xfId="0" applyFill="1" applyBorder="1" applyAlignment="1">
      <alignment horizontal="center"/>
    </xf>
    <xf numFmtId="0" fontId="0" fillId="29" borderId="0" xfId="0" applyFill="1" applyBorder="1"/>
    <xf numFmtId="14" fontId="0" fillId="29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46" fillId="0" borderId="0" xfId="0" applyFont="1" applyFill="1" applyBorder="1"/>
    <xf numFmtId="14" fontId="46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5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45" fillId="0" borderId="0" xfId="0" applyFont="1" applyBorder="1"/>
    <xf numFmtId="0" fontId="54" fillId="29" borderId="0" xfId="0" applyFont="1" applyFill="1" applyBorder="1"/>
    <xf numFmtId="0" fontId="45" fillId="0" borderId="0" xfId="0" applyFont="1" applyAlignment="1">
      <alignment horizontal="center"/>
    </xf>
    <xf numFmtId="0" fontId="54" fillId="29" borderId="0" xfId="0" applyFont="1" applyFill="1" applyBorder="1" applyAlignment="1">
      <alignment horizontal="center"/>
    </xf>
    <xf numFmtId="0" fontId="46" fillId="29" borderId="0" xfId="0" applyNumberFormat="1" applyFont="1" applyFill="1" applyBorder="1" applyAlignment="1">
      <alignment horizontal="center"/>
    </xf>
    <xf numFmtId="0" fontId="54" fillId="29" borderId="0" xfId="0" applyNumberFormat="1" applyFont="1" applyFill="1" applyAlignment="1">
      <alignment horizontal="center"/>
    </xf>
    <xf numFmtId="0" fontId="0" fillId="29" borderId="0" xfId="0" applyFont="1" applyFill="1" applyBorder="1" applyAlignment="1">
      <alignment horizontal="center"/>
    </xf>
    <xf numFmtId="14" fontId="0" fillId="29" borderId="0" xfId="0" applyNumberFormat="1" applyFill="1" applyBorder="1" applyAlignment="1">
      <alignment horizontal="center"/>
    </xf>
    <xf numFmtId="14" fontId="46" fillId="29" borderId="0" xfId="0" applyNumberFormat="1" applyFont="1" applyFill="1" applyBorder="1" applyAlignment="1">
      <alignment horizontal="center"/>
    </xf>
    <xf numFmtId="2" fontId="0" fillId="29" borderId="0" xfId="0" applyNumberFormat="1" applyFill="1" applyBorder="1"/>
    <xf numFmtId="2" fontId="46" fillId="29" borderId="0" xfId="0" applyNumberFormat="1" applyFont="1" applyFill="1" applyBorder="1"/>
    <xf numFmtId="0" fontId="54" fillId="0" borderId="0" xfId="0" applyFont="1" applyBorder="1" applyAlignment="1">
      <alignment horizontal="center"/>
    </xf>
    <xf numFmtId="0" fontId="2" fillId="29" borderId="0" xfId="0" applyFont="1" applyFill="1" applyBorder="1" applyAlignment="1">
      <alignment horizontal="center"/>
    </xf>
    <xf numFmtId="2" fontId="0" fillId="29" borderId="0" xfId="0" applyNumberFormat="1" applyFill="1"/>
    <xf numFmtId="0" fontId="59" fillId="0" borderId="0" xfId="0" applyFont="1"/>
    <xf numFmtId="0" fontId="0" fillId="47" borderId="0" xfId="4" applyFont="1" applyFill="1" applyBorder="1" applyAlignment="1">
      <alignment horizontal="right"/>
    </xf>
    <xf numFmtId="0" fontId="13" fillId="47" borderId="0" xfId="4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54" fillId="47" borderId="0" xfId="4" applyFont="1" applyFill="1" applyBorder="1" applyAlignment="1">
      <alignment horizontal="right"/>
    </xf>
    <xf numFmtId="0" fontId="58" fillId="28" borderId="0" xfId="0" applyFont="1" applyFill="1" applyAlignment="1">
      <alignment horizontal="center"/>
    </xf>
    <xf numFmtId="0" fontId="0" fillId="28" borderId="0" xfId="0" applyFill="1"/>
    <xf numFmtId="0" fontId="59" fillId="39" borderId="0" xfId="0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3" fontId="39" fillId="0" borderId="5" xfId="2" applyNumberFormat="1" applyBorder="1"/>
    <xf numFmtId="0" fontId="59" fillId="39" borderId="19" xfId="0" applyFont="1" applyFill="1" applyBorder="1" applyAlignment="1">
      <alignment horizontal="center"/>
    </xf>
    <xf numFmtId="0" fontId="59" fillId="39" borderId="17" xfId="0" applyFont="1" applyFill="1" applyBorder="1" applyAlignment="1">
      <alignment horizontal="center"/>
    </xf>
    <xf numFmtId="0" fontId="59" fillId="28" borderId="19" xfId="0" applyFont="1" applyFill="1" applyBorder="1" applyAlignment="1">
      <alignment horizontal="center"/>
    </xf>
    <xf numFmtId="0" fontId="59" fillId="28" borderId="17" xfId="0" applyFont="1" applyFill="1" applyBorder="1" applyAlignment="1">
      <alignment horizontal="center"/>
    </xf>
    <xf numFmtId="0" fontId="59" fillId="29" borderId="19" xfId="0" applyFont="1" applyFill="1" applyBorder="1" applyAlignment="1">
      <alignment horizontal="center"/>
    </xf>
    <xf numFmtId="0" fontId="59" fillId="29" borderId="17" xfId="0" applyFont="1" applyFill="1" applyBorder="1" applyAlignment="1">
      <alignment horizontal="center"/>
    </xf>
    <xf numFmtId="0" fontId="59" fillId="36" borderId="19" xfId="0" applyFont="1" applyFill="1" applyBorder="1" applyAlignment="1">
      <alignment horizontal="center"/>
    </xf>
    <xf numFmtId="0" fontId="59" fillId="36" borderId="17" xfId="0" applyFont="1" applyFill="1" applyBorder="1" applyAlignment="1">
      <alignment horizontal="center"/>
    </xf>
    <xf numFmtId="2" fontId="59" fillId="39" borderId="0" xfId="0" applyNumberFormat="1" applyFont="1" applyFill="1" applyBorder="1" applyAlignment="1">
      <alignment horizontal="center"/>
    </xf>
    <xf numFmtId="173" fontId="59" fillId="39" borderId="5" xfId="2" applyNumberFormat="1" applyFont="1" applyFill="1" applyBorder="1"/>
    <xf numFmtId="14" fontId="0" fillId="28" borderId="0" xfId="0" applyNumberFormat="1" applyFill="1" applyBorder="1" applyAlignment="1">
      <alignment horizontal="center"/>
    </xf>
    <xf numFmtId="0" fontId="0" fillId="28" borderId="5" xfId="0" applyFill="1" applyBorder="1" applyAlignment="1">
      <alignment horizontal="center"/>
    </xf>
    <xf numFmtId="0" fontId="0" fillId="28" borderId="0" xfId="0" applyFill="1" applyBorder="1" applyAlignment="1">
      <alignment horizontal="center"/>
    </xf>
    <xf numFmtId="2" fontId="0" fillId="28" borderId="0" xfId="0" applyNumberFormat="1" applyFill="1" applyBorder="1" applyAlignment="1">
      <alignment horizontal="center"/>
    </xf>
    <xf numFmtId="1" fontId="0" fillId="28" borderId="5" xfId="0" applyNumberFormat="1" applyFill="1" applyBorder="1" applyAlignment="1">
      <alignment horizontal="center"/>
    </xf>
    <xf numFmtId="173" fontId="39" fillId="28" borderId="5" xfId="2" applyNumberFormat="1" applyFill="1" applyBorder="1"/>
    <xf numFmtId="14" fontId="13" fillId="0" borderId="0" xfId="4" applyNumberFormat="1" applyFont="1" applyBorder="1" applyAlignment="1">
      <alignment horizontal="center"/>
    </xf>
    <xf numFmtId="2" fontId="62" fillId="48" borderId="1" xfId="4" applyNumberFormat="1" applyFont="1" applyFill="1" applyBorder="1" applyAlignment="1">
      <alignment horizontal="center"/>
    </xf>
    <xf numFmtId="2" fontId="63" fillId="20" borderId="1" xfId="4" applyNumberFormat="1" applyFont="1" applyFill="1" applyBorder="1" applyAlignment="1">
      <alignment horizontal="center"/>
    </xf>
    <xf numFmtId="2" fontId="63" fillId="48" borderId="1" xfId="4" applyNumberFormat="1" applyFont="1" applyFill="1" applyBorder="1" applyAlignment="1">
      <alignment horizontal="center"/>
    </xf>
    <xf numFmtId="2" fontId="64" fillId="0" borderId="1" xfId="4" applyNumberFormat="1" applyFont="1" applyBorder="1" applyAlignment="1">
      <alignment horizontal="center"/>
    </xf>
    <xf numFmtId="2" fontId="62" fillId="11" borderId="1" xfId="4" applyNumberFormat="1" applyFont="1" applyFill="1" applyBorder="1" applyAlignment="1">
      <alignment horizontal="center"/>
    </xf>
    <xf numFmtId="2" fontId="61" fillId="20" borderId="1" xfId="4" applyNumberFormat="1" applyFont="1" applyFill="1" applyBorder="1" applyAlignment="1">
      <alignment horizontal="center"/>
    </xf>
    <xf numFmtId="0" fontId="55" fillId="47" borderId="0" xfId="4" applyFont="1" applyFill="1" applyBorder="1" applyAlignment="1">
      <alignment horizontal="right"/>
    </xf>
    <xf numFmtId="2" fontId="39" fillId="0" borderId="1" xfId="4" applyNumberFormat="1" applyFill="1" applyBorder="1" applyAlignment="1">
      <alignment horizontal="center"/>
    </xf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0" fillId="0" borderId="0" xfId="4" applyFont="1" applyAlignment="1"/>
    <xf numFmtId="0" fontId="0" fillId="29" borderId="0" xfId="4" applyFont="1" applyFill="1" applyBorder="1" applyAlignment="1">
      <alignment horizontal="center"/>
    </xf>
    <xf numFmtId="0" fontId="0" fillId="0" borderId="0" xfId="4" applyFont="1" applyBorder="1" applyAlignment="1">
      <alignment horizontal="center"/>
    </xf>
    <xf numFmtId="0" fontId="0" fillId="28" borderId="0" xfId="4" applyFont="1" applyFill="1" applyBorder="1" applyAlignment="1">
      <alignment horizontal="center"/>
    </xf>
    <xf numFmtId="0" fontId="0" fillId="29" borderId="12" xfId="4" applyFont="1" applyFill="1" applyBorder="1" applyAlignment="1">
      <alignment horizontal="center"/>
    </xf>
    <xf numFmtId="0" fontId="0" fillId="29" borderId="0" xfId="0" applyFill="1" applyBorder="1" applyAlignment="1"/>
    <xf numFmtId="0" fontId="54" fillId="29" borderId="0" xfId="0" applyFont="1" applyFill="1" applyBorder="1" applyAlignment="1"/>
    <xf numFmtId="0" fontId="45" fillId="0" borderId="0" xfId="0" applyFont="1" applyAlignment="1">
      <alignment horizontal="left"/>
    </xf>
    <xf numFmtId="2" fontId="13" fillId="48" borderId="1" xfId="4" applyNumberFormat="1" applyFont="1" applyFill="1" applyBorder="1" applyAlignment="1">
      <alignment horizontal="center"/>
    </xf>
    <xf numFmtId="0" fontId="0" fillId="29" borderId="0" xfId="0" applyFill="1" applyBorder="1" applyAlignment="1">
      <alignment horizontal="left"/>
    </xf>
    <xf numFmtId="169" fontId="22" fillId="0" borderId="0" xfId="0" applyNumberFormat="1" applyFont="1"/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45" fillId="0" borderId="0" xfId="0" applyFont="1" applyAlignment="1">
      <alignment horizontal="left"/>
    </xf>
    <xf numFmtId="0" fontId="45" fillId="0" borderId="0" xfId="0" applyFont="1" applyAlignment="1">
      <alignment horizontal="center"/>
    </xf>
    <xf numFmtId="0" fontId="43" fillId="29" borderId="0" xfId="0" applyFont="1" applyFill="1" applyAlignment="1">
      <alignment horizontal="center"/>
    </xf>
    <xf numFmtId="14" fontId="0" fillId="29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44" fillId="31" borderId="6" xfId="0" applyFont="1" applyFill="1" applyBorder="1" applyAlignment="1">
      <alignment horizontal="center"/>
    </xf>
    <xf numFmtId="0" fontId="44" fillId="31" borderId="13" xfId="0" applyFont="1" applyFill="1" applyBorder="1" applyAlignment="1">
      <alignment horizontal="center"/>
    </xf>
    <xf numFmtId="0" fontId="44" fillId="31" borderId="3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45" fillId="32" borderId="14" xfId="0" applyFont="1" applyFill="1" applyBorder="1" applyAlignment="1">
      <alignment horizontal="center"/>
    </xf>
    <xf numFmtId="0" fontId="45" fillId="32" borderId="15" xfId="0" applyFont="1" applyFill="1" applyBorder="1" applyAlignment="1">
      <alignment horizontal="center"/>
    </xf>
    <xf numFmtId="0" fontId="45" fillId="33" borderId="18" xfId="0" applyFont="1" applyFill="1" applyBorder="1" applyAlignment="1">
      <alignment horizontal="center"/>
    </xf>
    <xf numFmtId="0" fontId="45" fillId="33" borderId="15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4" fillId="40" borderId="7" xfId="0" applyFont="1" applyFill="1" applyBorder="1" applyAlignment="1">
      <alignment horizontal="left" vertical="top" wrapText="1"/>
    </xf>
    <xf numFmtId="0" fontId="4" fillId="40" borderId="2" xfId="0" applyFont="1" applyFill="1" applyBorder="1" applyAlignment="1">
      <alignment horizontal="left" vertical="top" wrapText="1"/>
    </xf>
    <xf numFmtId="0" fontId="4" fillId="40" borderId="4" xfId="0" applyFont="1" applyFill="1" applyBorder="1" applyAlignment="1">
      <alignment horizontal="left" vertical="top" wrapText="1"/>
    </xf>
    <xf numFmtId="0" fontId="4" fillId="41" borderId="7" xfId="0" applyFont="1" applyFill="1" applyBorder="1" applyAlignment="1">
      <alignment horizontal="left" vertical="top" wrapText="1"/>
    </xf>
    <xf numFmtId="0" fontId="4" fillId="41" borderId="2" xfId="0" applyFont="1" applyFill="1" applyBorder="1" applyAlignment="1">
      <alignment horizontal="left" vertical="top" wrapText="1"/>
    </xf>
    <xf numFmtId="0" fontId="4" fillId="41" borderId="4" xfId="0" applyFont="1" applyFill="1" applyBorder="1" applyAlignment="1">
      <alignment horizontal="left" vertical="top" wrapText="1"/>
    </xf>
    <xf numFmtId="0" fontId="4" fillId="17" borderId="5" xfId="0" applyFont="1" applyFill="1" applyBorder="1" applyAlignment="1">
      <alignment horizontal="center" vertical="top" wrapText="1"/>
    </xf>
    <xf numFmtId="169" fontId="26" fillId="45" borderId="1" xfId="0" applyNumberFormat="1" applyFont="1" applyFill="1" applyBorder="1" applyAlignment="1">
      <alignment horizontal="center"/>
    </xf>
    <xf numFmtId="169" fontId="27" fillId="46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0" fillId="15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0" fillId="22" borderId="1" xfId="0" applyFont="1" applyFill="1" applyBorder="1" applyAlignment="1">
      <alignment horizontal="center"/>
    </xf>
    <xf numFmtId="2" fontId="61" fillId="49" borderId="1" xfId="4" applyNumberFormat="1" applyFont="1" applyFill="1" applyBorder="1" applyAlignment="1">
      <alignment horizontal="center"/>
    </xf>
  </cellXfs>
  <cellStyles count="5">
    <cellStyle name="Excel Built-in Normal" xfId="4" xr:uid="{00000000-0005-0000-0000-000001000000}"/>
    <cellStyle name="Millares" xfId="1" builtinId="3"/>
    <cellStyle name="Moneda" xfId="2" builtinId="4"/>
    <cellStyle name="Normal" xfId="0" builtinId="0"/>
    <cellStyle name="Porcentaje" xfId="3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C9C9C9"/>
      <rgbColor rgb="FF0000FF"/>
      <rgbColor rgb="FFFFFF00"/>
      <rgbColor rgb="FFFFC7CE"/>
      <rgbColor rgb="FFA9D18E"/>
      <rgbColor rgb="FF9C0006"/>
      <rgbColor rgb="FF006100"/>
      <rgbColor rgb="FF000080"/>
      <rgbColor rgb="FF9C6500"/>
      <rgbColor rgb="FFD0CECE"/>
      <rgbColor rgb="FF00B050"/>
      <rgbColor rgb="FFBFBFBF"/>
      <rgbColor rgb="FF8B8B8B"/>
      <rgbColor rgb="FF98B8DF"/>
      <rgbColor rgb="FF7030A0"/>
      <rgbColor rgb="FFFFFFCC"/>
      <rgbColor rgb="FFE2F0D9"/>
      <rgbColor rgb="FFFBE5D6"/>
      <rgbColor rgb="FFF4B183"/>
      <rgbColor rgb="FF0070C0"/>
      <rgbColor rgb="FFBDD7EE"/>
      <rgbColor rgb="FF000080"/>
      <rgbColor rgb="FFCCCCCC"/>
      <rgbColor rgb="FFFFE699"/>
      <rgbColor rgb="FFAFABAB"/>
      <rgbColor rgb="FFD9D9D9"/>
      <rgbColor rgb="FFBF9000"/>
      <rgbColor rgb="FF518ABD"/>
      <rgbColor rgb="FF0000FF"/>
      <rgbColor rgb="FFB3CAC7"/>
      <rgbColor rgb="FFDAE3F3"/>
      <rgbColor rgb="FFC6EFCE"/>
      <rgbColor rgb="FFFFEB9C"/>
      <rgbColor rgb="FFB4C7E7"/>
      <rgbColor rgb="FFF1A78B"/>
      <rgbColor rgb="FFADB9CA"/>
      <rgbColor rgb="FFF8CBAD"/>
      <rgbColor rgb="FF2E75B6"/>
      <rgbColor rgb="FF5EB91E"/>
      <rgbColor rgb="FF92D050"/>
      <rgbColor rgb="FFFFC000"/>
      <rgbColor rgb="FFE3AB00"/>
      <rgbColor rgb="FFD36F2B"/>
      <rgbColor rgb="FF3C65AE"/>
      <rgbColor rgb="FF929292"/>
      <rgbColor rgb="FFDBDBDB"/>
      <rgbColor rgb="FF639A3F"/>
      <rgbColor rgb="FFEEEEEE"/>
      <rgbColor rgb="FF548235"/>
      <rgbColor rgb="FFCE181E"/>
      <rgbColor rgb="FFC55A11"/>
      <rgbColor rgb="FF535353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ACACD911-8FAD-4607-BE90-6C645A499B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D3A2B86-3764-46E6-B5FF-CD9D32C97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A359054-B895-4C72-9CCF-ABF4795C50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C3CE7BB-0A37-43B3-AD67-C0D721059C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636B8826-9902-44AB-906C-0060750180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84C6FC24-5190-4275-B063-834F7156A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6452755-856A-41A0-8D87-EA7C0C9292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332F424-7CD8-4931-B586-CD61E5B9FF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D205D84-B99F-48F2-B3AD-39A7AC457C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8021C76-9602-4A25-9BFE-8EDBB71218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E61C-298F-4481-9305-8EA273077EB6}">
  <sheetPr>
    <tabColor rgb="FF7030A0"/>
  </sheetPr>
  <dimension ref="A1:AA35"/>
  <sheetViews>
    <sheetView zoomScale="90" zoomScaleNormal="90" workbookViewId="0">
      <selection activeCell="C21" sqref="C21"/>
    </sheetView>
  </sheetViews>
  <sheetFormatPr baseColWidth="10" defaultRowHeight="15" x14ac:dyDescent="0.25"/>
  <cols>
    <col min="1" max="1" width="3" bestFit="1" customWidth="1"/>
    <col min="2" max="2" width="8.42578125" customWidth="1"/>
    <col min="3" max="3" width="20.5703125" bestFit="1" customWidth="1"/>
    <col min="4" max="4" width="5" bestFit="1" customWidth="1"/>
    <col min="5" max="5" width="4.28515625" bestFit="1" customWidth="1"/>
    <col min="6" max="6" width="7.140625" bestFit="1" customWidth="1"/>
    <col min="7" max="7" width="11.5703125" bestFit="1" customWidth="1"/>
    <col min="8" max="8" width="22.42578125" bestFit="1" customWidth="1"/>
    <col min="9" max="9" width="5" bestFit="1" customWidth="1"/>
    <col min="10" max="10" width="5.7109375" customWidth="1"/>
    <col min="11" max="11" width="3" bestFit="1" customWidth="1"/>
    <col min="12" max="12" width="5" bestFit="1" customWidth="1"/>
    <col min="13" max="13" width="20.42578125" bestFit="1" customWidth="1"/>
    <col min="14" max="14" width="5" bestFit="1" customWidth="1"/>
    <col min="15" max="15" width="4.5703125" bestFit="1" customWidth="1"/>
    <col min="16" max="16" width="5.42578125" customWidth="1"/>
    <col min="17" max="17" width="3" bestFit="1" customWidth="1"/>
    <col min="18" max="18" width="5.5703125" bestFit="1" customWidth="1"/>
    <col min="19" max="19" width="20.42578125" bestFit="1" customWidth="1"/>
    <col min="20" max="20" width="5" bestFit="1" customWidth="1"/>
    <col min="21" max="21" width="6" customWidth="1"/>
    <col min="22" max="22" width="3" style="62" bestFit="1" customWidth="1"/>
    <col min="23" max="23" width="18.85546875" style="62" bestFit="1" customWidth="1"/>
    <col min="24" max="24" width="10.7109375" style="62" bestFit="1" customWidth="1"/>
    <col min="25" max="25" width="12.85546875" style="62" bestFit="1" customWidth="1"/>
    <col min="26" max="26" width="7" style="62" bestFit="1" customWidth="1"/>
    <col min="27" max="27" width="5.140625" bestFit="1" customWidth="1"/>
  </cols>
  <sheetData>
    <row r="1" spans="1:27" ht="18.75" x14ac:dyDescent="0.3">
      <c r="A1" s="422" t="s">
        <v>277</v>
      </c>
      <c r="B1" s="422"/>
      <c r="C1" s="422"/>
      <c r="E1" s="421" t="s">
        <v>278</v>
      </c>
      <c r="F1" s="421"/>
      <c r="G1" s="421"/>
      <c r="H1" s="421"/>
    </row>
    <row r="2" spans="1:27" x14ac:dyDescent="0.25">
      <c r="A2" s="423">
        <v>43696</v>
      </c>
      <c r="B2" s="423"/>
      <c r="C2" s="423"/>
      <c r="E2" s="62" t="s">
        <v>306</v>
      </c>
      <c r="F2" s="370" t="s">
        <v>339</v>
      </c>
      <c r="G2" s="322">
        <v>43695</v>
      </c>
      <c r="H2" t="s">
        <v>338</v>
      </c>
    </row>
    <row r="3" spans="1:27" x14ac:dyDescent="0.25">
      <c r="E3" s="62" t="s">
        <v>307</v>
      </c>
      <c r="F3" s="370" t="s">
        <v>322</v>
      </c>
      <c r="G3" s="322">
        <v>43670</v>
      </c>
      <c r="H3" t="s">
        <v>323</v>
      </c>
    </row>
    <row r="4" spans="1:27" ht="18.75" x14ac:dyDescent="0.3">
      <c r="A4" s="323"/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50"/>
      <c r="W4" s="350"/>
    </row>
    <row r="5" spans="1:27" ht="18.75" x14ac:dyDescent="0.3">
      <c r="A5" s="323"/>
      <c r="B5" s="420" t="s">
        <v>279</v>
      </c>
      <c r="C5" s="420"/>
      <c r="E5" s="323"/>
      <c r="F5" s="323"/>
      <c r="G5" s="420" t="s">
        <v>280</v>
      </c>
      <c r="H5" s="420"/>
      <c r="I5" s="420"/>
      <c r="J5" s="324"/>
      <c r="K5" s="324"/>
      <c r="L5" s="420" t="s">
        <v>281</v>
      </c>
      <c r="M5" s="420"/>
      <c r="O5" s="233" t="s">
        <v>282</v>
      </c>
      <c r="P5" s="323"/>
      <c r="Q5" s="323"/>
      <c r="R5" s="420" t="s">
        <v>283</v>
      </c>
      <c r="S5" s="420"/>
      <c r="T5" s="323"/>
      <c r="U5" s="323"/>
      <c r="V5" s="421" t="s">
        <v>302</v>
      </c>
      <c r="W5" s="421"/>
      <c r="X5" s="350" t="s">
        <v>303</v>
      </c>
      <c r="Y5" s="350" t="s">
        <v>304</v>
      </c>
      <c r="Z5" s="350" t="s">
        <v>47</v>
      </c>
      <c r="AA5" s="350" t="s">
        <v>305</v>
      </c>
    </row>
    <row r="6" spans="1:27" x14ac:dyDescent="0.25">
      <c r="A6" s="186">
        <v>1</v>
      </c>
      <c r="B6" s="365">
        <v>4</v>
      </c>
      <c r="C6" s="336" t="s">
        <v>300</v>
      </c>
      <c r="D6" s="337" t="s">
        <v>56</v>
      </c>
      <c r="F6" s="338">
        <v>1</v>
      </c>
      <c r="G6" s="345">
        <v>12</v>
      </c>
      <c r="H6" s="336" t="s">
        <v>300</v>
      </c>
      <c r="I6" s="337" t="s">
        <v>56</v>
      </c>
      <c r="K6" s="359">
        <v>1</v>
      </c>
      <c r="L6" s="332">
        <v>8</v>
      </c>
      <c r="M6" s="336" t="s">
        <v>286</v>
      </c>
      <c r="N6" s="336" t="s">
        <v>86</v>
      </c>
      <c r="O6" s="358">
        <f>L6/G9</f>
        <v>0.66666666666666663</v>
      </c>
      <c r="Q6" s="349">
        <v>1</v>
      </c>
      <c r="R6" s="332">
        <v>5.5</v>
      </c>
      <c r="S6" s="333" t="s">
        <v>285</v>
      </c>
      <c r="T6" s="334" t="s">
        <v>91</v>
      </c>
      <c r="V6" s="351">
        <v>1</v>
      </c>
      <c r="W6" s="411" t="s">
        <v>287</v>
      </c>
      <c r="X6" s="335">
        <v>4</v>
      </c>
      <c r="Y6" s="335">
        <v>0</v>
      </c>
      <c r="Z6" s="353">
        <f>Y6+X6</f>
        <v>4</v>
      </c>
      <c r="AA6" s="361">
        <f>Z6/G7</f>
        <v>0.33333333333333331</v>
      </c>
    </row>
    <row r="7" spans="1:27" x14ac:dyDescent="0.25">
      <c r="A7" s="186">
        <v>2</v>
      </c>
      <c r="B7" s="345">
        <v>4</v>
      </c>
      <c r="C7" s="336" t="s">
        <v>297</v>
      </c>
      <c r="D7" s="337" t="s">
        <v>56</v>
      </c>
      <c r="F7" s="338">
        <v>1</v>
      </c>
      <c r="G7" s="342">
        <v>12</v>
      </c>
      <c r="H7" s="336" t="s">
        <v>287</v>
      </c>
      <c r="I7" s="336" t="s">
        <v>91</v>
      </c>
      <c r="K7" s="359">
        <v>1</v>
      </c>
      <c r="L7" s="335">
        <v>8</v>
      </c>
      <c r="M7" s="336" t="s">
        <v>314</v>
      </c>
      <c r="N7" s="337" t="s">
        <v>91</v>
      </c>
      <c r="O7" s="357">
        <f>L11/G19</f>
        <v>0.625</v>
      </c>
      <c r="Q7" s="331">
        <v>1</v>
      </c>
      <c r="R7" s="335">
        <v>5.5</v>
      </c>
      <c r="S7" s="336" t="s">
        <v>287</v>
      </c>
      <c r="T7" s="336" t="s">
        <v>91</v>
      </c>
      <c r="V7" s="354">
        <v>2</v>
      </c>
      <c r="W7" s="412" t="s">
        <v>295</v>
      </c>
      <c r="X7" s="332">
        <v>1</v>
      </c>
      <c r="Y7" s="352">
        <v>1</v>
      </c>
      <c r="Z7" s="353">
        <f>Y7+X7</f>
        <v>2</v>
      </c>
      <c r="AA7" s="361">
        <f>Z7/G15</f>
        <v>0.22222222222222221</v>
      </c>
    </row>
    <row r="8" spans="1:27" x14ac:dyDescent="0.25">
      <c r="A8" s="186">
        <v>3</v>
      </c>
      <c r="B8" s="342">
        <v>1</v>
      </c>
      <c r="C8" s="336" t="s">
        <v>301</v>
      </c>
      <c r="D8" s="337" t="s">
        <v>56</v>
      </c>
      <c r="F8" s="338">
        <v>1</v>
      </c>
      <c r="G8" s="346">
        <v>12</v>
      </c>
      <c r="H8" s="333" t="s">
        <v>290</v>
      </c>
      <c r="I8" s="334" t="s">
        <v>71</v>
      </c>
      <c r="K8" s="359">
        <v>3</v>
      </c>
      <c r="L8" s="354">
        <v>7</v>
      </c>
      <c r="M8" s="333" t="s">
        <v>289</v>
      </c>
      <c r="N8" s="333" t="s">
        <v>154</v>
      </c>
      <c r="O8" s="357">
        <f>L8/G10</f>
        <v>0.58333333333333337</v>
      </c>
      <c r="Q8" s="331">
        <v>3</v>
      </c>
      <c r="R8" s="335">
        <v>5</v>
      </c>
      <c r="S8" s="336" t="s">
        <v>314</v>
      </c>
      <c r="T8" s="337" t="s">
        <v>91</v>
      </c>
      <c r="V8" s="354">
        <v>3</v>
      </c>
      <c r="W8" s="411" t="s">
        <v>288</v>
      </c>
      <c r="X8" s="335">
        <v>2</v>
      </c>
      <c r="Y8" s="335">
        <v>0</v>
      </c>
      <c r="Z8" s="353">
        <f>Y8+X8</f>
        <v>2</v>
      </c>
      <c r="AA8" s="361">
        <f>Z8/G9</f>
        <v>0.16666666666666666</v>
      </c>
    </row>
    <row r="9" spans="1:27" ht="18.75" x14ac:dyDescent="0.3">
      <c r="A9" s="186">
        <v>4</v>
      </c>
      <c r="B9" s="342"/>
      <c r="C9" s="343"/>
      <c r="D9" s="343"/>
      <c r="E9" s="323"/>
      <c r="F9" s="338">
        <v>1</v>
      </c>
      <c r="G9" s="342">
        <v>12</v>
      </c>
      <c r="H9" s="336" t="s">
        <v>286</v>
      </c>
      <c r="I9" s="336" t="s">
        <v>86</v>
      </c>
      <c r="J9" s="323"/>
      <c r="K9" s="321">
        <v>3</v>
      </c>
      <c r="L9" s="360">
        <v>7</v>
      </c>
      <c r="M9" s="349" t="s">
        <v>295</v>
      </c>
      <c r="N9" s="337" t="s">
        <v>71</v>
      </c>
      <c r="O9" s="357">
        <f>L9/G15</f>
        <v>0.77777777777777779</v>
      </c>
      <c r="P9" s="323"/>
      <c r="Q9" s="331">
        <v>3</v>
      </c>
      <c r="R9" s="335">
        <v>5</v>
      </c>
      <c r="S9" s="336" t="s">
        <v>297</v>
      </c>
      <c r="T9" s="337" t="s">
        <v>56</v>
      </c>
      <c r="U9" s="323"/>
      <c r="V9" s="354">
        <v>3</v>
      </c>
      <c r="W9" s="411" t="s">
        <v>293</v>
      </c>
      <c r="X9" s="335">
        <v>0</v>
      </c>
      <c r="Y9" s="335">
        <v>1</v>
      </c>
      <c r="Z9" s="353">
        <f>Y9+X9</f>
        <v>1</v>
      </c>
      <c r="AA9" s="361">
        <f>Z9/G11</f>
        <v>8.3333333333333329E-2</v>
      </c>
    </row>
    <row r="10" spans="1:27" x14ac:dyDescent="0.25">
      <c r="A10" s="186">
        <v>5</v>
      </c>
      <c r="B10" s="341"/>
      <c r="C10" s="347"/>
      <c r="D10" s="347"/>
      <c r="F10" s="338">
        <v>1</v>
      </c>
      <c r="G10" s="342">
        <v>12</v>
      </c>
      <c r="H10" s="333" t="s">
        <v>289</v>
      </c>
      <c r="I10" s="333" t="s">
        <v>154</v>
      </c>
      <c r="K10" s="321">
        <v>5</v>
      </c>
      <c r="L10" s="332">
        <v>6</v>
      </c>
      <c r="M10" s="336" t="s">
        <v>287</v>
      </c>
      <c r="N10" s="336" t="s">
        <v>91</v>
      </c>
      <c r="O10" s="358">
        <f>L10/G7</f>
        <v>0.5</v>
      </c>
      <c r="Q10" s="331">
        <v>3</v>
      </c>
      <c r="R10" s="335">
        <v>5</v>
      </c>
      <c r="S10" s="333" t="s">
        <v>291</v>
      </c>
      <c r="T10" s="333" t="s">
        <v>86</v>
      </c>
      <c r="V10" s="354">
        <v>3</v>
      </c>
      <c r="W10" s="415" t="s">
        <v>290</v>
      </c>
      <c r="X10" s="332">
        <v>1</v>
      </c>
      <c r="Y10" s="332">
        <v>0</v>
      </c>
      <c r="Z10" s="353">
        <f t="shared" ref="Z10:Z12" si="0">Y10+X10</f>
        <v>1</v>
      </c>
      <c r="AA10" s="361">
        <f>Z10/G8</f>
        <v>8.3333333333333329E-2</v>
      </c>
    </row>
    <row r="11" spans="1:27" x14ac:dyDescent="0.25">
      <c r="A11" s="186">
        <v>6</v>
      </c>
      <c r="B11" s="342"/>
      <c r="C11" s="343"/>
      <c r="D11" s="343"/>
      <c r="F11" s="338">
        <v>1</v>
      </c>
      <c r="G11" s="342">
        <v>12</v>
      </c>
      <c r="H11" s="336" t="s">
        <v>293</v>
      </c>
      <c r="I11" s="337" t="s">
        <v>154</v>
      </c>
      <c r="K11" s="321">
        <v>6</v>
      </c>
      <c r="L11" s="335">
        <v>5</v>
      </c>
      <c r="M11" s="333" t="s">
        <v>285</v>
      </c>
      <c r="N11" s="334" t="s">
        <v>91</v>
      </c>
      <c r="O11" s="357">
        <f>L7/G14</f>
        <v>0.88888888888888884</v>
      </c>
      <c r="Q11" s="331">
        <v>6</v>
      </c>
      <c r="R11" s="335">
        <v>4.5</v>
      </c>
      <c r="S11" s="336" t="s">
        <v>286</v>
      </c>
      <c r="T11" s="336" t="s">
        <v>86</v>
      </c>
      <c r="V11" s="354">
        <v>6</v>
      </c>
      <c r="W11" s="336" t="s">
        <v>314</v>
      </c>
      <c r="X11" s="332">
        <v>1</v>
      </c>
      <c r="Y11" s="332">
        <v>0</v>
      </c>
      <c r="Z11" s="353">
        <f t="shared" si="0"/>
        <v>1</v>
      </c>
      <c r="AA11" s="361">
        <f>Z11/G19</f>
        <v>0.125</v>
      </c>
    </row>
    <row r="12" spans="1:27" x14ac:dyDescent="0.25">
      <c r="A12" s="186"/>
      <c r="B12" s="62"/>
      <c r="F12" s="338">
        <v>7</v>
      </c>
      <c r="G12" s="346">
        <v>11</v>
      </c>
      <c r="H12" s="333" t="s">
        <v>291</v>
      </c>
      <c r="I12" s="333" t="s">
        <v>86</v>
      </c>
      <c r="K12" s="321">
        <v>6</v>
      </c>
      <c r="L12" s="335">
        <v>5</v>
      </c>
      <c r="M12" s="336" t="s">
        <v>293</v>
      </c>
      <c r="N12" s="337" t="s">
        <v>154</v>
      </c>
      <c r="O12" s="357">
        <f>L12/G11</f>
        <v>0.41666666666666669</v>
      </c>
      <c r="Q12" s="331">
        <v>6</v>
      </c>
      <c r="R12" s="335">
        <v>4.5</v>
      </c>
      <c r="S12" s="336" t="s">
        <v>288</v>
      </c>
      <c r="T12" s="337" t="s">
        <v>71</v>
      </c>
      <c r="V12" s="354">
        <v>6</v>
      </c>
      <c r="W12" s="336" t="s">
        <v>286</v>
      </c>
      <c r="X12" s="332">
        <v>1</v>
      </c>
      <c r="Y12" s="332">
        <v>0</v>
      </c>
      <c r="Z12" s="353">
        <f t="shared" si="0"/>
        <v>1</v>
      </c>
      <c r="AA12" s="361">
        <f>Z12/G9</f>
        <v>8.3333333333333329E-2</v>
      </c>
    </row>
    <row r="13" spans="1:27" ht="18.75" x14ac:dyDescent="0.3">
      <c r="A13" s="348"/>
      <c r="B13" s="326" t="s">
        <v>284</v>
      </c>
      <c r="C13" s="326"/>
      <c r="E13" s="323"/>
      <c r="F13" s="338">
        <v>8</v>
      </c>
      <c r="G13" s="346">
        <v>9</v>
      </c>
      <c r="H13" s="333" t="s">
        <v>292</v>
      </c>
      <c r="I13" s="334" t="s">
        <v>154</v>
      </c>
      <c r="J13" s="323"/>
      <c r="K13" s="321">
        <v>8</v>
      </c>
      <c r="L13" s="354">
        <v>4</v>
      </c>
      <c r="M13" s="333" t="s">
        <v>291</v>
      </c>
      <c r="N13" s="333" t="s">
        <v>86</v>
      </c>
      <c r="O13" s="357">
        <f>L13/G12</f>
        <v>0.36363636363636365</v>
      </c>
      <c r="P13" s="323"/>
      <c r="Q13" s="331">
        <v>6</v>
      </c>
      <c r="R13" s="335">
        <v>4.5</v>
      </c>
      <c r="S13" s="333" t="s">
        <v>289</v>
      </c>
      <c r="T13" s="333" t="s">
        <v>154</v>
      </c>
      <c r="V13" s="354">
        <v>6</v>
      </c>
      <c r="W13" s="332"/>
      <c r="X13" s="332"/>
      <c r="Y13" s="356"/>
      <c r="Z13" s="330"/>
      <c r="AA13" s="329"/>
    </row>
    <row r="14" spans="1:27" x14ac:dyDescent="0.25">
      <c r="A14" s="186">
        <v>1</v>
      </c>
      <c r="B14" s="338">
        <v>11</v>
      </c>
      <c r="C14" s="333" t="s">
        <v>289</v>
      </c>
      <c r="D14" s="333" t="s">
        <v>154</v>
      </c>
      <c r="F14" s="338">
        <v>8</v>
      </c>
      <c r="G14" s="346">
        <v>9</v>
      </c>
      <c r="H14" s="333" t="s">
        <v>285</v>
      </c>
      <c r="I14" s="334" t="s">
        <v>91</v>
      </c>
      <c r="K14" s="321">
        <v>9</v>
      </c>
      <c r="L14" s="360">
        <v>3</v>
      </c>
      <c r="M14" s="333" t="s">
        <v>292</v>
      </c>
      <c r="N14" s="334" t="s">
        <v>154</v>
      </c>
      <c r="O14" s="357">
        <f>L14/G13</f>
        <v>0.33333333333333331</v>
      </c>
      <c r="Q14" s="331">
        <v>6</v>
      </c>
      <c r="R14" s="335">
        <v>4.5</v>
      </c>
      <c r="S14" s="333" t="s">
        <v>292</v>
      </c>
      <c r="T14" s="334" t="s">
        <v>154</v>
      </c>
      <c r="V14" s="354">
        <v>6</v>
      </c>
      <c r="W14" s="332"/>
      <c r="X14" s="335"/>
      <c r="Y14" s="355"/>
      <c r="Z14" s="330"/>
      <c r="AA14" s="329"/>
    </row>
    <row r="15" spans="1:27" x14ac:dyDescent="0.25">
      <c r="A15" s="186">
        <v>2</v>
      </c>
      <c r="B15" s="342">
        <v>1</v>
      </c>
      <c r="C15" s="333" t="s">
        <v>285</v>
      </c>
      <c r="D15" s="334" t="s">
        <v>91</v>
      </c>
      <c r="F15" s="338">
        <v>8</v>
      </c>
      <c r="G15" s="342">
        <v>9</v>
      </c>
      <c r="H15" s="336" t="s">
        <v>295</v>
      </c>
      <c r="I15" s="337" t="s">
        <v>71</v>
      </c>
      <c r="K15" s="321">
        <v>9</v>
      </c>
      <c r="L15" s="354">
        <v>3</v>
      </c>
      <c r="M15" s="336" t="s">
        <v>288</v>
      </c>
      <c r="N15" s="337" t="s">
        <v>71</v>
      </c>
      <c r="O15" s="357">
        <f>L15/G17</f>
        <v>0.375</v>
      </c>
      <c r="Q15" s="331">
        <v>6</v>
      </c>
      <c r="R15" s="335">
        <v>4.5</v>
      </c>
      <c r="S15" s="336" t="s">
        <v>296</v>
      </c>
      <c r="T15" s="337" t="s">
        <v>71</v>
      </c>
      <c r="V15" s="354">
        <v>6</v>
      </c>
      <c r="W15" s="332"/>
      <c r="X15" s="335"/>
      <c r="Y15" s="355"/>
      <c r="Z15" s="330"/>
      <c r="AA15" s="329"/>
    </row>
    <row r="16" spans="1:27" x14ac:dyDescent="0.25">
      <c r="A16" s="186">
        <v>2</v>
      </c>
      <c r="B16" s="342">
        <v>1</v>
      </c>
      <c r="C16" s="336" t="s">
        <v>295</v>
      </c>
      <c r="D16" s="337" t="s">
        <v>71</v>
      </c>
      <c r="F16" s="338">
        <v>8</v>
      </c>
      <c r="G16" s="346">
        <v>9</v>
      </c>
      <c r="H16" s="336" t="s">
        <v>296</v>
      </c>
      <c r="I16" s="337" t="s">
        <v>71</v>
      </c>
      <c r="K16" s="321">
        <v>9</v>
      </c>
      <c r="L16" s="360">
        <v>3</v>
      </c>
      <c r="M16" s="349" t="s">
        <v>296</v>
      </c>
      <c r="N16" s="337" t="s">
        <v>71</v>
      </c>
      <c r="O16" s="357">
        <f>L16/G16</f>
        <v>0.33333333333333331</v>
      </c>
      <c r="Q16" s="331">
        <v>6</v>
      </c>
      <c r="R16" s="335">
        <v>4.5</v>
      </c>
      <c r="S16" s="336" t="s">
        <v>295</v>
      </c>
      <c r="T16" s="337" t="s">
        <v>71</v>
      </c>
      <c r="V16" s="354">
        <v>6</v>
      </c>
      <c r="W16" s="332"/>
      <c r="X16" s="335"/>
      <c r="Y16" s="355"/>
      <c r="Z16" s="330"/>
      <c r="AA16" s="329"/>
    </row>
    <row r="17" spans="1:27" x14ac:dyDescent="0.25">
      <c r="A17" s="186">
        <v>4</v>
      </c>
      <c r="B17" s="342"/>
      <c r="C17" s="343"/>
      <c r="D17" s="343"/>
      <c r="F17" s="338">
        <v>12</v>
      </c>
      <c r="G17" s="345">
        <v>8</v>
      </c>
      <c r="H17" s="336" t="s">
        <v>288</v>
      </c>
      <c r="I17" s="337" t="s">
        <v>71</v>
      </c>
      <c r="K17" s="321">
        <v>9</v>
      </c>
      <c r="L17" s="332">
        <v>3</v>
      </c>
      <c r="M17" s="336" t="s">
        <v>300</v>
      </c>
      <c r="N17" s="337" t="s">
        <v>56</v>
      </c>
      <c r="O17" s="358">
        <f>L17/G6</f>
        <v>0.25</v>
      </c>
      <c r="Q17" s="331">
        <v>6</v>
      </c>
      <c r="R17" s="335">
        <v>4.5</v>
      </c>
      <c r="S17" s="333" t="s">
        <v>290</v>
      </c>
      <c r="T17" s="334" t="s">
        <v>71</v>
      </c>
      <c r="V17" s="354">
        <v>6</v>
      </c>
      <c r="W17" s="332"/>
      <c r="X17" s="335"/>
      <c r="Y17" s="355"/>
      <c r="Z17" s="330"/>
      <c r="AA17" s="329"/>
    </row>
    <row r="18" spans="1:27" x14ac:dyDescent="0.25">
      <c r="A18" s="186">
        <v>5</v>
      </c>
      <c r="B18" s="342"/>
      <c r="C18" s="343"/>
      <c r="D18" s="344"/>
      <c r="F18" s="338">
        <v>12</v>
      </c>
      <c r="G18" s="345">
        <v>8</v>
      </c>
      <c r="H18" s="336" t="s">
        <v>297</v>
      </c>
      <c r="I18" s="337" t="s">
        <v>56</v>
      </c>
      <c r="K18" s="321">
        <v>13</v>
      </c>
      <c r="L18" s="335">
        <v>2</v>
      </c>
      <c r="M18" s="333" t="s">
        <v>290</v>
      </c>
      <c r="N18" s="334" t="s">
        <v>71</v>
      </c>
      <c r="O18" s="357">
        <f>L18/G8</f>
        <v>0.16666666666666666</v>
      </c>
      <c r="Q18" s="331">
        <v>6</v>
      </c>
      <c r="R18" s="335">
        <v>4.5</v>
      </c>
      <c r="S18" s="336" t="s">
        <v>298</v>
      </c>
      <c r="T18" s="337" t="s">
        <v>86</v>
      </c>
      <c r="V18" s="354">
        <v>6</v>
      </c>
      <c r="W18" s="332"/>
      <c r="X18" s="335"/>
      <c r="Y18" s="355"/>
      <c r="Z18" s="330"/>
      <c r="AA18" s="329"/>
    </row>
    <row r="19" spans="1:27" x14ac:dyDescent="0.25">
      <c r="A19" s="186">
        <v>6</v>
      </c>
      <c r="B19" s="342"/>
      <c r="C19" s="343"/>
      <c r="D19" s="344"/>
      <c r="F19" s="338">
        <v>12</v>
      </c>
      <c r="G19" s="342">
        <v>8</v>
      </c>
      <c r="H19" s="336" t="s">
        <v>314</v>
      </c>
      <c r="I19" s="337" t="s">
        <v>91</v>
      </c>
      <c r="K19" s="321">
        <v>13</v>
      </c>
      <c r="L19" s="332">
        <v>2</v>
      </c>
      <c r="M19" s="336" t="s">
        <v>298</v>
      </c>
      <c r="N19" s="337" t="s">
        <v>86</v>
      </c>
      <c r="O19" s="358">
        <f>L19/G22</f>
        <v>0.33333333333333331</v>
      </c>
      <c r="Q19" s="331">
        <v>14</v>
      </c>
      <c r="R19" s="332">
        <v>4</v>
      </c>
      <c r="S19" s="336" t="s">
        <v>293</v>
      </c>
      <c r="T19" s="337" t="s">
        <v>154</v>
      </c>
      <c r="V19" s="354">
        <v>6</v>
      </c>
      <c r="W19" s="332"/>
      <c r="X19" s="335"/>
      <c r="Y19" s="355"/>
      <c r="Z19" s="330"/>
      <c r="AA19" s="329"/>
    </row>
    <row r="20" spans="1:27" x14ac:dyDescent="0.25">
      <c r="A20" s="186">
        <v>7</v>
      </c>
      <c r="B20" s="342"/>
      <c r="C20" s="343"/>
      <c r="D20" s="344"/>
      <c r="F20" s="338">
        <v>15</v>
      </c>
      <c r="G20" s="346">
        <v>7</v>
      </c>
      <c r="H20" s="336" t="s">
        <v>299</v>
      </c>
      <c r="I20" s="337" t="s">
        <v>154</v>
      </c>
      <c r="K20" s="321">
        <v>15</v>
      </c>
      <c r="L20" s="332">
        <v>1</v>
      </c>
      <c r="M20" s="336" t="s">
        <v>294</v>
      </c>
      <c r="N20" s="337" t="s">
        <v>71</v>
      </c>
      <c r="O20" s="358">
        <f>L20/G21</f>
        <v>0.16666666666666666</v>
      </c>
      <c r="Q20" s="331">
        <v>14</v>
      </c>
      <c r="R20" s="332">
        <v>4</v>
      </c>
      <c r="S20" s="336" t="s">
        <v>294</v>
      </c>
      <c r="T20" s="337" t="s">
        <v>71</v>
      </c>
      <c r="V20" s="354">
        <v>15</v>
      </c>
      <c r="W20" s="335"/>
      <c r="X20" s="335"/>
      <c r="Y20" s="355"/>
      <c r="Z20" s="330"/>
      <c r="AA20" s="329"/>
    </row>
    <row r="21" spans="1:27" x14ac:dyDescent="0.25">
      <c r="A21" s="186">
        <v>8</v>
      </c>
      <c r="B21" s="342"/>
      <c r="C21" s="343"/>
      <c r="D21" s="344"/>
      <c r="F21" s="338">
        <v>16</v>
      </c>
      <c r="G21" s="346">
        <v>6</v>
      </c>
      <c r="H21" s="336" t="s">
        <v>294</v>
      </c>
      <c r="I21" s="337" t="s">
        <v>71</v>
      </c>
      <c r="K21" s="321">
        <v>16</v>
      </c>
      <c r="L21" s="335"/>
      <c r="M21" s="336"/>
      <c r="N21" s="336"/>
      <c r="O21" s="357"/>
      <c r="Q21" s="331">
        <v>14</v>
      </c>
      <c r="R21" s="335">
        <v>4</v>
      </c>
      <c r="S21" s="336" t="s">
        <v>301</v>
      </c>
      <c r="T21" s="337" t="s">
        <v>56</v>
      </c>
      <c r="V21" s="354">
        <v>15</v>
      </c>
      <c r="W21" s="335"/>
      <c r="X21" s="335"/>
      <c r="Y21" s="355"/>
      <c r="Z21" s="330"/>
      <c r="AA21" s="329"/>
    </row>
    <row r="22" spans="1:27" x14ac:dyDescent="0.25">
      <c r="A22" s="186">
        <v>9</v>
      </c>
      <c r="B22" s="338"/>
      <c r="C22" s="339"/>
      <c r="D22" s="340"/>
      <c r="F22" s="338">
        <v>16</v>
      </c>
      <c r="G22" s="342">
        <v>6</v>
      </c>
      <c r="H22" s="336" t="s">
        <v>298</v>
      </c>
      <c r="I22" s="337" t="s">
        <v>86</v>
      </c>
      <c r="K22" s="321">
        <v>17</v>
      </c>
      <c r="L22" s="335"/>
      <c r="M22" s="336"/>
      <c r="N22" s="336"/>
      <c r="O22" s="357"/>
      <c r="Q22" s="331">
        <v>14</v>
      </c>
      <c r="R22" s="335">
        <v>4</v>
      </c>
      <c r="S22" s="336" t="s">
        <v>300</v>
      </c>
      <c r="T22" s="337" t="s">
        <v>56</v>
      </c>
      <c r="V22" s="354">
        <v>17</v>
      </c>
      <c r="W22" s="335"/>
      <c r="X22" s="335"/>
      <c r="Y22" s="355"/>
      <c r="Z22" s="330"/>
      <c r="AA22" s="329"/>
    </row>
    <row r="23" spans="1:27" x14ac:dyDescent="0.25">
      <c r="A23" s="186">
        <v>10</v>
      </c>
      <c r="B23" s="342"/>
      <c r="C23" s="343"/>
      <c r="D23" s="344"/>
      <c r="F23" s="338">
        <v>18</v>
      </c>
      <c r="G23" s="342">
        <v>5</v>
      </c>
      <c r="H23" s="336" t="s">
        <v>301</v>
      </c>
      <c r="I23" s="337" t="s">
        <v>56</v>
      </c>
      <c r="K23" s="321">
        <v>18</v>
      </c>
      <c r="L23" s="332"/>
      <c r="M23" s="333"/>
      <c r="N23" s="334"/>
      <c r="O23" s="358"/>
      <c r="Q23" s="331">
        <v>18</v>
      </c>
      <c r="R23" s="335">
        <v>3.5</v>
      </c>
      <c r="S23" s="336" t="s">
        <v>299</v>
      </c>
      <c r="T23" s="337" t="s">
        <v>154</v>
      </c>
    </row>
    <row r="24" spans="1:27" x14ac:dyDescent="0.25">
      <c r="A24" s="186">
        <v>10</v>
      </c>
      <c r="B24" s="342"/>
      <c r="C24" s="343"/>
      <c r="D24" s="343"/>
      <c r="F24" s="338"/>
      <c r="G24" s="342"/>
      <c r="H24" s="343"/>
      <c r="I24" s="343"/>
      <c r="K24" s="321">
        <v>19</v>
      </c>
      <c r="L24" s="332"/>
      <c r="M24" s="333"/>
      <c r="N24" s="334"/>
      <c r="O24" s="358"/>
      <c r="Q24" s="325"/>
      <c r="R24" s="325"/>
      <c r="S24" s="325"/>
      <c r="T24" s="325"/>
    </row>
    <row r="25" spans="1:27" x14ac:dyDescent="0.25">
      <c r="A25">
        <v>10</v>
      </c>
      <c r="B25" s="342"/>
      <c r="C25" s="343"/>
      <c r="D25" s="344"/>
      <c r="F25" s="338"/>
      <c r="G25" s="342"/>
      <c r="H25" s="343"/>
      <c r="I25" s="344"/>
      <c r="K25" s="321">
        <v>20</v>
      </c>
      <c r="L25" s="332"/>
      <c r="M25" s="333"/>
      <c r="N25" s="334"/>
      <c r="O25" s="358"/>
      <c r="Q25" s="325"/>
      <c r="R25" s="325"/>
      <c r="S25" s="325"/>
      <c r="T25" s="325"/>
    </row>
    <row r="26" spans="1:27" x14ac:dyDescent="0.25">
      <c r="B26" s="327">
        <f>SUM(B14:B25)</f>
        <v>13</v>
      </c>
      <c r="F26" s="338"/>
      <c r="G26" s="338"/>
      <c r="H26" s="339"/>
      <c r="I26" s="339"/>
      <c r="K26" s="321">
        <v>21</v>
      </c>
      <c r="L26" s="354"/>
      <c r="M26" s="336"/>
      <c r="N26" s="337"/>
      <c r="O26" s="357"/>
      <c r="Q26" s="325"/>
      <c r="R26" s="325"/>
      <c r="S26" s="325"/>
      <c r="T26" s="325"/>
    </row>
    <row r="27" spans="1:27" x14ac:dyDescent="0.25">
      <c r="B27" s="62"/>
      <c r="F27" s="338"/>
      <c r="G27" s="342"/>
      <c r="H27" s="343"/>
      <c r="I27" s="344"/>
      <c r="K27" s="321">
        <v>22</v>
      </c>
      <c r="L27" s="332"/>
      <c r="M27" s="333"/>
      <c r="N27" s="334"/>
      <c r="O27" s="358"/>
      <c r="Q27" s="325"/>
      <c r="R27" s="325"/>
      <c r="S27" s="325"/>
      <c r="T27" s="325"/>
    </row>
    <row r="28" spans="1:27" ht="18.75" x14ac:dyDescent="0.3">
      <c r="A28" s="348"/>
      <c r="B28" s="413" t="s">
        <v>340</v>
      </c>
      <c r="C28" s="413"/>
      <c r="K28" s="321">
        <v>22</v>
      </c>
      <c r="L28" s="332"/>
      <c r="M28" s="333"/>
      <c r="N28" s="334"/>
      <c r="O28" s="358"/>
      <c r="Q28" s="325"/>
      <c r="R28" s="325"/>
      <c r="S28" s="325"/>
      <c r="T28" s="325"/>
    </row>
    <row r="29" spans="1:27" x14ac:dyDescent="0.25">
      <c r="A29" s="186">
        <v>1</v>
      </c>
      <c r="B29" s="338">
        <v>7</v>
      </c>
      <c r="C29" s="333" t="s">
        <v>285</v>
      </c>
      <c r="D29" s="334" t="s">
        <v>91</v>
      </c>
      <c r="K29" s="321">
        <v>24</v>
      </c>
      <c r="L29" s="332"/>
      <c r="M29" s="333"/>
      <c r="N29" s="333"/>
      <c r="O29" s="358"/>
      <c r="Q29" s="325"/>
      <c r="R29" s="325"/>
      <c r="S29" s="325"/>
      <c r="T29" s="325"/>
    </row>
    <row r="30" spans="1:27" x14ac:dyDescent="0.25">
      <c r="A30" s="186">
        <v>2</v>
      </c>
      <c r="B30" s="342">
        <v>4</v>
      </c>
      <c r="C30" s="336" t="s">
        <v>287</v>
      </c>
      <c r="D30" s="334" t="s">
        <v>91</v>
      </c>
      <c r="K30" s="321">
        <v>24</v>
      </c>
      <c r="L30" s="332"/>
      <c r="M30" s="333"/>
      <c r="N30" s="333"/>
      <c r="O30" s="358"/>
      <c r="Q30" s="325"/>
      <c r="R30" s="325"/>
      <c r="S30" s="325"/>
      <c r="T30" s="325"/>
    </row>
    <row r="31" spans="1:27" x14ac:dyDescent="0.25">
      <c r="A31" s="186">
        <v>3</v>
      </c>
      <c r="B31" s="342">
        <v>2</v>
      </c>
      <c r="C31" s="336" t="s">
        <v>314</v>
      </c>
      <c r="D31" s="334" t="s">
        <v>91</v>
      </c>
      <c r="K31" s="321">
        <v>26</v>
      </c>
      <c r="L31" s="332"/>
      <c r="M31" s="333"/>
      <c r="N31" s="333"/>
      <c r="O31" s="358"/>
      <c r="Q31" s="325"/>
    </row>
    <row r="32" spans="1:27" x14ac:dyDescent="0.25">
      <c r="A32" s="186">
        <v>4</v>
      </c>
      <c r="B32" s="342"/>
      <c r="C32" s="343"/>
      <c r="D32" s="343"/>
      <c r="L32" s="328">
        <f>SUM(L11:L31)</f>
        <v>31</v>
      </c>
    </row>
    <row r="33" spans="1:4" x14ac:dyDescent="0.25">
      <c r="A33" s="186">
        <v>5</v>
      </c>
      <c r="B33" s="342"/>
      <c r="C33" s="343"/>
      <c r="D33" s="344"/>
    </row>
    <row r="34" spans="1:4" x14ac:dyDescent="0.25">
      <c r="A34" s="186">
        <v>6</v>
      </c>
      <c r="B34" s="342"/>
      <c r="C34" s="343"/>
      <c r="D34" s="344"/>
    </row>
    <row r="35" spans="1:4" x14ac:dyDescent="0.25">
      <c r="A35" s="186">
        <v>7</v>
      </c>
      <c r="B35" s="342"/>
      <c r="C35" s="343"/>
      <c r="D35" s="344"/>
    </row>
  </sheetData>
  <mergeCells count="8">
    <mergeCell ref="R5:S5"/>
    <mergeCell ref="V5:W5"/>
    <mergeCell ref="A1:C1"/>
    <mergeCell ref="E1:H1"/>
    <mergeCell ref="A2:C2"/>
    <mergeCell ref="B5:C5"/>
    <mergeCell ref="G5:I5"/>
    <mergeCell ref="L5:M5"/>
  </mergeCells>
  <conditionalFormatting sqref="B6:B8">
    <cfRule type="colorScale" priority="6">
      <colorScale>
        <cfvo type="min"/>
        <cfvo type="max"/>
        <color rgb="FFFFEF9C"/>
        <color rgb="FF63BE7B"/>
      </colorScale>
    </cfRule>
  </conditionalFormatting>
  <conditionalFormatting sqref="B14:B16">
    <cfRule type="colorScale" priority="5">
      <colorScale>
        <cfvo type="min"/>
        <cfvo type="max"/>
        <color rgb="FFFFEF9C"/>
        <color rgb="FF63BE7B"/>
      </colorScale>
    </cfRule>
  </conditionalFormatting>
  <conditionalFormatting sqref="R6:R23">
    <cfRule type="colorScale" priority="290">
      <colorScale>
        <cfvo type="min"/>
        <cfvo type="max"/>
        <color rgb="FFFFEF9C"/>
        <color rgb="FF63BE7B"/>
      </colorScale>
    </cfRule>
  </conditionalFormatting>
  <conditionalFormatting sqref="G6:G23">
    <cfRule type="colorScale" priority="294">
      <colorScale>
        <cfvo type="min"/>
        <cfvo type="max"/>
        <color rgb="FFFFEF9C"/>
        <color rgb="FF63BE7B"/>
      </colorScale>
    </cfRule>
  </conditionalFormatting>
  <conditionalFormatting sqref="Z6:Z12">
    <cfRule type="colorScale" priority="296">
      <colorScale>
        <cfvo type="min"/>
        <cfvo type="max"/>
        <color rgb="FFFCFCFF"/>
        <color rgb="FFF8696B"/>
      </colorScale>
    </cfRule>
  </conditionalFormatting>
  <conditionalFormatting sqref="O6:O20">
    <cfRule type="colorScale" priority="303">
      <colorScale>
        <cfvo type="min"/>
        <cfvo type="max"/>
        <color rgb="FFFFEF9C"/>
        <color rgb="FF63BE7B"/>
      </colorScale>
    </cfRule>
  </conditionalFormatting>
  <conditionalFormatting sqref="B29:B3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A30"/>
  <sheetViews>
    <sheetView zoomScale="110" zoomScaleNormal="11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K14" sqref="K14"/>
    </sheetView>
  </sheetViews>
  <sheetFormatPr baseColWidth="10" defaultColWidth="9.140625" defaultRowHeight="15" x14ac:dyDescent="0.25"/>
  <cols>
    <col min="1" max="1" width="4.7109375" customWidth="1"/>
    <col min="2" max="2" width="5" customWidth="1"/>
    <col min="3" max="3" width="5.140625" customWidth="1"/>
    <col min="4" max="4" width="15.140625" customWidth="1"/>
    <col min="5" max="5" width="5.5703125" customWidth="1"/>
    <col min="6" max="6" width="6.140625" customWidth="1"/>
    <col min="7" max="7" width="4.5703125" customWidth="1"/>
    <col min="8" max="8" width="3.7109375" customWidth="1"/>
    <col min="9" max="10" width="4.5703125" customWidth="1"/>
    <col min="11" max="11" width="4.7109375" customWidth="1"/>
    <col min="12" max="12" width="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8" width="6.28515625" bestFit="1" customWidth="1"/>
    <col min="19" max="19" width="10.5703125" customWidth="1"/>
    <col min="20" max="20" width="8.5703125" customWidth="1"/>
    <col min="21" max="21" width="9.5703125" customWidth="1"/>
    <col min="22" max="22" width="7.5703125" customWidth="1"/>
    <col min="23" max="27" width="6.140625" customWidth="1"/>
    <col min="28" max="28" width="6.5703125" customWidth="1"/>
    <col min="29" max="29" width="6.140625" customWidth="1"/>
    <col min="30" max="30" width="7.85546875" customWidth="1"/>
    <col min="31" max="31" width="9.5703125" customWidth="1"/>
    <col min="32" max="33" width="7.5703125" bestFit="1" customWidth="1"/>
    <col min="34" max="35" width="4.42578125" customWidth="1"/>
    <col min="36" max="36" width="6.42578125" customWidth="1"/>
    <col min="37" max="37" width="7" customWidth="1"/>
    <col min="38" max="38" width="6.5703125" bestFit="1" customWidth="1"/>
    <col min="39" max="40" width="6.5703125" customWidth="1"/>
    <col min="41" max="42" width="3.42578125" customWidth="1"/>
    <col min="43" max="43" width="5.28515625" bestFit="1" customWidth="1"/>
    <col min="44" max="46" width="7.5703125" customWidth="1"/>
    <col min="47" max="48" width="6.7109375" customWidth="1"/>
    <col min="49" max="49" width="7.5703125" customWidth="1"/>
    <col min="50" max="50" width="6.7109375" customWidth="1"/>
    <col min="51" max="51" width="7.5703125" customWidth="1"/>
    <col min="52" max="52" width="10.5703125" customWidth="1"/>
    <col min="53" max="53" width="10.42578125" customWidth="1"/>
    <col min="54" max="1025" width="10.7109375" customWidth="1"/>
  </cols>
  <sheetData>
    <row r="1" spans="1:53" x14ac:dyDescent="0.25">
      <c r="A1" s="1"/>
      <c r="B1" s="1"/>
      <c r="C1" s="2"/>
      <c r="D1" s="3">
        <f ca="1">TODAY()</f>
        <v>43698</v>
      </c>
      <c r="E1" s="424">
        <v>43637</v>
      </c>
      <c r="F1" s="424"/>
      <c r="G1" s="424"/>
      <c r="H1" s="4"/>
      <c r="I1" s="4"/>
      <c r="J1" s="4"/>
      <c r="K1" s="5"/>
      <c r="L1" s="4"/>
      <c r="M1" s="5"/>
      <c r="N1" s="5"/>
      <c r="O1" s="5"/>
      <c r="P1" s="2"/>
      <c r="Q1" s="5"/>
      <c r="R1" s="5"/>
      <c r="S1" s="4"/>
      <c r="T1" s="4"/>
      <c r="U1" s="4"/>
      <c r="V1" s="4"/>
      <c r="W1" s="6"/>
      <c r="X1" s="4"/>
      <c r="Y1" s="4"/>
      <c r="Z1" s="4"/>
      <c r="AA1" s="4"/>
      <c r="AB1" s="4"/>
      <c r="AC1" s="4"/>
      <c r="AD1" s="6"/>
      <c r="AE1" s="6"/>
      <c r="AF1" s="6"/>
      <c r="AG1" s="6"/>
      <c r="AH1" s="1"/>
      <c r="AI1" s="1"/>
      <c r="AJ1" s="6"/>
      <c r="AK1" s="6"/>
      <c r="AL1" s="6"/>
      <c r="AM1" s="6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1"/>
      <c r="BA1" s="5"/>
    </row>
    <row r="2" spans="1:53" x14ac:dyDescent="0.25">
      <c r="A2" s="7">
        <v>16</v>
      </c>
      <c r="B2" s="8"/>
      <c r="C2" s="9"/>
      <c r="D2" s="10"/>
      <c r="E2" s="11"/>
      <c r="F2" s="11"/>
      <c r="G2" s="7"/>
      <c r="H2" s="7"/>
      <c r="I2" s="12">
        <f>AVERAGE(I4:I21)</f>
        <v>3.1222222222222218</v>
      </c>
      <c r="J2" s="11"/>
      <c r="K2" s="11"/>
      <c r="L2" s="7"/>
      <c r="M2" s="12">
        <f>AVERAGE(M4:M21)</f>
        <v>5.3555555555555552</v>
      </c>
      <c r="N2" s="11"/>
      <c r="O2" s="11"/>
      <c r="P2" s="12">
        <f>AVERAGE(P4:P21)</f>
        <v>5.2777777777777777</v>
      </c>
      <c r="Q2" s="13">
        <f>AVERAGE(Q4:Q21)</f>
        <v>0.86312425939829618</v>
      </c>
      <c r="R2" s="13">
        <f>AVERAGE(R4:R21)</f>
        <v>0.93474034153112784</v>
      </c>
      <c r="S2" s="14">
        <f>AVERAGE(S4:S21)</f>
        <v>1569.4444444444443</v>
      </c>
      <c r="T2" s="14"/>
      <c r="U2" s="14">
        <f>AVERAGE(U4:U21)</f>
        <v>411.11111111111109</v>
      </c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7"/>
      <c r="AI2" s="7"/>
      <c r="AJ2" s="15"/>
      <c r="AK2" s="15"/>
      <c r="AL2" s="15"/>
      <c r="AM2" s="15"/>
      <c r="AN2" s="15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11"/>
    </row>
    <row r="3" spans="1:53" x14ac:dyDescent="0.25">
      <c r="A3" s="16" t="s">
        <v>0</v>
      </c>
      <c r="B3" s="16" t="s">
        <v>1</v>
      </c>
      <c r="C3" s="17" t="s">
        <v>2</v>
      </c>
      <c r="D3" s="18" t="s">
        <v>3</v>
      </c>
      <c r="E3" s="16" t="s">
        <v>4</v>
      </c>
      <c r="F3" s="16" t="s">
        <v>5</v>
      </c>
      <c r="G3" s="16" t="s">
        <v>6</v>
      </c>
      <c r="H3" s="16" t="s">
        <v>10</v>
      </c>
      <c r="I3" s="16" t="s">
        <v>11</v>
      </c>
      <c r="J3" s="16" t="s">
        <v>12</v>
      </c>
      <c r="K3" s="19" t="s">
        <v>13</v>
      </c>
      <c r="L3" s="19" t="s">
        <v>14</v>
      </c>
      <c r="M3" s="16" t="s">
        <v>15</v>
      </c>
      <c r="N3" s="16" t="s">
        <v>16</v>
      </c>
      <c r="O3" s="16" t="s">
        <v>17</v>
      </c>
      <c r="P3" s="16" t="s">
        <v>18</v>
      </c>
      <c r="Q3" s="20" t="s">
        <v>19</v>
      </c>
      <c r="R3" s="20" t="s">
        <v>20</v>
      </c>
      <c r="S3" s="16" t="s">
        <v>21</v>
      </c>
      <c r="T3" s="16" t="s">
        <v>22</v>
      </c>
      <c r="U3" s="16" t="s">
        <v>23</v>
      </c>
      <c r="V3" s="16" t="s">
        <v>24</v>
      </c>
      <c r="W3" s="16" t="s">
        <v>32</v>
      </c>
      <c r="X3" s="16" t="s">
        <v>33</v>
      </c>
      <c r="Y3" s="16" t="s">
        <v>34</v>
      </c>
      <c r="Z3" s="16" t="s">
        <v>35</v>
      </c>
      <c r="AA3" s="16" t="s">
        <v>36</v>
      </c>
      <c r="AB3" s="16" t="s">
        <v>37</v>
      </c>
      <c r="AC3" s="16" t="s">
        <v>6</v>
      </c>
      <c r="AD3" s="16" t="s">
        <v>38</v>
      </c>
      <c r="AE3" s="16" t="s">
        <v>39</v>
      </c>
      <c r="AF3" s="21" t="s">
        <v>343</v>
      </c>
      <c r="AG3" s="21" t="s">
        <v>344</v>
      </c>
      <c r="AH3" s="21" t="s">
        <v>25</v>
      </c>
      <c r="AI3" s="21" t="s">
        <v>26</v>
      </c>
      <c r="AJ3" s="21" t="s">
        <v>30</v>
      </c>
      <c r="AK3" s="21" t="s">
        <v>31</v>
      </c>
      <c r="AL3" s="21" t="s">
        <v>27</v>
      </c>
      <c r="AM3" s="21" t="s">
        <v>28</v>
      </c>
      <c r="AN3" s="21" t="s">
        <v>29</v>
      </c>
      <c r="AO3" s="16" t="s">
        <v>7</v>
      </c>
      <c r="AP3" s="16" t="s">
        <v>8</v>
      </c>
      <c r="AQ3" s="16" t="s">
        <v>9</v>
      </c>
      <c r="AR3" s="22" t="s">
        <v>40</v>
      </c>
      <c r="AS3" s="22" t="s">
        <v>41</v>
      </c>
      <c r="AT3" s="22" t="s">
        <v>42</v>
      </c>
      <c r="AU3" s="22" t="s">
        <v>43</v>
      </c>
      <c r="AV3" s="22" t="s">
        <v>44</v>
      </c>
      <c r="AW3" s="22" t="s">
        <v>45</v>
      </c>
      <c r="AX3" s="22" t="s">
        <v>46</v>
      </c>
      <c r="AY3" s="22" t="s">
        <v>47</v>
      </c>
      <c r="AZ3" s="23" t="s">
        <v>48</v>
      </c>
      <c r="BA3" s="16" t="s">
        <v>49</v>
      </c>
    </row>
    <row r="4" spans="1:53" x14ac:dyDescent="0.25">
      <c r="A4" s="24" t="s">
        <v>50</v>
      </c>
      <c r="B4" s="25" t="s">
        <v>56</v>
      </c>
      <c r="C4" s="26">
        <f t="shared" ref="C4:C21" ca="1" si="0">((36*112)-(E4*112)-(F4))/112</f>
        <v>17.178571428571427</v>
      </c>
      <c r="D4" s="199" t="s">
        <v>52</v>
      </c>
      <c r="E4" s="27">
        <v>18</v>
      </c>
      <c r="F4" s="28">
        <f ca="1">$D$1-43606</f>
        <v>92</v>
      </c>
      <c r="G4" s="29" t="s">
        <v>53</v>
      </c>
      <c r="H4" s="32">
        <v>2</v>
      </c>
      <c r="I4" s="33">
        <v>1.5</v>
      </c>
      <c r="J4" s="34">
        <f t="shared" ref="J4:J21" si="1">LOG(I4+1)*4/3</f>
        <v>0.53058667822938343</v>
      </c>
      <c r="K4" s="35">
        <f t="shared" ref="K4:K21" si="2">(H4)*(H4)*(I4)</f>
        <v>6</v>
      </c>
      <c r="L4" s="35">
        <f t="shared" ref="L4:L21" si="3">(H4+1)*(H4+1)*I4</f>
        <v>13.5</v>
      </c>
      <c r="M4" s="36">
        <v>5.4</v>
      </c>
      <c r="N4" s="37">
        <f t="shared" ref="N4:N21" si="4">M4*10+19</f>
        <v>73</v>
      </c>
      <c r="O4" s="38">
        <v>1.5</v>
      </c>
      <c r="P4" s="30">
        <v>6</v>
      </c>
      <c r="Q4" s="31">
        <f t="shared" ref="Q4:Q21" si="5">(P4/7)^0.5</f>
        <v>0.92582009977255142</v>
      </c>
      <c r="R4" s="31">
        <f t="shared" ref="R4:R21" si="6">IF(P4=7,1,((P4+0.99)/7)^0.5)</f>
        <v>0.99928545900129484</v>
      </c>
      <c r="S4" s="39">
        <v>890</v>
      </c>
      <c r="T4" s="40">
        <f t="shared" ref="T4:T21" si="7">S4-AZ4</f>
        <v>-50</v>
      </c>
      <c r="U4" s="41">
        <v>370</v>
      </c>
      <c r="V4" s="42">
        <f t="shared" ref="V4:V22" si="8">S4/U4</f>
        <v>2.4054054054054053</v>
      </c>
      <c r="W4" s="45">
        <v>5.5</v>
      </c>
      <c r="X4" s="34">
        <v>6</v>
      </c>
      <c r="Y4" s="45">
        <v>2</v>
      </c>
      <c r="Z4" s="34">
        <v>2</v>
      </c>
      <c r="AA4" s="45">
        <v>3</v>
      </c>
      <c r="AB4" s="34">
        <v>1</v>
      </c>
      <c r="AC4" s="45">
        <v>4</v>
      </c>
      <c r="AD4" s="46">
        <v>393</v>
      </c>
      <c r="AE4" s="46">
        <v>1747</v>
      </c>
      <c r="AF4" s="42">
        <f>(0.972*(W4+O4+J4)+ 0.399*(X4+O4+J4))*Q4</f>
        <v>9.7432699368187272</v>
      </c>
      <c r="AG4" s="42">
        <f>(0.972*(W4+O4+J4)+ 0.399*(X4+O4+J4))*R4</f>
        <v>10.516414553301837</v>
      </c>
      <c r="AH4" s="43">
        <f t="shared" ref="AH4:AH21" si="9">(Y4+O4+J4)*(P4/7)^0.5</f>
        <v>3.7315981605802442</v>
      </c>
      <c r="AI4" s="43">
        <f t="shared" ref="AI4:AI21" si="10">(Y4+O4+J4)*(IF(P4=7, (P4/7)^0.5, ((P4+1)/7)^0.5))</f>
        <v>4.0305866782293833</v>
      </c>
      <c r="AJ4" s="44">
        <f t="shared" ref="AJ4:AJ21" si="11">(AC4+O4+(LOG(I4)*4/3))*(P4/7)^0.5</f>
        <v>5.309382318119706</v>
      </c>
      <c r="AK4" s="44">
        <f t="shared" ref="AK4:AK21" si="12">(AC4+O4+(LOG(I4)*4/3))*(IF(P4=7, (P4/7)^0.5, ((P4+1)/7)^0.5))</f>
        <v>5.7347883454075745</v>
      </c>
      <c r="AL4" s="42">
        <f t="shared" ref="AL4:AL21" si="13">(((X4+O4+J4)+(AA4+O4+J4)*2)/8)*(P4/7)^0.5</f>
        <v>2.0937143850470052</v>
      </c>
      <c r="AM4" s="42">
        <f t="shared" ref="AM4:AM21" si="14">(1.66*(AB4+J4+O4)+0.55*(AC4+J4+O4)-7.6)*(P4/7)^0.5</f>
        <v>0.6921399207383212</v>
      </c>
      <c r="AN4" s="42">
        <f t="shared" ref="AN4:AN21" si="15">((AC4+J4+O4)*0.7+(AB4+J4+O4)*0.3)*(P4/7)^0.5</f>
        <v>4.7500002703300508</v>
      </c>
      <c r="AO4" s="30">
        <v>0</v>
      </c>
      <c r="AP4" s="30">
        <v>0</v>
      </c>
      <c r="AQ4" s="31">
        <f t="shared" ref="AQ4:AQ21" si="16">IF(AO4=4,IF(AP4=0,0.137+0.0697,0.137+0.02),IF(AO4=3,IF(AP4=0,0.0958+0.0697,0.0958+0.02),IF(AO4=2,IF(AP4=0,0.0415+0.0697,0.0415+0.02),IF(AO4=1,IF(AP4=0,0.0294+0.0697,0.0294+0.02),IF(AO4=0,IF(AP4=0,0.0063+0.0697,0.0063+0.02))))))</f>
        <v>7.5999999999999998E-2</v>
      </c>
      <c r="AR4" s="47">
        <v>5.5</v>
      </c>
      <c r="AS4" s="47">
        <v>14</v>
      </c>
      <c r="AT4" s="47">
        <v>0</v>
      </c>
      <c r="AU4" s="47">
        <v>0</v>
      </c>
      <c r="AV4" s="47">
        <v>2</v>
      </c>
      <c r="AW4" s="47">
        <v>0</v>
      </c>
      <c r="AX4" s="47">
        <v>2</v>
      </c>
      <c r="AY4" s="48">
        <f t="shared" ref="AY4:AY21" si="17">SUM(AR4:AX4)</f>
        <v>23.5</v>
      </c>
      <c r="AZ4" s="39">
        <v>940</v>
      </c>
      <c r="BA4" s="49" t="s">
        <v>54</v>
      </c>
    </row>
    <row r="5" spans="1:53" x14ac:dyDescent="0.25">
      <c r="A5" s="24" t="s">
        <v>59</v>
      </c>
      <c r="B5" s="24" t="s">
        <v>56</v>
      </c>
      <c r="C5" s="26">
        <f ca="1">((36*112)-(E5*112)-(F5))/112</f>
        <v>8.3660714285714288</v>
      </c>
      <c r="D5" s="299" t="s">
        <v>60</v>
      </c>
      <c r="E5" s="50">
        <v>27</v>
      </c>
      <c r="F5" s="51">
        <f ca="1">$D$1-43627</f>
        <v>71</v>
      </c>
      <c r="G5" s="29" t="s">
        <v>58</v>
      </c>
      <c r="H5" s="32">
        <v>1</v>
      </c>
      <c r="I5" s="53">
        <v>4</v>
      </c>
      <c r="J5" s="34">
        <f>LOG(I5+1)*4/3</f>
        <v>0.93196000578135851</v>
      </c>
      <c r="K5" s="35">
        <f>(H5)*(H5)*(I5)</f>
        <v>4</v>
      </c>
      <c r="L5" s="35">
        <f>(H5+1)*(H5+1)*I5</f>
        <v>16</v>
      </c>
      <c r="M5" s="54">
        <v>5.2</v>
      </c>
      <c r="N5" s="37">
        <f>M5*10+19</f>
        <v>71</v>
      </c>
      <c r="O5" s="38">
        <v>1.5</v>
      </c>
      <c r="P5" s="37">
        <v>7</v>
      </c>
      <c r="Q5" s="31">
        <f>(P5/7)^0.5</f>
        <v>1</v>
      </c>
      <c r="R5" s="31">
        <f>IF(P5=7,1,((P5+0.99)/7)^0.5)</f>
        <v>1</v>
      </c>
      <c r="S5" s="39">
        <v>8430</v>
      </c>
      <c r="T5" s="40">
        <f t="shared" si="7"/>
        <v>1930</v>
      </c>
      <c r="U5" s="39">
        <v>890</v>
      </c>
      <c r="V5" s="42">
        <f>S5/U5</f>
        <v>9.4719101123595504</v>
      </c>
      <c r="W5" s="45">
        <f>7+3/4</f>
        <v>7.75</v>
      </c>
      <c r="X5" s="34">
        <v>3</v>
      </c>
      <c r="Y5" s="45">
        <v>0</v>
      </c>
      <c r="Z5" s="34">
        <v>0</v>
      </c>
      <c r="AA5" s="45">
        <v>2</v>
      </c>
      <c r="AB5" s="34">
        <v>0</v>
      </c>
      <c r="AC5" s="45">
        <v>2</v>
      </c>
      <c r="AD5" s="46">
        <v>234</v>
      </c>
      <c r="AE5" s="46">
        <v>315</v>
      </c>
      <c r="AF5" s="42">
        <f t="shared" ref="AF5:AF21" si="18">(0.972*(W5+O5+J5)+ 0.399*(X5+O5+J5))*Q5</f>
        <v>12.064217167926241</v>
      </c>
      <c r="AG5" s="42">
        <f t="shared" ref="AG5:AG21" si="19">(0.972*(W5+O5+J5)+ 0.399*(X5+O5+J5))*R5</f>
        <v>12.064217167926241</v>
      </c>
      <c r="AH5" s="43">
        <f t="shared" si="9"/>
        <v>2.4319600057813586</v>
      </c>
      <c r="AI5" s="43">
        <f t="shared" si="10"/>
        <v>2.4319600057813586</v>
      </c>
      <c r="AJ5" s="44">
        <f t="shared" si="11"/>
        <v>4.3027466551039497</v>
      </c>
      <c r="AK5" s="44">
        <f t="shared" si="12"/>
        <v>4.3027466551039497</v>
      </c>
      <c r="AL5" s="42">
        <f t="shared" si="13"/>
        <v>1.7869850021680094</v>
      </c>
      <c r="AM5" s="42">
        <f t="shared" si="14"/>
        <v>-1.1253683872231974</v>
      </c>
      <c r="AN5" s="42">
        <f t="shared" si="15"/>
        <v>3.8319600057813581</v>
      </c>
      <c r="AO5" s="37">
        <v>2</v>
      </c>
      <c r="AP5" s="37">
        <v>1</v>
      </c>
      <c r="AQ5" s="31">
        <f>IF(AO5=4,IF(AP5=0,0.137+0.0697,0.137+0.02),IF(AO5=3,IF(AP5=0,0.0958+0.0697,0.0958+0.02),IF(AO5=2,IF(AP5=0,0.0415+0.0697,0.0415+0.02),IF(AO5=1,IF(AP5=0,0.0294+0.0697,0.0294+0.02),IF(AO5=0,IF(AP5=0,0.0063+0.0697,0.0063+0.02))))))</f>
        <v>6.1499999999999999E-2</v>
      </c>
      <c r="AR5" s="47">
        <v>11.5</v>
      </c>
      <c r="AS5" s="47">
        <v>3</v>
      </c>
      <c r="AT5" s="47">
        <v>0</v>
      </c>
      <c r="AU5" s="47">
        <v>0</v>
      </c>
      <c r="AV5" s="47">
        <v>0</v>
      </c>
      <c r="AW5" s="47">
        <v>0</v>
      </c>
      <c r="AX5" s="47">
        <v>0</v>
      </c>
      <c r="AY5" s="48">
        <f>SUM(AR5:AX5)</f>
        <v>14.5</v>
      </c>
      <c r="AZ5" s="39">
        <v>6500</v>
      </c>
      <c r="BA5" s="49" t="s">
        <v>54</v>
      </c>
    </row>
    <row r="6" spans="1:53" x14ac:dyDescent="0.25">
      <c r="A6" s="24" t="s">
        <v>55</v>
      </c>
      <c r="B6" s="24" t="s">
        <v>56</v>
      </c>
      <c r="C6" s="26">
        <f t="shared" ca="1" si="0"/>
        <v>14.258928571428571</v>
      </c>
      <c r="D6" s="299" t="s">
        <v>57</v>
      </c>
      <c r="E6" s="50">
        <v>21</v>
      </c>
      <c r="F6" s="51">
        <f ca="1">$D$1-43615</f>
        <v>83</v>
      </c>
      <c r="G6" s="29" t="s">
        <v>58</v>
      </c>
      <c r="H6" s="52">
        <v>6</v>
      </c>
      <c r="I6" s="53">
        <v>2</v>
      </c>
      <c r="J6" s="34">
        <f t="shared" si="1"/>
        <v>0.63616167295954995</v>
      </c>
      <c r="K6" s="35">
        <f t="shared" si="2"/>
        <v>72</v>
      </c>
      <c r="L6" s="35">
        <f t="shared" si="3"/>
        <v>98</v>
      </c>
      <c r="M6" s="54">
        <v>5.5</v>
      </c>
      <c r="N6" s="37">
        <f t="shared" si="4"/>
        <v>74</v>
      </c>
      <c r="O6" s="38">
        <v>1.5</v>
      </c>
      <c r="P6" s="37">
        <v>6</v>
      </c>
      <c r="Q6" s="31">
        <f t="shared" si="5"/>
        <v>0.92582009977255142</v>
      </c>
      <c r="R6" s="31">
        <f t="shared" si="6"/>
        <v>0.99928545900129484</v>
      </c>
      <c r="S6" s="39">
        <v>3230</v>
      </c>
      <c r="T6" s="40">
        <f t="shared" si="7"/>
        <v>360</v>
      </c>
      <c r="U6" s="39">
        <v>990</v>
      </c>
      <c r="V6" s="42">
        <f t="shared" si="8"/>
        <v>3.2626262626262625</v>
      </c>
      <c r="W6" s="45">
        <v>6</v>
      </c>
      <c r="X6" s="34">
        <v>2</v>
      </c>
      <c r="Y6" s="45">
        <v>0</v>
      </c>
      <c r="Z6" s="34">
        <v>0</v>
      </c>
      <c r="AA6" s="45">
        <v>0</v>
      </c>
      <c r="AB6" s="34">
        <v>0</v>
      </c>
      <c r="AC6" s="45">
        <v>4</v>
      </c>
      <c r="AD6" s="46">
        <v>166</v>
      </c>
      <c r="AE6" s="46">
        <v>1066</v>
      </c>
      <c r="AF6" s="42">
        <f t="shared" si="18"/>
        <v>8.8496158989751113</v>
      </c>
      <c r="AG6" s="42">
        <f t="shared" si="19"/>
        <v>9.5518475865506201</v>
      </c>
      <c r="AH6" s="43">
        <f t="shared" si="9"/>
        <v>1.9777014131897108</v>
      </c>
      <c r="AI6" s="43">
        <f t="shared" si="10"/>
        <v>2.1361616729595498</v>
      </c>
      <c r="AJ6" s="44">
        <f t="shared" si="11"/>
        <v>5.4636100429092433</v>
      </c>
      <c r="AK6" s="44">
        <f t="shared" si="12"/>
        <v>5.9013733275519753</v>
      </c>
      <c r="AL6" s="42">
        <f t="shared" si="13"/>
        <v>0.97309305488927955</v>
      </c>
      <c r="AM6" s="42">
        <f t="shared" si="14"/>
        <v>-0.62870841562251678</v>
      </c>
      <c r="AN6" s="42">
        <f t="shared" si="15"/>
        <v>4.5699976925528549</v>
      </c>
      <c r="AO6" s="37">
        <v>3</v>
      </c>
      <c r="AP6" s="37">
        <v>4</v>
      </c>
      <c r="AQ6" s="31">
        <f t="shared" si="16"/>
        <v>0.1158</v>
      </c>
      <c r="AR6" s="47">
        <v>7.5</v>
      </c>
      <c r="AS6" s="47">
        <v>0</v>
      </c>
      <c r="AT6" s="47">
        <v>0</v>
      </c>
      <c r="AU6" s="47">
        <v>0</v>
      </c>
      <c r="AV6" s="47">
        <v>0</v>
      </c>
      <c r="AW6" s="47">
        <v>0</v>
      </c>
      <c r="AX6" s="47">
        <v>2</v>
      </c>
      <c r="AY6" s="48">
        <f t="shared" si="17"/>
        <v>9.5</v>
      </c>
      <c r="AZ6" s="39">
        <v>2870</v>
      </c>
      <c r="BA6" s="49" t="s">
        <v>54</v>
      </c>
    </row>
    <row r="7" spans="1:53" x14ac:dyDescent="0.25">
      <c r="A7" s="24" t="s">
        <v>61</v>
      </c>
      <c r="B7" s="25" t="s">
        <v>62</v>
      </c>
      <c r="C7" s="26">
        <f t="shared" ca="1" si="0"/>
        <v>3.4642857142857144</v>
      </c>
      <c r="D7" s="198" t="s">
        <v>63</v>
      </c>
      <c r="E7" s="27">
        <v>32</v>
      </c>
      <c r="F7" s="28">
        <f ca="1">$D$1-43526-112</f>
        <v>60</v>
      </c>
      <c r="G7" s="56"/>
      <c r="H7" s="32">
        <v>3</v>
      </c>
      <c r="I7" s="33">
        <v>4.0999999999999996</v>
      </c>
      <c r="J7" s="34">
        <f t="shared" si="1"/>
        <v>0.94342690146391517</v>
      </c>
      <c r="K7" s="35">
        <f t="shared" si="2"/>
        <v>36.9</v>
      </c>
      <c r="L7" s="35">
        <f t="shared" si="3"/>
        <v>65.599999999999994</v>
      </c>
      <c r="M7" s="36">
        <v>5</v>
      </c>
      <c r="N7" s="37">
        <f t="shared" si="4"/>
        <v>69</v>
      </c>
      <c r="O7" s="38">
        <v>1.5</v>
      </c>
      <c r="P7" s="30">
        <v>3</v>
      </c>
      <c r="Q7" s="31">
        <f t="shared" si="5"/>
        <v>0.65465367070797709</v>
      </c>
      <c r="R7" s="31">
        <f t="shared" si="6"/>
        <v>0.75498344352707503</v>
      </c>
      <c r="S7" s="39">
        <v>350</v>
      </c>
      <c r="T7" s="40">
        <f t="shared" si="7"/>
        <v>-40</v>
      </c>
      <c r="U7" s="41">
        <v>310</v>
      </c>
      <c r="V7" s="42">
        <f t="shared" si="8"/>
        <v>1.1290322580645162</v>
      </c>
      <c r="W7" s="45">
        <v>1</v>
      </c>
      <c r="X7" s="34">
        <v>5</v>
      </c>
      <c r="Y7" s="45">
        <v>4</v>
      </c>
      <c r="Z7" s="34">
        <v>4.95</v>
      </c>
      <c r="AA7" s="45">
        <v>4</v>
      </c>
      <c r="AB7" s="34">
        <v>2</v>
      </c>
      <c r="AC7" s="45">
        <v>5</v>
      </c>
      <c r="AD7" s="46">
        <v>422</v>
      </c>
      <c r="AE7" s="46"/>
      <c r="AF7" s="42">
        <f t="shared" si="18"/>
        <v>4.1354068338861776</v>
      </c>
      <c r="AG7" s="42">
        <f t="shared" si="19"/>
        <v>4.7691838166221725</v>
      </c>
      <c r="AH7" s="43">
        <f t="shared" si="9"/>
        <v>4.2182130729818796</v>
      </c>
      <c r="AI7" s="43">
        <f t="shared" si="10"/>
        <v>4.8707729063705729</v>
      </c>
      <c r="AJ7" s="44">
        <f t="shared" si="11"/>
        <v>4.7901304611380722</v>
      </c>
      <c r="AK7" s="44">
        <f t="shared" si="12"/>
        <v>5.5311662223829838</v>
      </c>
      <c r="AL7" s="42">
        <f t="shared" si="13"/>
        <v>1.663661611206702</v>
      </c>
      <c r="AM7" s="42">
        <f t="shared" si="14"/>
        <v>2.5334923260482323</v>
      </c>
      <c r="AN7" s="42">
        <f t="shared" si="15"/>
        <v>4.2836784400526771</v>
      </c>
      <c r="AO7" s="30">
        <v>0</v>
      </c>
      <c r="AP7" s="30">
        <v>2</v>
      </c>
      <c r="AQ7" s="31">
        <f t="shared" si="16"/>
        <v>2.63E-2</v>
      </c>
      <c r="AR7" s="47">
        <v>0</v>
      </c>
      <c r="AS7" s="47">
        <v>10</v>
      </c>
      <c r="AT7" s="47">
        <v>6</v>
      </c>
      <c r="AU7" s="47">
        <v>5.5</v>
      </c>
      <c r="AV7" s="47">
        <v>4</v>
      </c>
      <c r="AW7" s="47">
        <v>0</v>
      </c>
      <c r="AX7" s="47">
        <v>3</v>
      </c>
      <c r="AY7" s="48">
        <f t="shared" si="17"/>
        <v>28.5</v>
      </c>
      <c r="AZ7" s="39">
        <v>390</v>
      </c>
      <c r="BA7" s="49" t="s">
        <v>54</v>
      </c>
    </row>
    <row r="8" spans="1:53" x14ac:dyDescent="0.25">
      <c r="A8" s="57" t="s">
        <v>64</v>
      </c>
      <c r="B8" s="25" t="s">
        <v>62</v>
      </c>
      <c r="C8" s="26">
        <f t="shared" ca="1" si="0"/>
        <v>8.9196428571428577</v>
      </c>
      <c r="D8" s="193" t="s">
        <v>65</v>
      </c>
      <c r="E8" s="27">
        <v>27</v>
      </c>
      <c r="F8" s="28">
        <f ca="1">$D$1-43577-112</f>
        <v>9</v>
      </c>
      <c r="G8" s="56"/>
      <c r="H8" s="32">
        <v>3</v>
      </c>
      <c r="I8" s="33">
        <v>3.4</v>
      </c>
      <c r="J8" s="34">
        <f t="shared" si="1"/>
        <v>0.85793690198158323</v>
      </c>
      <c r="K8" s="35">
        <f t="shared" si="2"/>
        <v>30.599999999999998</v>
      </c>
      <c r="L8" s="35">
        <f t="shared" si="3"/>
        <v>54.4</v>
      </c>
      <c r="M8" s="36">
        <v>4.9000000000000004</v>
      </c>
      <c r="N8" s="37">
        <f t="shared" si="4"/>
        <v>68</v>
      </c>
      <c r="O8" s="38">
        <v>1.5</v>
      </c>
      <c r="P8" s="30">
        <v>5</v>
      </c>
      <c r="Q8" s="31">
        <f t="shared" si="5"/>
        <v>0.84515425472851657</v>
      </c>
      <c r="R8" s="31">
        <f t="shared" si="6"/>
        <v>0.92504826128926143</v>
      </c>
      <c r="S8" s="39">
        <v>1300</v>
      </c>
      <c r="T8" s="40">
        <f t="shared" si="7"/>
        <v>0</v>
      </c>
      <c r="U8" s="41">
        <v>390</v>
      </c>
      <c r="V8" s="42">
        <f t="shared" si="8"/>
        <v>3.3333333333333335</v>
      </c>
      <c r="W8" s="45">
        <v>0</v>
      </c>
      <c r="X8" s="34">
        <v>6</v>
      </c>
      <c r="Y8" s="45">
        <v>2</v>
      </c>
      <c r="Z8" s="34">
        <v>5</v>
      </c>
      <c r="AA8" s="45">
        <v>3</v>
      </c>
      <c r="AB8" s="34">
        <v>1</v>
      </c>
      <c r="AC8" s="45">
        <v>4</v>
      </c>
      <c r="AD8" s="46">
        <v>375</v>
      </c>
      <c r="AE8" s="46">
        <v>575</v>
      </c>
      <c r="AF8" s="42">
        <f t="shared" si="18"/>
        <v>4.7554560611999834</v>
      </c>
      <c r="AG8" s="42">
        <f t="shared" si="19"/>
        <v>5.2049981839866559</v>
      </c>
      <c r="AH8" s="43">
        <f t="shared" si="9"/>
        <v>3.6831289145481452</v>
      </c>
      <c r="AI8" s="43">
        <f t="shared" si="10"/>
        <v>4.0346655773950726</v>
      </c>
      <c r="AJ8" s="44">
        <f t="shared" si="11"/>
        <v>5.2472572917225291</v>
      </c>
      <c r="AK8" s="44">
        <f t="shared" si="12"/>
        <v>5.7480823674197907</v>
      </c>
      <c r="AL8" s="42">
        <f t="shared" si="13"/>
        <v>2.015039034001942</v>
      </c>
      <c r="AM8" s="42">
        <f t="shared" si="14"/>
        <v>1.243256182566707</v>
      </c>
      <c r="AN8" s="42">
        <f t="shared" si="15"/>
        <v>4.6127985947495134</v>
      </c>
      <c r="AO8" s="30">
        <v>2</v>
      </c>
      <c r="AP8" s="30">
        <v>4</v>
      </c>
      <c r="AQ8" s="31">
        <f t="shared" si="16"/>
        <v>6.1499999999999999E-2</v>
      </c>
      <c r="AR8" s="47">
        <v>0</v>
      </c>
      <c r="AS8" s="47">
        <v>14</v>
      </c>
      <c r="AT8" s="47">
        <v>0</v>
      </c>
      <c r="AU8" s="47">
        <v>5.5</v>
      </c>
      <c r="AV8" s="47">
        <v>2</v>
      </c>
      <c r="AW8" s="47">
        <v>0</v>
      </c>
      <c r="AX8" s="47">
        <v>2</v>
      </c>
      <c r="AY8" s="48">
        <f t="shared" si="17"/>
        <v>23.5</v>
      </c>
      <c r="AZ8" s="39">
        <v>1300</v>
      </c>
      <c r="BA8" s="49" t="s">
        <v>54</v>
      </c>
    </row>
    <row r="9" spans="1:53" x14ac:dyDescent="0.25">
      <c r="A9" s="24" t="s">
        <v>66</v>
      </c>
      <c r="B9" s="24" t="s">
        <v>51</v>
      </c>
      <c r="C9" s="26">
        <f t="shared" ca="1" si="0"/>
        <v>6.8928571428571432</v>
      </c>
      <c r="D9" s="245" t="s">
        <v>67</v>
      </c>
      <c r="E9" s="50">
        <v>29</v>
      </c>
      <c r="F9" s="28">
        <f ca="1">$D$1-43574-112</f>
        <v>12</v>
      </c>
      <c r="G9" s="29"/>
      <c r="H9" s="32">
        <v>5</v>
      </c>
      <c r="I9" s="53">
        <v>4.4000000000000004</v>
      </c>
      <c r="J9" s="34">
        <f t="shared" si="1"/>
        <v>0.97652501309729134</v>
      </c>
      <c r="K9" s="35">
        <f t="shared" si="2"/>
        <v>110.00000000000001</v>
      </c>
      <c r="L9" s="35">
        <f t="shared" si="3"/>
        <v>158.4</v>
      </c>
      <c r="M9" s="54">
        <v>5.7</v>
      </c>
      <c r="N9" s="37">
        <f t="shared" si="4"/>
        <v>76</v>
      </c>
      <c r="O9" s="38">
        <v>1.5</v>
      </c>
      <c r="P9" s="37">
        <v>5</v>
      </c>
      <c r="Q9" s="31">
        <f t="shared" si="5"/>
        <v>0.84515425472851657</v>
      </c>
      <c r="R9" s="31">
        <f t="shared" si="6"/>
        <v>0.92504826128926143</v>
      </c>
      <c r="S9" s="39">
        <v>470</v>
      </c>
      <c r="T9" s="40">
        <f t="shared" si="7"/>
        <v>-160</v>
      </c>
      <c r="U9" s="39">
        <v>300</v>
      </c>
      <c r="V9" s="42">
        <f t="shared" si="8"/>
        <v>1.5666666666666667</v>
      </c>
      <c r="W9" s="45">
        <v>0</v>
      </c>
      <c r="X9" s="34">
        <v>5</v>
      </c>
      <c r="Y9" s="45">
        <v>5</v>
      </c>
      <c r="Z9" s="34">
        <v>2</v>
      </c>
      <c r="AA9" s="45">
        <v>1</v>
      </c>
      <c r="AB9" s="34">
        <v>1</v>
      </c>
      <c r="AC9" s="45">
        <v>3</v>
      </c>
      <c r="AD9" s="46">
        <v>315</v>
      </c>
      <c r="AE9" s="46">
        <v>241</v>
      </c>
      <c r="AF9" s="42">
        <f t="shared" si="18"/>
        <v>4.5556483267474075</v>
      </c>
      <c r="AG9" s="42">
        <f t="shared" si="19"/>
        <v>4.9863022520743518</v>
      </c>
      <c r="AH9" s="43">
        <f t="shared" si="9"/>
        <v>6.3188169254033539</v>
      </c>
      <c r="AI9" s="43">
        <f t="shared" si="10"/>
        <v>6.9219171335777103</v>
      </c>
      <c r="AJ9" s="44">
        <f t="shared" si="11"/>
        <v>4.5282831692766621</v>
      </c>
      <c r="AK9" s="44">
        <f t="shared" si="12"/>
        <v>4.9604856771676245</v>
      </c>
      <c r="AL9" s="42">
        <f t="shared" si="13"/>
        <v>1.524402092297741</v>
      </c>
      <c r="AM9" s="42">
        <f t="shared" si="14"/>
        <v>0.99991913760596751</v>
      </c>
      <c r="AN9" s="42">
        <f t="shared" si="15"/>
        <v>4.1214158631092097</v>
      </c>
      <c r="AO9" s="37">
        <v>0</v>
      </c>
      <c r="AP9" s="37">
        <v>4</v>
      </c>
      <c r="AQ9" s="31">
        <f t="shared" si="16"/>
        <v>2.63E-2</v>
      </c>
      <c r="AR9" s="47">
        <v>0</v>
      </c>
      <c r="AS9" s="47">
        <v>10</v>
      </c>
      <c r="AT9" s="47">
        <v>9</v>
      </c>
      <c r="AU9" s="47">
        <v>0</v>
      </c>
      <c r="AV9" s="47">
        <v>0</v>
      </c>
      <c r="AW9" s="47">
        <v>0</v>
      </c>
      <c r="AX9" s="47">
        <v>1</v>
      </c>
      <c r="AY9" s="48">
        <f t="shared" si="17"/>
        <v>20</v>
      </c>
      <c r="AZ9" s="39">
        <v>630</v>
      </c>
      <c r="BA9" s="49" t="s">
        <v>54</v>
      </c>
    </row>
    <row r="10" spans="1:53" x14ac:dyDescent="0.25">
      <c r="A10" s="24" t="s">
        <v>68</v>
      </c>
      <c r="B10" s="24" t="s">
        <v>51</v>
      </c>
      <c r="C10" s="26">
        <f t="shared" ca="1" si="0"/>
        <v>4.6428571428571432</v>
      </c>
      <c r="D10" s="245" t="s">
        <v>69</v>
      </c>
      <c r="E10" s="50">
        <v>31</v>
      </c>
      <c r="F10" s="51">
        <f ca="1">$D$1-43546-112</f>
        <v>40</v>
      </c>
      <c r="G10" s="29"/>
      <c r="H10" s="32">
        <v>4</v>
      </c>
      <c r="I10" s="53">
        <v>5.5</v>
      </c>
      <c r="J10" s="34">
        <f t="shared" si="1"/>
        <v>1.0838844755238075</v>
      </c>
      <c r="K10" s="35">
        <f t="shared" si="2"/>
        <v>88</v>
      </c>
      <c r="L10" s="35">
        <f t="shared" si="3"/>
        <v>137.5</v>
      </c>
      <c r="M10" s="54">
        <v>5.3</v>
      </c>
      <c r="N10" s="37">
        <f t="shared" si="4"/>
        <v>72</v>
      </c>
      <c r="O10" s="38">
        <v>1.5</v>
      </c>
      <c r="P10" s="37">
        <v>5</v>
      </c>
      <c r="Q10" s="31">
        <f t="shared" si="5"/>
        <v>0.84515425472851657</v>
      </c>
      <c r="R10" s="31">
        <f t="shared" si="6"/>
        <v>0.92504826128926143</v>
      </c>
      <c r="S10" s="39">
        <v>220</v>
      </c>
      <c r="T10" s="40">
        <f t="shared" si="7"/>
        <v>0</v>
      </c>
      <c r="U10" s="39">
        <v>280</v>
      </c>
      <c r="V10" s="42">
        <f t="shared" si="8"/>
        <v>0.7857142857142857</v>
      </c>
      <c r="W10" s="45">
        <v>0</v>
      </c>
      <c r="X10" s="34">
        <v>5</v>
      </c>
      <c r="Y10" s="45">
        <v>4</v>
      </c>
      <c r="Z10" s="34">
        <v>3</v>
      </c>
      <c r="AA10" s="45">
        <v>2</v>
      </c>
      <c r="AB10" s="34">
        <v>0</v>
      </c>
      <c r="AC10" s="45">
        <v>6</v>
      </c>
      <c r="AD10" s="46">
        <v>324</v>
      </c>
      <c r="AE10" s="46"/>
      <c r="AF10" s="42">
        <f t="shared" si="18"/>
        <v>4.6800464318973996</v>
      </c>
      <c r="AG10" s="42">
        <f t="shared" si="19"/>
        <v>5.1224599419077217</v>
      </c>
      <c r="AH10" s="43">
        <f t="shared" si="9"/>
        <v>5.5643979771299739</v>
      </c>
      <c r="AI10" s="43">
        <f t="shared" si="10"/>
        <v>6.0954925820204036</v>
      </c>
      <c r="AJ10" s="44">
        <f t="shared" si="11"/>
        <v>7.1729511465549516</v>
      </c>
      <c r="AK10" s="44">
        <f t="shared" si="12"/>
        <v>7.8575742937013828</v>
      </c>
      <c r="AL10" s="42">
        <f t="shared" si="13"/>
        <v>1.7697163959005464</v>
      </c>
      <c r="AM10" s="42">
        <f t="shared" si="14"/>
        <v>1.1919926223245341</v>
      </c>
      <c r="AN10" s="42">
        <f t="shared" si="15"/>
        <v>5.7334288280756764</v>
      </c>
      <c r="AO10" s="37">
        <v>1</v>
      </c>
      <c r="AP10" s="37">
        <v>2</v>
      </c>
      <c r="AQ10" s="31">
        <f t="shared" si="16"/>
        <v>4.9399999999999999E-2</v>
      </c>
      <c r="AR10" s="47">
        <v>0</v>
      </c>
      <c r="AS10" s="47">
        <v>10</v>
      </c>
      <c r="AT10" s="47">
        <v>6</v>
      </c>
      <c r="AU10" s="47">
        <v>1.5</v>
      </c>
      <c r="AV10" s="47">
        <v>0</v>
      </c>
      <c r="AW10" s="47">
        <v>0</v>
      </c>
      <c r="AX10" s="47">
        <v>4</v>
      </c>
      <c r="AY10" s="48">
        <f t="shared" si="17"/>
        <v>21.5</v>
      </c>
      <c r="AZ10" s="39">
        <v>220</v>
      </c>
      <c r="BA10" s="49" t="s">
        <v>54</v>
      </c>
    </row>
    <row r="11" spans="1:53" x14ac:dyDescent="0.25">
      <c r="A11" s="58" t="s">
        <v>70</v>
      </c>
      <c r="B11" s="25" t="s">
        <v>71</v>
      </c>
      <c r="C11" s="26">
        <f t="shared" ca="1" si="0"/>
        <v>10.330357142857142</v>
      </c>
      <c r="D11" s="193" t="s">
        <v>72</v>
      </c>
      <c r="E11" s="27">
        <v>25</v>
      </c>
      <c r="F11" s="28">
        <f ca="1">$D$1-43623</f>
        <v>75</v>
      </c>
      <c r="G11" s="56" t="s">
        <v>73</v>
      </c>
      <c r="H11" s="55">
        <v>5</v>
      </c>
      <c r="I11" s="33">
        <v>3.1</v>
      </c>
      <c r="J11" s="34">
        <f t="shared" si="1"/>
        <v>0.81704514229298064</v>
      </c>
      <c r="K11" s="35">
        <f t="shared" si="2"/>
        <v>77.5</v>
      </c>
      <c r="L11" s="35">
        <f t="shared" si="3"/>
        <v>111.60000000000001</v>
      </c>
      <c r="M11" s="36">
        <v>6</v>
      </c>
      <c r="N11" s="37">
        <f t="shared" si="4"/>
        <v>79</v>
      </c>
      <c r="O11" s="38">
        <v>1.5</v>
      </c>
      <c r="P11" s="30">
        <v>7</v>
      </c>
      <c r="Q11" s="31">
        <f t="shared" si="5"/>
        <v>1</v>
      </c>
      <c r="R11" s="31">
        <f t="shared" si="6"/>
        <v>1</v>
      </c>
      <c r="S11" s="41">
        <v>1030</v>
      </c>
      <c r="T11" s="40">
        <f t="shared" si="7"/>
        <v>10</v>
      </c>
      <c r="U11" s="41">
        <v>330</v>
      </c>
      <c r="V11" s="42">
        <f t="shared" si="8"/>
        <v>3.1212121212121211</v>
      </c>
      <c r="W11" s="45">
        <v>1</v>
      </c>
      <c r="X11" s="34">
        <v>4</v>
      </c>
      <c r="Y11" s="45">
        <v>5</v>
      </c>
      <c r="Z11" s="34">
        <v>2</v>
      </c>
      <c r="AA11" s="45">
        <v>4</v>
      </c>
      <c r="AB11" s="34">
        <v>2</v>
      </c>
      <c r="AC11" s="45">
        <v>5</v>
      </c>
      <c r="AD11" s="46">
        <v>381</v>
      </c>
      <c r="AE11" s="46">
        <v>779</v>
      </c>
      <c r="AF11" s="42">
        <f t="shared" si="18"/>
        <v>5.7446688900836769</v>
      </c>
      <c r="AG11" s="42">
        <f t="shared" si="19"/>
        <v>5.7446688900836769</v>
      </c>
      <c r="AH11" s="43">
        <f t="shared" si="9"/>
        <v>7.3170451422929803</v>
      </c>
      <c r="AI11" s="43">
        <f t="shared" si="10"/>
        <v>7.3170451422929803</v>
      </c>
      <c r="AJ11" s="44">
        <f t="shared" si="11"/>
        <v>7.1551489251123632</v>
      </c>
      <c r="AK11" s="44">
        <f t="shared" si="12"/>
        <v>7.1551489251123632</v>
      </c>
      <c r="AL11" s="42">
        <f t="shared" si="13"/>
        <v>2.3688919283598677</v>
      </c>
      <c r="AM11" s="42">
        <f t="shared" si="14"/>
        <v>3.5906697644674885</v>
      </c>
      <c r="AN11" s="42">
        <f t="shared" si="15"/>
        <v>6.41704514229298</v>
      </c>
      <c r="AO11" s="30">
        <v>4</v>
      </c>
      <c r="AP11" s="30">
        <v>2</v>
      </c>
      <c r="AQ11" s="31">
        <f t="shared" si="16"/>
        <v>0.157</v>
      </c>
      <c r="AR11" s="47">
        <v>0</v>
      </c>
      <c r="AS11" s="47">
        <v>6</v>
      </c>
      <c r="AT11" s="47">
        <v>9</v>
      </c>
      <c r="AU11" s="47">
        <v>0</v>
      </c>
      <c r="AV11" s="47">
        <v>4</v>
      </c>
      <c r="AW11" s="47">
        <v>0</v>
      </c>
      <c r="AX11" s="47">
        <v>3</v>
      </c>
      <c r="AY11" s="48">
        <f t="shared" si="17"/>
        <v>22</v>
      </c>
      <c r="AZ11" s="41">
        <v>1020</v>
      </c>
      <c r="BA11" s="49" t="s">
        <v>54</v>
      </c>
    </row>
    <row r="12" spans="1:53" x14ac:dyDescent="0.25">
      <c r="A12" s="24" t="s">
        <v>74</v>
      </c>
      <c r="B12" s="24" t="s">
        <v>71</v>
      </c>
      <c r="C12" s="26">
        <f t="shared" ca="1" si="0"/>
        <v>13.669642857142858</v>
      </c>
      <c r="D12" s="198" t="s">
        <v>75</v>
      </c>
      <c r="E12" s="50">
        <v>22</v>
      </c>
      <c r="F12" s="28">
        <f ca="1">$D$1-43549-112</f>
        <v>37</v>
      </c>
      <c r="G12" s="29"/>
      <c r="H12" s="32">
        <v>2</v>
      </c>
      <c r="I12" s="53">
        <v>2.2999999999999998</v>
      </c>
      <c r="J12" s="34">
        <f t="shared" si="1"/>
        <v>0.69135191983718325</v>
      </c>
      <c r="K12" s="35">
        <f t="shared" si="2"/>
        <v>9.1999999999999993</v>
      </c>
      <c r="L12" s="35">
        <f t="shared" si="3"/>
        <v>20.7</v>
      </c>
      <c r="M12" s="54">
        <v>5.5</v>
      </c>
      <c r="N12" s="37">
        <f t="shared" si="4"/>
        <v>74</v>
      </c>
      <c r="O12" s="38">
        <v>1.5</v>
      </c>
      <c r="P12" s="37">
        <v>5</v>
      </c>
      <c r="Q12" s="31">
        <f t="shared" si="5"/>
        <v>0.84515425472851657</v>
      </c>
      <c r="R12" s="31">
        <f t="shared" si="6"/>
        <v>0.92504826128926143</v>
      </c>
      <c r="S12" s="39">
        <v>740</v>
      </c>
      <c r="T12" s="40">
        <f t="shared" si="7"/>
        <v>-60</v>
      </c>
      <c r="U12" s="39">
        <v>310</v>
      </c>
      <c r="V12" s="42">
        <f t="shared" si="8"/>
        <v>2.3870967741935485</v>
      </c>
      <c r="W12" s="45">
        <v>0</v>
      </c>
      <c r="X12" s="34">
        <v>4</v>
      </c>
      <c r="Y12" s="45">
        <v>5</v>
      </c>
      <c r="Z12" s="34">
        <v>3</v>
      </c>
      <c r="AA12" s="45">
        <v>3</v>
      </c>
      <c r="AB12" s="34">
        <v>1</v>
      </c>
      <c r="AC12" s="45">
        <v>4</v>
      </c>
      <c r="AD12" s="46">
        <v>338</v>
      </c>
      <c r="AE12" s="46">
        <v>1229</v>
      </c>
      <c r="AF12" s="42">
        <f t="shared" si="18"/>
        <v>3.887999867106692</v>
      </c>
      <c r="AG12" s="42">
        <f t="shared" si="19"/>
        <v>4.2555397394470118</v>
      </c>
      <c r="AH12" s="43">
        <f t="shared" si="9"/>
        <v>6.077801672300482</v>
      </c>
      <c r="AI12" s="43">
        <f t="shared" si="10"/>
        <v>6.6578981519231899</v>
      </c>
      <c r="AJ12" s="44">
        <f t="shared" si="11"/>
        <v>5.0559694938921851</v>
      </c>
      <c r="AK12" s="44">
        <f t="shared" si="12"/>
        <v>5.5385370837254557</v>
      </c>
      <c r="AL12" s="42">
        <f t="shared" si="13"/>
        <v>1.7509542179073578</v>
      </c>
      <c r="AM12" s="42">
        <f t="shared" si="14"/>
        <v>0.93211026834930477</v>
      </c>
      <c r="AN12" s="42">
        <f t="shared" si="15"/>
        <v>4.4720085883162994</v>
      </c>
      <c r="AO12" s="37">
        <v>2</v>
      </c>
      <c r="AP12" s="37">
        <v>1</v>
      </c>
      <c r="AQ12" s="31">
        <f t="shared" si="16"/>
        <v>6.1499999999999999E-2</v>
      </c>
      <c r="AR12" s="47">
        <v>0</v>
      </c>
      <c r="AS12" s="47">
        <v>6</v>
      </c>
      <c r="AT12" s="47">
        <v>9</v>
      </c>
      <c r="AU12" s="47">
        <v>1.5</v>
      </c>
      <c r="AV12" s="47">
        <v>2</v>
      </c>
      <c r="AW12" s="47">
        <v>0</v>
      </c>
      <c r="AX12" s="47">
        <v>2</v>
      </c>
      <c r="AY12" s="48">
        <f t="shared" si="17"/>
        <v>20.5</v>
      </c>
      <c r="AZ12" s="39">
        <v>800</v>
      </c>
      <c r="BA12" s="49" t="s">
        <v>54</v>
      </c>
    </row>
    <row r="13" spans="1:53" x14ac:dyDescent="0.25">
      <c r="A13" s="24" t="s">
        <v>76</v>
      </c>
      <c r="B13" s="24" t="s">
        <v>71</v>
      </c>
      <c r="C13" s="26">
        <f t="shared" ca="1" si="0"/>
        <v>15.982142857142858</v>
      </c>
      <c r="D13" s="198" t="s">
        <v>77</v>
      </c>
      <c r="E13" s="50">
        <v>20</v>
      </c>
      <c r="F13" s="28">
        <f ca="1">$D$1-43584-112</f>
        <v>2</v>
      </c>
      <c r="G13" s="29"/>
      <c r="H13" s="32">
        <v>2</v>
      </c>
      <c r="I13" s="53">
        <v>1.2</v>
      </c>
      <c r="J13" s="34">
        <f t="shared" si="1"/>
        <v>0.45656357442960838</v>
      </c>
      <c r="K13" s="35">
        <f t="shared" si="2"/>
        <v>4.8</v>
      </c>
      <c r="L13" s="35">
        <f t="shared" si="3"/>
        <v>10.799999999999999</v>
      </c>
      <c r="M13" s="54">
        <v>5.0999999999999996</v>
      </c>
      <c r="N13" s="37">
        <f t="shared" si="4"/>
        <v>70</v>
      </c>
      <c r="O13" s="38">
        <v>1.5</v>
      </c>
      <c r="P13" s="37">
        <v>6</v>
      </c>
      <c r="Q13" s="31">
        <f t="shared" si="5"/>
        <v>0.92582009977255142</v>
      </c>
      <c r="R13" s="31">
        <f t="shared" si="6"/>
        <v>0.99928545900129484</v>
      </c>
      <c r="S13" s="39">
        <v>1030</v>
      </c>
      <c r="T13" s="40">
        <f t="shared" si="7"/>
        <v>140</v>
      </c>
      <c r="U13" s="39">
        <v>330</v>
      </c>
      <c r="V13" s="42">
        <f t="shared" si="8"/>
        <v>3.1212121212121211</v>
      </c>
      <c r="W13" s="45">
        <v>0</v>
      </c>
      <c r="X13" s="34">
        <v>3</v>
      </c>
      <c r="Y13" s="45">
        <v>5</v>
      </c>
      <c r="Z13" s="34">
        <v>1</v>
      </c>
      <c r="AA13" s="45">
        <v>5</v>
      </c>
      <c r="AB13" s="34">
        <v>2</v>
      </c>
      <c r="AC13" s="45">
        <v>5</v>
      </c>
      <c r="AD13" s="46">
        <v>354</v>
      </c>
      <c r="AE13" s="46">
        <v>1602</v>
      </c>
      <c r="AF13" s="42">
        <f t="shared" si="18"/>
        <v>3.5916715459664048</v>
      </c>
      <c r="AG13" s="42">
        <f t="shared" si="19"/>
        <v>3.8766766354226636</v>
      </c>
      <c r="AH13" s="43">
        <f t="shared" si="9"/>
        <v>6.440526382552517</v>
      </c>
      <c r="AI13" s="43">
        <f t="shared" si="10"/>
        <v>6.9565635744296088</v>
      </c>
      <c r="AJ13" s="44">
        <f t="shared" si="11"/>
        <v>6.1155741006761533</v>
      </c>
      <c r="AK13" s="44">
        <f t="shared" si="12"/>
        <v>6.6055749947301665</v>
      </c>
      <c r="AL13" s="42">
        <f t="shared" si="13"/>
        <v>2.1837423685140562</v>
      </c>
      <c r="AM13" s="42">
        <f t="shared" si="14"/>
        <v>2.5867464503023663</v>
      </c>
      <c r="AN13" s="42">
        <f t="shared" si="15"/>
        <v>5.6072882927572207</v>
      </c>
      <c r="AO13" s="37">
        <v>0</v>
      </c>
      <c r="AP13" s="37">
        <v>4</v>
      </c>
      <c r="AQ13" s="31">
        <f t="shared" si="16"/>
        <v>2.63E-2</v>
      </c>
      <c r="AR13" s="47">
        <v>0</v>
      </c>
      <c r="AS13" s="47">
        <v>3</v>
      </c>
      <c r="AT13" s="47">
        <v>9</v>
      </c>
      <c r="AU13" s="47">
        <v>0</v>
      </c>
      <c r="AV13" s="47">
        <v>7</v>
      </c>
      <c r="AW13" s="47">
        <v>0</v>
      </c>
      <c r="AX13" s="47">
        <v>3</v>
      </c>
      <c r="AY13" s="48">
        <f t="shared" si="17"/>
        <v>22</v>
      </c>
      <c r="AZ13" s="39">
        <v>890</v>
      </c>
      <c r="BA13" s="49" t="s">
        <v>54</v>
      </c>
    </row>
    <row r="14" spans="1:53" x14ac:dyDescent="0.25">
      <c r="A14" s="24" t="s">
        <v>78</v>
      </c>
      <c r="B14" s="24" t="s">
        <v>71</v>
      </c>
      <c r="C14" s="26">
        <f t="shared" ca="1" si="0"/>
        <v>12.428571428571429</v>
      </c>
      <c r="D14" s="198" t="s">
        <v>79</v>
      </c>
      <c r="E14" s="50">
        <v>23</v>
      </c>
      <c r="F14" s="28">
        <f ca="1">$D$1-43634</f>
        <v>64</v>
      </c>
      <c r="G14" s="29"/>
      <c r="H14" s="32">
        <v>5</v>
      </c>
      <c r="I14" s="53">
        <v>2.5</v>
      </c>
      <c r="J14" s="34">
        <f t="shared" si="1"/>
        <v>0.72542405913370089</v>
      </c>
      <c r="K14" s="35">
        <f t="shared" si="2"/>
        <v>62.5</v>
      </c>
      <c r="L14" s="35">
        <f t="shared" si="3"/>
        <v>90</v>
      </c>
      <c r="M14" s="54">
        <v>6</v>
      </c>
      <c r="N14" s="37">
        <f t="shared" si="4"/>
        <v>79</v>
      </c>
      <c r="O14" s="38">
        <v>1.5</v>
      </c>
      <c r="P14" s="37">
        <v>5</v>
      </c>
      <c r="Q14" s="31">
        <f t="shared" si="5"/>
        <v>0.84515425472851657</v>
      </c>
      <c r="R14" s="31">
        <f t="shared" si="6"/>
        <v>0.92504826128926143</v>
      </c>
      <c r="S14" s="39">
        <v>1490</v>
      </c>
      <c r="T14" s="40">
        <f t="shared" si="7"/>
        <v>20</v>
      </c>
      <c r="U14" s="39">
        <v>430</v>
      </c>
      <c r="V14" s="42">
        <f t="shared" si="8"/>
        <v>3.4651162790697674</v>
      </c>
      <c r="W14" s="45">
        <v>0</v>
      </c>
      <c r="X14" s="34">
        <v>5</v>
      </c>
      <c r="Y14" s="45">
        <v>6</v>
      </c>
      <c r="Z14" s="34">
        <v>2</v>
      </c>
      <c r="AA14" s="45">
        <v>3</v>
      </c>
      <c r="AB14" s="34">
        <v>1</v>
      </c>
      <c r="AC14" s="45">
        <v>4</v>
      </c>
      <c r="AD14" s="46">
        <v>394</v>
      </c>
      <c r="AE14" s="46">
        <v>1098</v>
      </c>
      <c r="AF14" s="42">
        <f t="shared" si="18"/>
        <v>4.2646960234438565</v>
      </c>
      <c r="AG14" s="42">
        <f t="shared" si="19"/>
        <v>4.6678456853787118</v>
      </c>
      <c r="AH14" s="43">
        <f t="shared" si="9"/>
        <v>6.951752140523153</v>
      </c>
      <c r="AI14" s="43">
        <f t="shared" si="10"/>
        <v>7.6152629230987081</v>
      </c>
      <c r="AJ14" s="44">
        <f t="shared" si="11"/>
        <v>5.0967759896146747</v>
      </c>
      <c r="AK14" s="44">
        <f t="shared" si="12"/>
        <v>5.583238360125347</v>
      </c>
      <c r="AL14" s="42">
        <f t="shared" si="13"/>
        <v>1.8673970798087303</v>
      </c>
      <c r="AM14" s="42">
        <f t="shared" si="14"/>
        <v>0.99574990017138587</v>
      </c>
      <c r="AN14" s="42">
        <f t="shared" si="15"/>
        <v>4.5008048018104541</v>
      </c>
      <c r="AO14" s="37">
        <v>3</v>
      </c>
      <c r="AP14" s="37">
        <v>4</v>
      </c>
      <c r="AQ14" s="31">
        <f t="shared" si="16"/>
        <v>0.1158</v>
      </c>
      <c r="AR14" s="47">
        <v>0</v>
      </c>
      <c r="AS14" s="47">
        <v>10</v>
      </c>
      <c r="AT14" s="47">
        <v>12</v>
      </c>
      <c r="AU14" s="47">
        <v>0</v>
      </c>
      <c r="AV14" s="47">
        <v>2</v>
      </c>
      <c r="AW14" s="47">
        <v>0</v>
      </c>
      <c r="AX14" s="47">
        <v>2</v>
      </c>
      <c r="AY14" s="48">
        <f t="shared" si="17"/>
        <v>26</v>
      </c>
      <c r="AZ14" s="39">
        <v>1470</v>
      </c>
      <c r="BA14" s="49" t="s">
        <v>54</v>
      </c>
    </row>
    <row r="15" spans="1:53" x14ac:dyDescent="0.25">
      <c r="A15" s="24" t="s">
        <v>80</v>
      </c>
      <c r="B15" s="24" t="s">
        <v>71</v>
      </c>
      <c r="C15" s="26">
        <f t="shared" ca="1" si="0"/>
        <v>11.446428571428571</v>
      </c>
      <c r="D15" s="198" t="s">
        <v>81</v>
      </c>
      <c r="E15" s="50">
        <v>24</v>
      </c>
      <c r="F15" s="28">
        <f ca="1">$D$1-43636</f>
        <v>62</v>
      </c>
      <c r="G15" s="29"/>
      <c r="H15" s="32">
        <v>3</v>
      </c>
      <c r="I15" s="53">
        <v>3.2</v>
      </c>
      <c r="J15" s="34">
        <f t="shared" si="1"/>
        <v>0.8309990538638673</v>
      </c>
      <c r="K15" s="35">
        <f t="shared" si="2"/>
        <v>28.8</v>
      </c>
      <c r="L15" s="35">
        <f t="shared" si="3"/>
        <v>51.2</v>
      </c>
      <c r="M15" s="54">
        <v>5.5</v>
      </c>
      <c r="N15" s="37">
        <f t="shared" si="4"/>
        <v>74</v>
      </c>
      <c r="O15" s="38">
        <v>1.5</v>
      </c>
      <c r="P15" s="37">
        <v>6</v>
      </c>
      <c r="Q15" s="31">
        <f t="shared" si="5"/>
        <v>0.92582009977255142</v>
      </c>
      <c r="R15" s="31">
        <f t="shared" si="6"/>
        <v>0.99928545900129484</v>
      </c>
      <c r="S15" s="39">
        <v>1160</v>
      </c>
      <c r="T15" s="40">
        <f t="shared" si="7"/>
        <v>120</v>
      </c>
      <c r="U15" s="39">
        <v>410</v>
      </c>
      <c r="V15" s="42">
        <f t="shared" si="8"/>
        <v>2.8292682926829267</v>
      </c>
      <c r="W15" s="45">
        <v>0</v>
      </c>
      <c r="X15" s="34">
        <v>3</v>
      </c>
      <c r="Y15" s="45">
        <v>6</v>
      </c>
      <c r="Z15" s="34">
        <v>2</v>
      </c>
      <c r="AA15" s="45">
        <v>4</v>
      </c>
      <c r="AB15" s="34">
        <v>3</v>
      </c>
      <c r="AC15" s="45">
        <v>4</v>
      </c>
      <c r="AD15" s="46">
        <v>391</v>
      </c>
      <c r="AE15" s="46">
        <v>950</v>
      </c>
      <c r="AF15" s="42">
        <f t="shared" si="18"/>
        <v>4.0669422591709798</v>
      </c>
      <c r="AG15" s="42">
        <f t="shared" si="19"/>
        <v>4.3896608673605781</v>
      </c>
      <c r="AH15" s="43">
        <f t="shared" si="9"/>
        <v>7.7130063752532765</v>
      </c>
      <c r="AI15" s="43">
        <f t="shared" si="10"/>
        <v>8.3309990538638665</v>
      </c>
      <c r="AJ15" s="44">
        <f t="shared" si="11"/>
        <v>5.71558121985335</v>
      </c>
      <c r="AK15" s="44">
        <f t="shared" si="12"/>
        <v>6.1735333044265417</v>
      </c>
      <c r="AL15" s="42">
        <f t="shared" si="13"/>
        <v>2.0822848034189967</v>
      </c>
      <c r="AM15" s="42">
        <f t="shared" si="14"/>
        <v>4.3805251244212391</v>
      </c>
      <c r="AN15" s="42">
        <f t="shared" si="15"/>
        <v>5.5836201457764094</v>
      </c>
      <c r="AO15" s="37">
        <v>2</v>
      </c>
      <c r="AP15" s="37">
        <v>2</v>
      </c>
      <c r="AQ15" s="31">
        <f t="shared" si="16"/>
        <v>6.1499999999999999E-2</v>
      </c>
      <c r="AR15" s="47">
        <v>0</v>
      </c>
      <c r="AS15" s="47">
        <v>3</v>
      </c>
      <c r="AT15" s="47">
        <v>12</v>
      </c>
      <c r="AU15" s="47">
        <v>0</v>
      </c>
      <c r="AV15" s="47">
        <v>4</v>
      </c>
      <c r="AW15" s="47">
        <v>2</v>
      </c>
      <c r="AX15" s="47">
        <v>2</v>
      </c>
      <c r="AY15" s="48">
        <f t="shared" si="17"/>
        <v>23</v>
      </c>
      <c r="AZ15" s="39">
        <v>1040</v>
      </c>
      <c r="BA15" s="49" t="s">
        <v>54</v>
      </c>
    </row>
    <row r="16" spans="1:53" x14ac:dyDescent="0.25">
      <c r="A16" s="24" t="s">
        <v>82</v>
      </c>
      <c r="B16" s="24" t="s">
        <v>86</v>
      </c>
      <c r="C16" s="26">
        <f t="shared" ca="1" si="0"/>
        <v>8.4107142857142865</v>
      </c>
      <c r="D16" s="198" t="s">
        <v>83</v>
      </c>
      <c r="E16" s="50">
        <v>27</v>
      </c>
      <c r="F16" s="28">
        <f ca="1">$D$1-43632</f>
        <v>66</v>
      </c>
      <c r="G16" s="29" t="s">
        <v>84</v>
      </c>
      <c r="H16" s="32">
        <v>0</v>
      </c>
      <c r="I16" s="53">
        <v>4.3</v>
      </c>
      <c r="J16" s="34">
        <f t="shared" si="1"/>
        <v>0.96570115946771873</v>
      </c>
      <c r="K16" s="35">
        <f t="shared" si="2"/>
        <v>0</v>
      </c>
      <c r="L16" s="35">
        <f t="shared" si="3"/>
        <v>4.3</v>
      </c>
      <c r="M16" s="54">
        <v>5.0999999999999996</v>
      </c>
      <c r="N16" s="37">
        <f t="shared" si="4"/>
        <v>70</v>
      </c>
      <c r="O16" s="38">
        <v>1.5</v>
      </c>
      <c r="P16" s="37">
        <v>5</v>
      </c>
      <c r="Q16" s="31">
        <f t="shared" si="5"/>
        <v>0.84515425472851657</v>
      </c>
      <c r="R16" s="31">
        <f t="shared" si="6"/>
        <v>0.92504826128926143</v>
      </c>
      <c r="S16" s="39">
        <v>1530</v>
      </c>
      <c r="T16" s="40">
        <f t="shared" si="7"/>
        <v>110</v>
      </c>
      <c r="U16" s="39">
        <v>330</v>
      </c>
      <c r="V16" s="42">
        <f t="shared" si="8"/>
        <v>4.6363636363636367</v>
      </c>
      <c r="W16" s="45">
        <v>0</v>
      </c>
      <c r="X16" s="34">
        <v>5</v>
      </c>
      <c r="Y16" s="45">
        <v>5</v>
      </c>
      <c r="Z16" s="34">
        <v>5</v>
      </c>
      <c r="AA16" s="45">
        <v>3</v>
      </c>
      <c r="AB16" s="34">
        <v>2</v>
      </c>
      <c r="AC16" s="45">
        <v>2</v>
      </c>
      <c r="AD16" s="46">
        <v>423</v>
      </c>
      <c r="AE16" s="46">
        <v>552</v>
      </c>
      <c r="AF16" s="42">
        <f t="shared" si="18"/>
        <v>4.5431066573732588</v>
      </c>
      <c r="AG16" s="42">
        <f t="shared" si="19"/>
        <v>4.9725749953241056</v>
      </c>
      <c r="AH16" s="43">
        <f t="shared" si="9"/>
        <v>6.3096690994557614</v>
      </c>
      <c r="AI16" s="43">
        <f t="shared" si="10"/>
        <v>6.911896192330456</v>
      </c>
      <c r="AJ16" s="44">
        <f t="shared" si="11"/>
        <v>3.6718779721756611</v>
      </c>
      <c r="AK16" s="44">
        <f t="shared" si="12"/>
        <v>4.0223407875338726</v>
      </c>
      <c r="AL16" s="42">
        <f t="shared" si="13"/>
        <v>1.9435487849316522</v>
      </c>
      <c r="AM16" s="42">
        <f t="shared" si="14"/>
        <v>1.9178236650104428</v>
      </c>
      <c r="AN16" s="42">
        <f t="shared" si="15"/>
        <v>3.774206335270212</v>
      </c>
      <c r="AO16" s="37">
        <v>3</v>
      </c>
      <c r="AP16" s="37">
        <v>4</v>
      </c>
      <c r="AQ16" s="31">
        <f t="shared" si="16"/>
        <v>0.1158</v>
      </c>
      <c r="AR16" s="47">
        <v>0</v>
      </c>
      <c r="AS16" s="47">
        <v>10</v>
      </c>
      <c r="AT16" s="47">
        <v>9</v>
      </c>
      <c r="AU16" s="47">
        <v>5.5</v>
      </c>
      <c r="AV16" s="47">
        <v>2</v>
      </c>
      <c r="AW16" s="47">
        <v>0</v>
      </c>
      <c r="AX16" s="47">
        <v>0</v>
      </c>
      <c r="AY16" s="48">
        <f t="shared" si="17"/>
        <v>26.5</v>
      </c>
      <c r="AZ16" s="39">
        <v>1420</v>
      </c>
      <c r="BA16" s="49" t="s">
        <v>54</v>
      </c>
    </row>
    <row r="17" spans="1:53" x14ac:dyDescent="0.25">
      <c r="A17" s="24" t="s">
        <v>85</v>
      </c>
      <c r="B17" s="24" t="s">
        <v>86</v>
      </c>
      <c r="C17" s="26">
        <f t="shared" ca="1" si="0"/>
        <v>14.660714285714286</v>
      </c>
      <c r="D17" s="198" t="s">
        <v>87</v>
      </c>
      <c r="E17" s="50">
        <v>21</v>
      </c>
      <c r="F17" s="28">
        <f ca="1">$D$1-43548-112</f>
        <v>38</v>
      </c>
      <c r="G17" s="29"/>
      <c r="H17" s="32">
        <v>5</v>
      </c>
      <c r="I17" s="53">
        <v>2.2999999999999998</v>
      </c>
      <c r="J17" s="34">
        <f t="shared" si="1"/>
        <v>0.69135191983718325</v>
      </c>
      <c r="K17" s="35">
        <f t="shared" si="2"/>
        <v>57.499999999999993</v>
      </c>
      <c r="L17" s="35">
        <f t="shared" si="3"/>
        <v>82.8</v>
      </c>
      <c r="M17" s="54">
        <v>6</v>
      </c>
      <c r="N17" s="37">
        <f t="shared" si="4"/>
        <v>79</v>
      </c>
      <c r="O17" s="38">
        <v>1.5</v>
      </c>
      <c r="P17" s="37">
        <v>6</v>
      </c>
      <c r="Q17" s="31">
        <f t="shared" si="5"/>
        <v>0.92582009977255142</v>
      </c>
      <c r="R17" s="31">
        <f t="shared" si="6"/>
        <v>0.99928545900129484</v>
      </c>
      <c r="S17" s="39">
        <v>1610</v>
      </c>
      <c r="T17" s="40">
        <f t="shared" si="7"/>
        <v>-80</v>
      </c>
      <c r="U17" s="39">
        <v>330</v>
      </c>
      <c r="V17" s="42">
        <f t="shared" si="8"/>
        <v>4.8787878787878789</v>
      </c>
      <c r="W17" s="45">
        <v>0</v>
      </c>
      <c r="X17" s="34">
        <v>4</v>
      </c>
      <c r="Y17" s="45">
        <v>5</v>
      </c>
      <c r="Z17" s="34">
        <v>5</v>
      </c>
      <c r="AA17" s="45">
        <v>4</v>
      </c>
      <c r="AB17" s="34">
        <v>1</v>
      </c>
      <c r="AC17" s="45">
        <v>4</v>
      </c>
      <c r="AD17" s="46">
        <v>402</v>
      </c>
      <c r="AE17" s="46">
        <v>1445</v>
      </c>
      <c r="AF17" s="42">
        <f t="shared" si="18"/>
        <v>4.2590904615828462</v>
      </c>
      <c r="AG17" s="42">
        <f t="shared" si="19"/>
        <v>4.5970563480706952</v>
      </c>
      <c r="AH17" s="43">
        <f t="shared" si="9"/>
        <v>6.6578981519231899</v>
      </c>
      <c r="AI17" s="43">
        <f t="shared" si="10"/>
        <v>7.1913519198371834</v>
      </c>
      <c r="AJ17" s="44">
        <f t="shared" si="11"/>
        <v>5.5385370837254557</v>
      </c>
      <c r="AK17" s="44">
        <f t="shared" si="12"/>
        <v>5.9823037813567908</v>
      </c>
      <c r="AL17" s="42">
        <f t="shared" si="13"/>
        <v>2.1495292695564898</v>
      </c>
      <c r="AM17" s="42">
        <f t="shared" si="14"/>
        <v>1.0210756401142158</v>
      </c>
      <c r="AN17" s="42">
        <f t="shared" si="15"/>
        <v>4.8988399623553427</v>
      </c>
      <c r="AO17" s="37">
        <v>1</v>
      </c>
      <c r="AP17" s="37">
        <v>1</v>
      </c>
      <c r="AQ17" s="31">
        <f t="shared" si="16"/>
        <v>4.9399999999999999E-2</v>
      </c>
      <c r="AR17" s="47">
        <v>0</v>
      </c>
      <c r="AS17" s="47">
        <v>6</v>
      </c>
      <c r="AT17" s="47">
        <v>9</v>
      </c>
      <c r="AU17" s="47">
        <v>5.5</v>
      </c>
      <c r="AV17" s="47">
        <v>4</v>
      </c>
      <c r="AW17" s="47">
        <v>0</v>
      </c>
      <c r="AX17" s="47">
        <v>2</v>
      </c>
      <c r="AY17" s="48">
        <f t="shared" si="17"/>
        <v>26.5</v>
      </c>
      <c r="AZ17" s="39">
        <v>1690</v>
      </c>
      <c r="BA17" s="49" t="s">
        <v>54</v>
      </c>
    </row>
    <row r="18" spans="1:53" x14ac:dyDescent="0.25">
      <c r="A18" s="24" t="s">
        <v>88</v>
      </c>
      <c r="B18" s="24" t="s">
        <v>86</v>
      </c>
      <c r="C18" s="26">
        <f t="shared" ca="1" si="0"/>
        <v>12.821428571428571</v>
      </c>
      <c r="D18" s="198" t="s">
        <v>89</v>
      </c>
      <c r="E18" s="50">
        <v>23</v>
      </c>
      <c r="F18" s="28">
        <f ca="1">$D$1-43566-112</f>
        <v>20</v>
      </c>
      <c r="G18" s="29"/>
      <c r="H18" s="32">
        <v>1</v>
      </c>
      <c r="I18" s="53">
        <v>2.5</v>
      </c>
      <c r="J18" s="34">
        <f t="shared" si="1"/>
        <v>0.72542405913370089</v>
      </c>
      <c r="K18" s="35">
        <f t="shared" si="2"/>
        <v>2.5</v>
      </c>
      <c r="L18" s="35">
        <f t="shared" si="3"/>
        <v>10</v>
      </c>
      <c r="M18" s="54">
        <v>5.2</v>
      </c>
      <c r="N18" s="37">
        <f t="shared" si="4"/>
        <v>71</v>
      </c>
      <c r="O18" s="38">
        <v>1.5</v>
      </c>
      <c r="P18" s="37">
        <v>4</v>
      </c>
      <c r="Q18" s="31">
        <f t="shared" si="5"/>
        <v>0.7559289460184544</v>
      </c>
      <c r="R18" s="31">
        <f t="shared" si="6"/>
        <v>0.84430867747355465</v>
      </c>
      <c r="S18" s="39">
        <v>2090</v>
      </c>
      <c r="T18" s="40">
        <f t="shared" si="7"/>
        <v>-60</v>
      </c>
      <c r="U18" s="39">
        <v>370</v>
      </c>
      <c r="V18" s="42">
        <f t="shared" si="8"/>
        <v>5.6486486486486482</v>
      </c>
      <c r="W18" s="45">
        <v>0</v>
      </c>
      <c r="X18" s="34">
        <v>3</v>
      </c>
      <c r="Y18" s="45">
        <v>5</v>
      </c>
      <c r="Z18" s="34">
        <v>6</v>
      </c>
      <c r="AA18" s="45">
        <v>5</v>
      </c>
      <c r="AB18" s="34">
        <v>2</v>
      </c>
      <c r="AC18" s="45">
        <v>4</v>
      </c>
      <c r="AD18" s="46">
        <v>441</v>
      </c>
      <c r="AE18" s="46">
        <v>1204</v>
      </c>
      <c r="AF18" s="42">
        <f t="shared" si="18"/>
        <v>3.2112287857946726</v>
      </c>
      <c r="AG18" s="42">
        <f t="shared" si="19"/>
        <v>3.5866708683134871</v>
      </c>
      <c r="AH18" s="43">
        <f t="shared" si="9"/>
        <v>5.4619071935573213</v>
      </c>
      <c r="AI18" s="43">
        <f t="shared" si="10"/>
        <v>6.1065978857946357</v>
      </c>
      <c r="AJ18" s="44">
        <f t="shared" si="11"/>
        <v>4.5586950315468693</v>
      </c>
      <c r="AK18" s="44">
        <f t="shared" si="12"/>
        <v>5.0967759896146747</v>
      </c>
      <c r="AL18" s="42">
        <f t="shared" si="13"/>
        <v>1.8592329610793819</v>
      </c>
      <c r="AM18" s="42">
        <f t="shared" si="14"/>
        <v>2.1454678365393738</v>
      </c>
      <c r="AN18" s="42">
        <f t="shared" si="15"/>
        <v>4.2524208799277936</v>
      </c>
      <c r="AO18" s="37">
        <v>4</v>
      </c>
      <c r="AP18" s="37">
        <v>0</v>
      </c>
      <c r="AQ18" s="31">
        <f t="shared" si="16"/>
        <v>0.20669999999999999</v>
      </c>
      <c r="AR18" s="47">
        <v>0</v>
      </c>
      <c r="AS18" s="47">
        <v>3</v>
      </c>
      <c r="AT18" s="47">
        <v>9</v>
      </c>
      <c r="AU18" s="47">
        <v>8.5</v>
      </c>
      <c r="AV18" s="47">
        <v>7</v>
      </c>
      <c r="AW18" s="47">
        <v>0</v>
      </c>
      <c r="AX18" s="47">
        <v>2</v>
      </c>
      <c r="AY18" s="48">
        <f t="shared" si="17"/>
        <v>29.5</v>
      </c>
      <c r="AZ18" s="39">
        <v>2150</v>
      </c>
      <c r="BA18" s="49" t="s">
        <v>54</v>
      </c>
    </row>
    <row r="19" spans="1:53" x14ac:dyDescent="0.25">
      <c r="A19" s="24" t="s">
        <v>90</v>
      </c>
      <c r="B19" s="24" t="s">
        <v>91</v>
      </c>
      <c r="C19" s="26">
        <f t="shared" ca="1" si="0"/>
        <v>17.410714285714285</v>
      </c>
      <c r="D19" s="198" t="s">
        <v>92</v>
      </c>
      <c r="E19" s="50">
        <v>18</v>
      </c>
      <c r="F19" s="28">
        <f ca="1">$D$1-43632</f>
        <v>66</v>
      </c>
      <c r="G19" s="29"/>
      <c r="H19" s="32">
        <v>2</v>
      </c>
      <c r="I19" s="53">
        <v>1.4</v>
      </c>
      <c r="J19" s="34">
        <f t="shared" si="1"/>
        <v>0.50694832228214137</v>
      </c>
      <c r="K19" s="35">
        <f t="shared" si="2"/>
        <v>5.6</v>
      </c>
      <c r="L19" s="35">
        <f t="shared" si="3"/>
        <v>12.6</v>
      </c>
      <c r="M19" s="54">
        <v>5</v>
      </c>
      <c r="N19" s="37">
        <f t="shared" si="4"/>
        <v>69</v>
      </c>
      <c r="O19" s="38">
        <v>1.5</v>
      </c>
      <c r="P19" s="37">
        <v>6</v>
      </c>
      <c r="Q19" s="31">
        <f t="shared" si="5"/>
        <v>0.92582009977255142</v>
      </c>
      <c r="R19" s="31">
        <f t="shared" si="6"/>
        <v>0.99928545900129484</v>
      </c>
      <c r="S19" s="39">
        <v>1550</v>
      </c>
      <c r="T19" s="40">
        <f t="shared" si="7"/>
        <v>40</v>
      </c>
      <c r="U19" s="39">
        <v>410</v>
      </c>
      <c r="V19" s="42">
        <f t="shared" si="8"/>
        <v>3.7804878048780486</v>
      </c>
      <c r="W19" s="45">
        <v>0</v>
      </c>
      <c r="X19" s="34">
        <v>1</v>
      </c>
      <c r="Y19" s="45">
        <v>3</v>
      </c>
      <c r="Z19" s="34">
        <v>5</v>
      </c>
      <c r="AA19" s="45">
        <v>3</v>
      </c>
      <c r="AB19" s="34">
        <v>6</v>
      </c>
      <c r="AC19" s="45">
        <v>5</v>
      </c>
      <c r="AD19" s="46">
        <v>386</v>
      </c>
      <c r="AE19" s="46">
        <v>1860</v>
      </c>
      <c r="AF19" s="42">
        <f t="shared" si="18"/>
        <v>2.9168204343890629</v>
      </c>
      <c r="AG19" s="42">
        <f t="shared" si="19"/>
        <v>3.1482749697472561</v>
      </c>
      <c r="AH19" s="43">
        <f t="shared" si="9"/>
        <v>4.6355333952912616</v>
      </c>
      <c r="AI19" s="43">
        <f t="shared" si="10"/>
        <v>5.0069483222821418</v>
      </c>
      <c r="AJ19" s="44">
        <f t="shared" si="11"/>
        <v>6.1982150119498423</v>
      </c>
      <c r="AK19" s="44">
        <f t="shared" si="12"/>
        <v>6.6948373809043176</v>
      </c>
      <c r="AL19" s="42">
        <f t="shared" si="13"/>
        <v>1.5068699982910851</v>
      </c>
      <c r="AM19" s="42">
        <f t="shared" si="14"/>
        <v>8.8372822519394081</v>
      </c>
      <c r="AN19" s="42">
        <f t="shared" si="15"/>
        <v>6.7649196247681287</v>
      </c>
      <c r="AO19" s="37">
        <v>2</v>
      </c>
      <c r="AP19" s="37">
        <v>1</v>
      </c>
      <c r="AQ19" s="31">
        <f t="shared" si="16"/>
        <v>6.1499999999999999E-2</v>
      </c>
      <c r="AR19" s="47">
        <v>0</v>
      </c>
      <c r="AS19" s="47">
        <v>0</v>
      </c>
      <c r="AT19" s="47">
        <v>3</v>
      </c>
      <c r="AU19" s="47">
        <v>5.5</v>
      </c>
      <c r="AV19" s="47">
        <v>2</v>
      </c>
      <c r="AW19" s="47">
        <v>12</v>
      </c>
      <c r="AX19" s="47">
        <v>3</v>
      </c>
      <c r="AY19" s="48">
        <f t="shared" si="17"/>
        <v>25.5</v>
      </c>
      <c r="AZ19" s="39">
        <v>1510</v>
      </c>
      <c r="BA19" s="49" t="s">
        <v>54</v>
      </c>
    </row>
    <row r="20" spans="1:53" x14ac:dyDescent="0.25">
      <c r="A20" s="24" t="s">
        <v>93</v>
      </c>
      <c r="B20" s="24" t="s">
        <v>91</v>
      </c>
      <c r="C20" s="26">
        <f t="shared" ca="1" si="0"/>
        <v>2.4553571428571428</v>
      </c>
      <c r="D20" s="198" t="s">
        <v>94</v>
      </c>
      <c r="E20" s="50">
        <v>33</v>
      </c>
      <c r="F20" s="28">
        <f ca="1">$D$1-43637</f>
        <v>61</v>
      </c>
      <c r="G20" s="29"/>
      <c r="H20" s="32">
        <v>2</v>
      </c>
      <c r="I20" s="53">
        <v>5.2</v>
      </c>
      <c r="J20" s="34">
        <f t="shared" si="1"/>
        <v>1.0565222526643385</v>
      </c>
      <c r="K20" s="35">
        <f t="shared" si="2"/>
        <v>20.8</v>
      </c>
      <c r="L20" s="35">
        <f t="shared" si="3"/>
        <v>46.800000000000004</v>
      </c>
      <c r="M20" s="54">
        <v>4.9000000000000004</v>
      </c>
      <c r="N20" s="37">
        <f t="shared" si="4"/>
        <v>68</v>
      </c>
      <c r="O20" s="38">
        <v>1.5</v>
      </c>
      <c r="P20" s="37">
        <v>3</v>
      </c>
      <c r="Q20" s="31">
        <f t="shared" si="5"/>
        <v>0.65465367070797709</v>
      </c>
      <c r="R20" s="31">
        <f t="shared" si="6"/>
        <v>0.75498344352707503</v>
      </c>
      <c r="S20" s="39">
        <v>130</v>
      </c>
      <c r="T20" s="40">
        <f t="shared" si="7"/>
        <v>-40</v>
      </c>
      <c r="U20" s="39">
        <v>310</v>
      </c>
      <c r="V20" s="42">
        <f t="shared" si="8"/>
        <v>0.41935483870967744</v>
      </c>
      <c r="W20" s="45">
        <v>0</v>
      </c>
      <c r="X20" s="34">
        <v>2</v>
      </c>
      <c r="Y20" s="45">
        <v>3</v>
      </c>
      <c r="Z20" s="34">
        <v>2</v>
      </c>
      <c r="AA20" s="45">
        <v>2.95</v>
      </c>
      <c r="AB20" s="34">
        <v>6</v>
      </c>
      <c r="AC20" s="45">
        <v>3</v>
      </c>
      <c r="AD20" s="46">
        <v>319</v>
      </c>
      <c r="AE20" s="46"/>
      <c r="AF20" s="42">
        <f t="shared" si="18"/>
        <v>2.8169695133279888</v>
      </c>
      <c r="AG20" s="42">
        <f t="shared" si="19"/>
        <v>3.2486877239734366</v>
      </c>
      <c r="AH20" s="43">
        <f t="shared" si="9"/>
        <v>3.6375976890772668</v>
      </c>
      <c r="AI20" s="43">
        <f t="shared" si="10"/>
        <v>4.2003360099846416</v>
      </c>
      <c r="AJ20" s="44">
        <f t="shared" si="11"/>
        <v>3.5709204743855056</v>
      </c>
      <c r="AK20" s="44">
        <f t="shared" si="12"/>
        <v>4.1233437942824356</v>
      </c>
      <c r="AL20" s="42">
        <f t="shared" si="13"/>
        <v>1.2740842536816284</v>
      </c>
      <c r="AM20" s="42">
        <f t="shared" si="14"/>
        <v>6.3238982756058615</v>
      </c>
      <c r="AN20" s="42">
        <f t="shared" si="15"/>
        <v>4.2267859927144462</v>
      </c>
      <c r="AO20" s="37">
        <v>0</v>
      </c>
      <c r="AP20" s="37">
        <v>4</v>
      </c>
      <c r="AQ20" s="31">
        <f t="shared" si="16"/>
        <v>2.63E-2</v>
      </c>
      <c r="AR20" s="47">
        <v>0</v>
      </c>
      <c r="AS20" s="47">
        <v>0</v>
      </c>
      <c r="AT20" s="47">
        <v>3</v>
      </c>
      <c r="AU20" s="47">
        <v>0</v>
      </c>
      <c r="AV20" s="47">
        <v>2</v>
      </c>
      <c r="AW20" s="47">
        <v>12</v>
      </c>
      <c r="AX20" s="47">
        <v>1</v>
      </c>
      <c r="AY20" s="48">
        <f t="shared" si="17"/>
        <v>18</v>
      </c>
      <c r="AZ20" s="39">
        <v>170</v>
      </c>
      <c r="BA20" s="49" t="s">
        <v>54</v>
      </c>
    </row>
    <row r="21" spans="1:53" x14ac:dyDescent="0.25">
      <c r="A21" s="24" t="s">
        <v>95</v>
      </c>
      <c r="B21" s="24" t="s">
        <v>91</v>
      </c>
      <c r="C21" s="26">
        <f t="shared" ca="1" si="0"/>
        <v>9.5089285714285712</v>
      </c>
      <c r="D21" s="198" t="s">
        <v>96</v>
      </c>
      <c r="E21" s="50">
        <v>26</v>
      </c>
      <c r="F21" s="28">
        <f ca="1">$D$1-43531-112</f>
        <v>55</v>
      </c>
      <c r="G21" s="29"/>
      <c r="H21" s="32">
        <v>4</v>
      </c>
      <c r="I21" s="53">
        <v>3.3</v>
      </c>
      <c r="J21" s="34">
        <f t="shared" si="1"/>
        <v>0.84462460743944867</v>
      </c>
      <c r="K21" s="35">
        <f t="shared" si="2"/>
        <v>52.8</v>
      </c>
      <c r="L21" s="35">
        <f t="shared" si="3"/>
        <v>82.5</v>
      </c>
      <c r="M21" s="54">
        <v>5.0999999999999996</v>
      </c>
      <c r="N21" s="37">
        <f t="shared" si="4"/>
        <v>70</v>
      </c>
      <c r="O21" s="38">
        <v>1.5</v>
      </c>
      <c r="P21" s="37">
        <v>5</v>
      </c>
      <c r="Q21" s="31">
        <f t="shared" si="5"/>
        <v>0.84515425472851657</v>
      </c>
      <c r="R21" s="31">
        <f t="shared" si="6"/>
        <v>0.92504826128926143</v>
      </c>
      <c r="S21" s="39">
        <v>1000</v>
      </c>
      <c r="T21" s="40">
        <f t="shared" si="7"/>
        <v>0</v>
      </c>
      <c r="U21" s="39">
        <v>310</v>
      </c>
      <c r="V21" s="42">
        <f t="shared" si="8"/>
        <v>3.225806451612903</v>
      </c>
      <c r="W21" s="45">
        <v>0</v>
      </c>
      <c r="X21" s="34">
        <v>2</v>
      </c>
      <c r="Y21" s="45">
        <v>3</v>
      </c>
      <c r="Z21" s="34">
        <v>2</v>
      </c>
      <c r="AA21" s="45">
        <v>5</v>
      </c>
      <c r="AB21" s="34">
        <v>5</v>
      </c>
      <c r="AC21" s="45">
        <v>2</v>
      </c>
      <c r="AD21" s="46">
        <v>351</v>
      </c>
      <c r="AE21" s="46">
        <v>633</v>
      </c>
      <c r="AF21" s="42">
        <f t="shared" si="18"/>
        <v>3.3911648286605955</v>
      </c>
      <c r="AG21" s="42">
        <f t="shared" si="19"/>
        <v>3.7117379590137132</v>
      </c>
      <c r="AH21" s="43">
        <f t="shared" si="9"/>
        <v>4.5170322269041776</v>
      </c>
      <c r="AI21" s="43">
        <f t="shared" si="10"/>
        <v>4.9481608873064236</v>
      </c>
      <c r="AJ21" s="44">
        <f t="shared" si="11"/>
        <v>3.5423389081149317</v>
      </c>
      <c r="AK21" s="44">
        <f t="shared" si="12"/>
        <v>3.8804378526055361</v>
      </c>
      <c r="AL21" s="42">
        <f t="shared" si="13"/>
        <v>2.0108199306122603</v>
      </c>
      <c r="AM21" s="42">
        <f t="shared" si="14"/>
        <v>5.9005461711194966</v>
      </c>
      <c r="AN21" s="42">
        <f t="shared" si="15"/>
        <v>4.4325168014313254</v>
      </c>
      <c r="AO21" s="37">
        <v>3</v>
      </c>
      <c r="AP21" s="37">
        <v>3</v>
      </c>
      <c r="AQ21" s="31">
        <f t="shared" si="16"/>
        <v>0.1158</v>
      </c>
      <c r="AR21" s="47">
        <v>0</v>
      </c>
      <c r="AS21" s="47">
        <v>0</v>
      </c>
      <c r="AT21" s="47">
        <v>3</v>
      </c>
      <c r="AU21" s="47">
        <v>0</v>
      </c>
      <c r="AV21" s="47">
        <v>7</v>
      </c>
      <c r="AW21" s="47">
        <v>8</v>
      </c>
      <c r="AX21" s="47">
        <v>0</v>
      </c>
      <c r="AY21" s="48">
        <f t="shared" si="17"/>
        <v>18</v>
      </c>
      <c r="AZ21" s="39">
        <v>1000</v>
      </c>
      <c r="BA21" s="49" t="s">
        <v>54</v>
      </c>
    </row>
    <row r="22" spans="1:53" x14ac:dyDescent="0.25">
      <c r="C22" s="59"/>
      <c r="D22" s="60"/>
      <c r="G22" s="61"/>
      <c r="I22" s="62"/>
      <c r="J22" s="62"/>
      <c r="M22" s="62"/>
      <c r="N22" s="62"/>
      <c r="O22" s="62"/>
      <c r="P22" s="62"/>
      <c r="Q22" s="62"/>
      <c r="R22" s="62"/>
      <c r="S22" s="63">
        <f>SUM(S4:S21)</f>
        <v>28250</v>
      </c>
      <c r="T22" s="63">
        <f t="shared" ref="T22:U22" si="20">SUM(T4:T21)</f>
        <v>2240</v>
      </c>
      <c r="U22" s="63">
        <f t="shared" si="20"/>
        <v>7400</v>
      </c>
      <c r="V22" s="64">
        <f t="shared" si="8"/>
        <v>3.8175675675675675</v>
      </c>
      <c r="AC22" s="62"/>
      <c r="AD22" s="63"/>
      <c r="AE22" s="63"/>
      <c r="AF22" s="63"/>
      <c r="AG22" s="63"/>
      <c r="AJ22" s="63"/>
      <c r="AK22" s="63"/>
      <c r="AL22" s="63"/>
      <c r="AM22" s="63"/>
      <c r="AN22" s="63"/>
      <c r="BA22" s="62"/>
    </row>
    <row r="23" spans="1:53" x14ac:dyDescent="0.25">
      <c r="C23" s="59"/>
      <c r="D23" s="60"/>
      <c r="G23" s="62"/>
      <c r="H23" s="61"/>
      <c r="K23" s="62"/>
      <c r="M23" s="62"/>
      <c r="N23" s="62"/>
      <c r="O23" s="62"/>
      <c r="P23" s="62"/>
      <c r="Q23" s="62"/>
      <c r="R23" s="62"/>
      <c r="S23" s="65"/>
      <c r="T23" s="65"/>
      <c r="U23" s="65"/>
      <c r="V23" s="15"/>
      <c r="W23" s="66"/>
      <c r="AD23" s="15"/>
      <c r="AE23" s="15"/>
      <c r="AF23" s="15"/>
      <c r="AG23" s="15"/>
      <c r="AJ23" s="15"/>
      <c r="AK23" s="15"/>
      <c r="AL23" s="15"/>
      <c r="AM23" s="15"/>
      <c r="AN23" s="15"/>
      <c r="BA23" s="62"/>
    </row>
    <row r="24" spans="1:53" x14ac:dyDescent="0.25">
      <c r="C24" s="59"/>
      <c r="D24" s="60"/>
      <c r="G24" s="62"/>
      <c r="H24" s="61"/>
      <c r="I24" s="67"/>
      <c r="K24" s="62"/>
      <c r="M24" s="62"/>
      <c r="N24" s="62"/>
      <c r="O24" s="62"/>
      <c r="P24" s="62"/>
      <c r="Q24" s="62"/>
      <c r="R24" s="62"/>
      <c r="U24" s="66"/>
      <c r="V24" s="66"/>
      <c r="W24" s="66"/>
      <c r="X24" s="68"/>
      <c r="AD24" s="66"/>
      <c r="AE24" s="66"/>
      <c r="AF24" s="66"/>
      <c r="AG24" s="66"/>
      <c r="AJ24" s="66"/>
      <c r="AK24" s="66"/>
      <c r="AL24" s="66"/>
      <c r="AM24" s="66"/>
      <c r="BA24" s="62"/>
    </row>
    <row r="25" spans="1:53" x14ac:dyDescent="0.25">
      <c r="C25" s="59"/>
      <c r="D25" s="69"/>
      <c r="G25" s="62"/>
      <c r="H25" s="61"/>
      <c r="I25" s="67"/>
      <c r="K25" s="62"/>
      <c r="M25" s="62"/>
      <c r="N25" s="62"/>
      <c r="O25" s="70"/>
      <c r="P25" s="62"/>
      <c r="Q25" s="62"/>
      <c r="R25" s="62"/>
      <c r="U25" s="66"/>
      <c r="V25" s="66"/>
      <c r="W25" s="66"/>
      <c r="X25" s="68"/>
      <c r="AD25" s="71"/>
      <c r="AE25" s="71"/>
      <c r="AF25" s="66"/>
      <c r="AG25" s="66"/>
      <c r="AJ25" s="66"/>
      <c r="AK25" s="66"/>
      <c r="AL25" s="66"/>
      <c r="AM25" s="66"/>
      <c r="BA25" s="62"/>
    </row>
    <row r="26" spans="1:53" x14ac:dyDescent="0.25">
      <c r="C26" s="59"/>
      <c r="D26" s="69"/>
      <c r="G26" s="62"/>
      <c r="H26" s="61"/>
      <c r="I26" s="67"/>
      <c r="K26" s="62"/>
      <c r="M26" s="62"/>
      <c r="N26" s="62"/>
      <c r="O26" s="70"/>
      <c r="P26" s="62"/>
      <c r="Q26" s="62"/>
      <c r="R26" s="62"/>
      <c r="U26" s="72"/>
      <c r="V26" s="66"/>
      <c r="W26" s="66"/>
      <c r="X26" s="68"/>
      <c r="AD26" s="66"/>
      <c r="AE26" s="66"/>
      <c r="AF26" s="66"/>
      <c r="AG26" s="66"/>
      <c r="AJ26" s="66"/>
      <c r="AK26" s="66"/>
      <c r="AL26" s="66"/>
      <c r="AM26" s="66"/>
      <c r="BA26" s="62"/>
    </row>
    <row r="27" spans="1:53" x14ac:dyDescent="0.25">
      <c r="C27" s="59"/>
      <c r="D27" s="62"/>
      <c r="G27" s="62"/>
      <c r="H27" s="61"/>
      <c r="I27" s="67"/>
      <c r="K27" s="62"/>
      <c r="M27" s="62"/>
      <c r="N27" s="62"/>
      <c r="O27" s="62"/>
      <c r="P27" s="62"/>
      <c r="Q27" s="62"/>
      <c r="R27" s="62"/>
      <c r="U27" s="72"/>
      <c r="V27" s="66"/>
      <c r="W27" s="66"/>
      <c r="X27" s="68"/>
      <c r="AD27" s="66"/>
      <c r="AE27" s="66"/>
      <c r="AF27" s="66"/>
      <c r="AG27" s="66"/>
      <c r="AJ27" s="66"/>
      <c r="AK27" s="66"/>
      <c r="AL27" s="66"/>
      <c r="AM27" s="66"/>
      <c r="BA27" s="62"/>
    </row>
    <row r="28" spans="1:53" x14ac:dyDescent="0.25">
      <c r="C28" s="59"/>
      <c r="D28" s="60"/>
      <c r="G28" s="62"/>
      <c r="H28" s="61"/>
      <c r="I28" s="67"/>
      <c r="K28" s="62"/>
      <c r="M28" s="62"/>
      <c r="N28" s="62"/>
      <c r="O28" s="62"/>
      <c r="P28" s="62"/>
      <c r="Q28" s="62"/>
      <c r="R28" s="62"/>
      <c r="U28" s="66"/>
      <c r="V28" s="66"/>
      <c r="W28" s="66"/>
      <c r="X28" s="68"/>
      <c r="AD28" s="66"/>
      <c r="AE28" s="66"/>
      <c r="AF28" s="66"/>
      <c r="AG28" s="66"/>
      <c r="AJ28" s="66"/>
      <c r="AK28" s="66"/>
      <c r="AL28" s="66"/>
      <c r="AM28" s="66"/>
      <c r="BA28" s="62"/>
    </row>
    <row r="29" spans="1:53" x14ac:dyDescent="0.25">
      <c r="C29" s="59"/>
      <c r="D29" s="60"/>
      <c r="G29" s="62"/>
      <c r="H29" s="61"/>
      <c r="I29" s="67"/>
      <c r="K29" s="62"/>
      <c r="M29" s="62"/>
      <c r="N29" s="62"/>
      <c r="O29" s="62"/>
      <c r="P29" s="62"/>
      <c r="Q29" s="62"/>
      <c r="R29" s="62"/>
      <c r="U29" s="72"/>
      <c r="V29" s="66"/>
      <c r="W29" s="66"/>
      <c r="X29" s="68"/>
      <c r="AD29" s="66"/>
      <c r="AE29" s="66"/>
      <c r="AF29" s="66"/>
      <c r="AG29" s="66"/>
      <c r="AJ29" s="66"/>
      <c r="AK29" s="66"/>
      <c r="AL29" s="66"/>
      <c r="AM29" s="66"/>
      <c r="BA29" s="62"/>
    </row>
    <row r="30" spans="1:53" x14ac:dyDescent="0.25">
      <c r="C30" s="59"/>
      <c r="D30" s="60"/>
      <c r="G30" s="62"/>
      <c r="H30" s="61"/>
      <c r="I30" s="67"/>
      <c r="K30" s="62"/>
      <c r="M30" s="62"/>
      <c r="N30" s="62"/>
      <c r="O30" s="62"/>
      <c r="P30" s="62"/>
      <c r="Q30" s="62"/>
      <c r="R30" s="62"/>
      <c r="U30" s="66"/>
      <c r="V30" s="66"/>
      <c r="W30" s="66"/>
      <c r="X30" s="68"/>
      <c r="AD30" s="66"/>
      <c r="AE30" s="66"/>
      <c r="AF30" s="66"/>
      <c r="AG30" s="66"/>
      <c r="AJ30" s="66"/>
      <c r="AK30" s="66"/>
      <c r="AL30" s="66"/>
      <c r="AM30" s="66"/>
      <c r="BA30" s="62"/>
    </row>
  </sheetData>
  <mergeCells count="1">
    <mergeCell ref="E1:G1"/>
  </mergeCells>
  <conditionalFormatting sqref="AQ4:AQ21">
    <cfRule type="cellIs" dxfId="15" priority="28" operator="lessThan">
      <formula>0.07</formula>
    </cfRule>
    <cfRule type="cellIs" dxfId="14" priority="29" operator="greaterThan">
      <formula>0.1</formula>
    </cfRule>
  </conditionalFormatting>
  <conditionalFormatting sqref="N4:N21">
    <cfRule type="cellIs" dxfId="13" priority="8" operator="lessThan">
      <formula>70</formula>
    </cfRule>
    <cfRule type="cellIs" dxfId="12" priority="9" operator="between">
      <formula>70</formula>
      <formula>80</formula>
    </cfRule>
    <cfRule type="cellIs" dxfId="11" priority="10" operator="greaterThan">
      <formula>80</formula>
    </cfRule>
  </conditionalFormatting>
  <conditionalFormatting sqref="U4:U21">
    <cfRule type="dataBar" priority="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{FF3EC768-52DC-48DE-9AA2-20B8B377BFC7}</x14:id>
        </ext>
      </extLst>
    </cfRule>
  </conditionalFormatting>
  <conditionalFormatting sqref="V4:V21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{A7C06EF5-DEAE-401D-85BC-585B589662FA}</x14:id>
        </ext>
      </extLst>
    </cfRule>
  </conditionalFormatting>
  <conditionalFormatting sqref="S4:S21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{F88827B0-12AD-487E-978E-4C55DA8E1D65}</x14:id>
        </ext>
      </extLst>
    </cfRule>
  </conditionalFormatting>
  <conditionalFormatting sqref="AE4:AE21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{AC52F9E5-5485-4AAD-A68F-2E1E8539BBE4}</x14:id>
        </ext>
      </extLst>
    </cfRule>
  </conditionalFormatting>
  <conditionalFormatting sqref="C4:C2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I21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:AL21">
    <cfRule type="colorScale" priority="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4:AM2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N21">
    <cfRule type="colorScale" priority="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4:AG21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K21">
    <cfRule type="colorScale" priority="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4:AC21">
    <cfRule type="cellIs" dxfId="10" priority="99" operator="greaterThan">
      <formula>10</formula>
    </cfRule>
    <cfRule type="colorScale" priority="100">
      <colorScale>
        <cfvo type="min"/>
        <cfvo type="max"/>
        <color rgb="FFFCFCFF"/>
        <color rgb="FF63BE7B"/>
      </colorScale>
    </cfRule>
  </conditionalFormatting>
  <conditionalFormatting sqref="I4:I2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AX21">
    <cfRule type="colorScale" priority="105">
      <colorScale>
        <cfvo type="min"/>
        <cfvo type="max"/>
        <color rgb="FFFCFCFF"/>
        <color rgb="FFF8696B"/>
      </colorScale>
    </cfRule>
  </conditionalFormatting>
  <conditionalFormatting sqref="T4:T21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{13C9A440-1162-4750-85F4-245418224BFA}</x14:id>
        </ext>
      </extLst>
    </cfRule>
  </conditionalFormatting>
  <conditionalFormatting sqref="AY4:AY21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21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{3583D083-3D80-427E-9093-8896532FD185}</x14:id>
        </ext>
      </extLst>
    </cfRule>
  </conditionalFormatting>
  <conditionalFormatting sqref="Q4:R21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:AZ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{9FCA75D4-30D8-410E-B2D6-5ED9AB7632D5}</x14:id>
        </ext>
      </extLst>
    </cfRule>
  </conditionalFormatting>
  <conditionalFormatting sqref="K4:L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EC768-52DC-48DE-9AA2-20B8B377BF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A7C06EF5-DEAE-401D-85BC-585B589662F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F88827B0-12AD-487E-978E-4C55DA8E1D6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S4:S21</xm:sqref>
        </x14:conditionalFormatting>
        <x14:conditionalFormatting xmlns:xm="http://schemas.microsoft.com/office/excel/2006/main">
          <x14:cfRule type="dataBar" id="{AC52F9E5-5485-4AAD-A68F-2E1E8539BBE4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13C9A440-1162-4750-85F4-245418224BFA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3583D083-3D80-427E-9093-8896532FD18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AD4:AD21</xm:sqref>
        </x14:conditionalFormatting>
        <x14:conditionalFormatting xmlns:xm="http://schemas.microsoft.com/office/excel/2006/main">
          <x14:cfRule type="dataBar" id="{9FCA75D4-30D8-410E-B2D6-5ED9AB7632D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AZ4:AZ21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M33"/>
  <sheetViews>
    <sheetView tabSelected="1"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I4" sqref="I4"/>
    </sheetView>
  </sheetViews>
  <sheetFormatPr baseColWidth="10" defaultColWidth="9.140625" defaultRowHeight="15" x14ac:dyDescent="0.25"/>
  <cols>
    <col min="1" max="1" width="14.140625" bestFit="1" customWidth="1"/>
    <col min="2" max="2" width="5.28515625" customWidth="1"/>
    <col min="3" max="3" width="4.7109375" customWidth="1"/>
    <col min="4" max="4" width="4.140625" bestFit="1" customWidth="1"/>
    <col min="5" max="5" width="7.5703125" bestFit="1" customWidth="1"/>
    <col min="6" max="6" width="10.85546875" bestFit="1" customWidth="1"/>
    <col min="7" max="7" width="7.5703125" style="62" bestFit="1" customWidth="1"/>
    <col min="8" max="8" width="4.7109375" customWidth="1"/>
    <col min="9" max="9" width="4.5703125" bestFit="1" customWidth="1"/>
    <col min="10" max="15" width="5.28515625" bestFit="1" customWidth="1"/>
    <col min="16" max="17" width="4.5703125" bestFit="1" customWidth="1"/>
    <col min="18" max="18" width="5.140625" customWidth="1"/>
    <col min="19" max="19" width="5.28515625" bestFit="1" customWidth="1"/>
    <col min="20" max="20" width="3.28515625" customWidth="1"/>
    <col min="21" max="21" width="4" bestFit="1" customWidth="1"/>
    <col min="22" max="22" width="6.5703125" bestFit="1" customWidth="1"/>
    <col min="23" max="23" width="4.42578125" bestFit="1" customWidth="1"/>
    <col min="24" max="24" width="4" bestFit="1" customWidth="1"/>
    <col min="25" max="25" width="4.28515625" bestFit="1" customWidth="1"/>
    <col min="26" max="26" width="4.42578125" bestFit="1" customWidth="1"/>
    <col min="27" max="27" width="4.7109375" style="62" bestFit="1" customWidth="1"/>
    <col min="28" max="28" width="4" style="62" bestFit="1" customWidth="1"/>
    <col min="29" max="29" width="4.85546875" style="62" bestFit="1" customWidth="1"/>
    <col min="30" max="30" width="4" style="62" bestFit="1" customWidth="1"/>
    <col min="31" max="31" width="4" style="62" customWidth="1"/>
    <col min="32" max="32" width="4" style="62" bestFit="1" customWidth="1"/>
    <col min="33" max="33" width="4" style="62" customWidth="1"/>
    <col min="34" max="34" width="4.140625" style="62" bestFit="1" customWidth="1"/>
    <col min="35" max="35" width="4.28515625" style="62" bestFit="1" customWidth="1"/>
    <col min="36" max="36" width="4.28515625" style="62" customWidth="1"/>
    <col min="37" max="37" width="4.85546875" style="62" bestFit="1" customWidth="1"/>
    <col min="38" max="38" width="12.28515625" style="310" bestFit="1" customWidth="1"/>
    <col min="39" max="39" width="32.28515625" bestFit="1" customWidth="1"/>
    <col min="40" max="1023" width="10.7109375" customWidth="1"/>
  </cols>
  <sheetData>
    <row r="1" spans="1:39" x14ac:dyDescent="0.25">
      <c r="A1" s="425" t="s">
        <v>165</v>
      </c>
      <c r="B1" s="425"/>
      <c r="C1" s="425"/>
      <c r="D1" s="425"/>
      <c r="E1" s="425"/>
      <c r="F1" s="108"/>
      <c r="G1" s="107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7"/>
      <c r="W1" s="403"/>
      <c r="X1" s="107"/>
      <c r="Y1" s="107"/>
      <c r="Z1" s="107"/>
      <c r="AA1" s="107"/>
      <c r="AB1" s="300"/>
      <c r="AC1" s="107"/>
      <c r="AD1" s="294"/>
      <c r="AE1" s="107"/>
      <c r="AF1" s="366"/>
      <c r="AG1" s="107"/>
      <c r="AH1" s="294"/>
      <c r="AI1" s="107"/>
      <c r="AJ1" s="417"/>
      <c r="AK1" s="107"/>
      <c r="AL1" s="303"/>
      <c r="AM1" s="109"/>
    </row>
    <row r="2" spans="1:39" x14ac:dyDescent="0.25">
      <c r="A2" s="110" t="s">
        <v>166</v>
      </c>
      <c r="B2" s="110"/>
      <c r="C2" s="110"/>
      <c r="D2" s="110"/>
      <c r="E2" s="110"/>
      <c r="F2" s="110"/>
      <c r="G2" s="111"/>
      <c r="H2" s="110" t="s">
        <v>167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303"/>
      <c r="AM2" s="112"/>
    </row>
    <row r="3" spans="1:39" x14ac:dyDescent="0.25">
      <c r="A3" s="110" t="s">
        <v>3</v>
      </c>
      <c r="B3" s="110" t="s">
        <v>150</v>
      </c>
      <c r="C3" s="110" t="s">
        <v>5</v>
      </c>
      <c r="D3" s="111" t="s">
        <v>151</v>
      </c>
      <c r="E3" s="110" t="s">
        <v>152</v>
      </c>
      <c r="F3" s="110" t="s">
        <v>257</v>
      </c>
      <c r="G3" s="111" t="s">
        <v>153</v>
      </c>
      <c r="H3" s="110" t="s">
        <v>56</v>
      </c>
      <c r="I3" s="110" t="s">
        <v>39</v>
      </c>
      <c r="J3" s="114" t="s">
        <v>154</v>
      </c>
      <c r="K3" s="114" t="s">
        <v>39</v>
      </c>
      <c r="L3" s="110" t="s">
        <v>155</v>
      </c>
      <c r="M3" s="110" t="s">
        <v>39</v>
      </c>
      <c r="N3" s="114" t="s">
        <v>62</v>
      </c>
      <c r="O3" s="114" t="s">
        <v>39</v>
      </c>
      <c r="P3" s="110" t="s">
        <v>156</v>
      </c>
      <c r="Q3" s="110" t="s">
        <v>39</v>
      </c>
      <c r="R3" s="114" t="s">
        <v>157</v>
      </c>
      <c r="S3" s="114" t="s">
        <v>39</v>
      </c>
      <c r="T3" s="110" t="s">
        <v>158</v>
      </c>
      <c r="U3" s="110" t="s">
        <v>39</v>
      </c>
      <c r="V3" s="111" t="s">
        <v>258</v>
      </c>
      <c r="W3" s="111" t="s">
        <v>332</v>
      </c>
      <c r="X3" s="111" t="s">
        <v>39</v>
      </c>
      <c r="Y3" s="111" t="s">
        <v>159</v>
      </c>
      <c r="Z3" s="111" t="s">
        <v>259</v>
      </c>
      <c r="AA3" s="111" t="s">
        <v>56</v>
      </c>
      <c r="AB3" s="111" t="s">
        <v>272</v>
      </c>
      <c r="AC3" s="111" t="s">
        <v>161</v>
      </c>
      <c r="AD3" s="111" t="s">
        <v>270</v>
      </c>
      <c r="AE3" s="111" t="s">
        <v>162</v>
      </c>
      <c r="AF3" s="111" t="s">
        <v>318</v>
      </c>
      <c r="AG3" s="111" t="s">
        <v>163</v>
      </c>
      <c r="AH3" s="111" t="s">
        <v>269</v>
      </c>
      <c r="AI3" s="111" t="s">
        <v>164</v>
      </c>
      <c r="AJ3" s="111" t="s">
        <v>345</v>
      </c>
      <c r="AK3" s="111" t="s">
        <v>91</v>
      </c>
      <c r="AL3" s="311" t="s">
        <v>276</v>
      </c>
      <c r="AM3" s="112" t="s">
        <v>160</v>
      </c>
    </row>
    <row r="4" spans="1:39" x14ac:dyDescent="0.25">
      <c r="A4" s="363" t="s">
        <v>268</v>
      </c>
      <c r="B4" s="127">
        <v>16</v>
      </c>
      <c r="C4" s="128">
        <f ca="1">6+$A$30-$A$32</f>
        <v>67</v>
      </c>
      <c r="D4" s="132"/>
      <c r="E4" s="194">
        <f t="shared" ref="E4:E9" ca="1" si="0">F4-TODAY()</f>
        <v>59</v>
      </c>
      <c r="F4" s="197">
        <v>43757</v>
      </c>
      <c r="G4" s="394" t="s">
        <v>317</v>
      </c>
      <c r="H4" s="317"/>
      <c r="I4" s="315">
        <v>1.99</v>
      </c>
      <c r="J4" s="396">
        <v>5</v>
      </c>
      <c r="K4" s="452">
        <v>6.99</v>
      </c>
      <c r="L4" s="399">
        <v>4</v>
      </c>
      <c r="M4" s="399">
        <v>4.99</v>
      </c>
      <c r="N4" s="317"/>
      <c r="O4" s="402"/>
      <c r="P4" s="402"/>
      <c r="Q4" s="402"/>
      <c r="R4" s="402"/>
      <c r="S4" s="402"/>
      <c r="T4" s="317"/>
      <c r="U4" s="317"/>
      <c r="V4" s="407" t="s">
        <v>329</v>
      </c>
      <c r="W4" s="410">
        <f>COUNT(H4,J4,L4,N4,P4,R4,T4)</f>
        <v>2</v>
      </c>
      <c r="X4" s="195">
        <f>COUNT(I4,K4,M4,O4,Q4,S4,U4)</f>
        <v>3</v>
      </c>
      <c r="Y4" s="130">
        <v>0</v>
      </c>
      <c r="Z4" s="195">
        <v>0</v>
      </c>
      <c r="AA4" s="319"/>
      <c r="AB4" s="319">
        <v>5</v>
      </c>
      <c r="AC4" s="320">
        <v>4.5</v>
      </c>
      <c r="AD4" s="320">
        <v>4.5</v>
      </c>
      <c r="AE4" s="320">
        <v>4.5</v>
      </c>
      <c r="AF4" s="320"/>
      <c r="AG4" s="320"/>
      <c r="AH4" s="320">
        <v>5.5</v>
      </c>
      <c r="AI4" s="320">
        <v>5</v>
      </c>
      <c r="AJ4" s="320"/>
      <c r="AK4" s="320">
        <v>4.5</v>
      </c>
      <c r="AL4" s="305"/>
      <c r="AM4" s="196" t="s">
        <v>232</v>
      </c>
    </row>
    <row r="5" spans="1:39" x14ac:dyDescent="0.25">
      <c r="A5" s="363" t="s">
        <v>313</v>
      </c>
      <c r="B5" s="133">
        <v>16</v>
      </c>
      <c r="C5" s="128">
        <f ca="1">84+$A$30-$A$32-112</f>
        <v>33</v>
      </c>
      <c r="D5" s="134"/>
      <c r="E5" s="194">
        <f t="shared" ca="1" si="0"/>
        <v>79</v>
      </c>
      <c r="F5" s="197">
        <v>43777</v>
      </c>
      <c r="G5" s="394" t="s">
        <v>328</v>
      </c>
      <c r="H5" s="317"/>
      <c r="I5" s="315">
        <v>1.99</v>
      </c>
      <c r="J5" s="396">
        <v>4.4000000000000004</v>
      </c>
      <c r="K5" s="400">
        <v>5.99</v>
      </c>
      <c r="L5" s="317"/>
      <c r="M5" s="315">
        <v>4.99</v>
      </c>
      <c r="N5" s="317"/>
      <c r="O5" s="402"/>
      <c r="P5" s="402"/>
      <c r="Q5" s="402"/>
      <c r="R5" s="402"/>
      <c r="S5" s="402"/>
      <c r="T5" s="317"/>
      <c r="U5" s="317"/>
      <c r="V5" s="407" t="s">
        <v>330</v>
      </c>
      <c r="W5" s="410">
        <f t="shared" ref="W5:W6" si="1">COUNT(H5,J5,L5,N5,P5,R5,T5)</f>
        <v>1</v>
      </c>
      <c r="X5" s="195">
        <f>COUNT(I5,K5,M5,O5,Q5,S5,U5)</f>
        <v>3</v>
      </c>
      <c r="Y5" s="130">
        <v>0</v>
      </c>
      <c r="Z5" s="195">
        <v>1</v>
      </c>
      <c r="AA5" s="319"/>
      <c r="AB5" s="319">
        <v>5</v>
      </c>
      <c r="AC5" s="320">
        <v>3.5</v>
      </c>
      <c r="AD5" s="320"/>
      <c r="AE5" s="320">
        <v>4</v>
      </c>
      <c r="AF5" s="320"/>
      <c r="AG5" s="320"/>
      <c r="AH5" s="320">
        <v>4.5</v>
      </c>
      <c r="AI5" s="320">
        <v>4</v>
      </c>
      <c r="AJ5" s="320"/>
      <c r="AK5" s="320"/>
      <c r="AL5" s="304"/>
      <c r="AM5" s="196" t="s">
        <v>231</v>
      </c>
    </row>
    <row r="6" spans="1:39" x14ac:dyDescent="0.25">
      <c r="A6" s="363" t="s">
        <v>321</v>
      </c>
      <c r="B6" s="133">
        <v>16</v>
      </c>
      <c r="C6" s="128">
        <f ca="1">68+$A$30-$A$32-112</f>
        <v>17</v>
      </c>
      <c r="D6" s="129" t="s">
        <v>84</v>
      </c>
      <c r="E6" s="194">
        <f t="shared" ca="1" si="0"/>
        <v>95</v>
      </c>
      <c r="F6" s="197">
        <v>43793</v>
      </c>
      <c r="G6" s="394" t="s">
        <v>317</v>
      </c>
      <c r="H6" s="317"/>
      <c r="I6" s="317"/>
      <c r="J6" s="315">
        <v>4.5</v>
      </c>
      <c r="K6" s="400">
        <v>5.99</v>
      </c>
      <c r="L6" s="317"/>
      <c r="M6" s="315">
        <v>3.99</v>
      </c>
      <c r="N6" s="397">
        <v>4.0999999999999996</v>
      </c>
      <c r="O6" s="397">
        <v>4.99</v>
      </c>
      <c r="P6" s="315">
        <v>3</v>
      </c>
      <c r="Q6" s="402"/>
      <c r="R6" s="402"/>
      <c r="S6" s="402"/>
      <c r="T6" s="317"/>
      <c r="U6" s="317"/>
      <c r="V6" s="408" t="s">
        <v>174</v>
      </c>
      <c r="W6" s="410">
        <f t="shared" si="1"/>
        <v>3</v>
      </c>
      <c r="X6" s="195">
        <f>COUNT(I6,K6,M6,O6,Q6,S6,U6)</f>
        <v>3</v>
      </c>
      <c r="Y6" s="130">
        <v>0</v>
      </c>
      <c r="Z6" s="195">
        <v>0</v>
      </c>
      <c r="AA6" s="320"/>
      <c r="AB6" s="320">
        <v>4</v>
      </c>
      <c r="AC6" s="320">
        <v>3.5</v>
      </c>
      <c r="AD6" s="320">
        <v>4.5</v>
      </c>
      <c r="AE6" s="320">
        <v>4.5</v>
      </c>
      <c r="AF6" s="320"/>
      <c r="AG6" s="320">
        <v>5</v>
      </c>
      <c r="AH6" s="320"/>
      <c r="AI6" s="320"/>
      <c r="AJ6" s="320"/>
      <c r="AK6" s="320"/>
      <c r="AL6" s="304" t="s">
        <v>312</v>
      </c>
      <c r="AM6" s="196" t="s">
        <v>232</v>
      </c>
    </row>
    <row r="7" spans="1:39" x14ac:dyDescent="0.25">
      <c r="A7" s="369" t="s">
        <v>316</v>
      </c>
      <c r="B7" s="133">
        <v>17</v>
      </c>
      <c r="C7" s="128">
        <f ca="1">58+$A$30-$A$32-112</f>
        <v>7</v>
      </c>
      <c r="D7" s="134" t="s">
        <v>53</v>
      </c>
      <c r="E7" s="194">
        <f t="shared" ca="1" si="0"/>
        <v>80</v>
      </c>
      <c r="F7" s="197">
        <v>43778</v>
      </c>
      <c r="G7" s="394" t="s">
        <v>317</v>
      </c>
      <c r="H7" s="317"/>
      <c r="I7" s="317"/>
      <c r="J7" s="414">
        <v>4</v>
      </c>
      <c r="K7" s="397">
        <v>4.99</v>
      </c>
      <c r="L7" s="317"/>
      <c r="M7" s="315">
        <v>3.99</v>
      </c>
      <c r="N7" s="317"/>
      <c r="O7" s="315">
        <v>3.99</v>
      </c>
      <c r="P7" s="317"/>
      <c r="Q7" s="402"/>
      <c r="R7" s="396">
        <v>3</v>
      </c>
      <c r="S7" s="402"/>
      <c r="T7" s="317"/>
      <c r="U7" s="317"/>
      <c r="V7" s="409" t="s">
        <v>331</v>
      </c>
      <c r="W7" s="410">
        <f>COUNT(H7,J7,L7,N7,P7,R7,T7)</f>
        <v>2</v>
      </c>
      <c r="X7" s="195">
        <f>COUNT(I7,K7,M7,O7,Q7,S7,U7)</f>
        <v>3</v>
      </c>
      <c r="Y7" s="130">
        <v>0</v>
      </c>
      <c r="Z7" s="195">
        <v>0</v>
      </c>
      <c r="AA7" s="319"/>
      <c r="AB7" s="319">
        <v>3.5</v>
      </c>
      <c r="AC7" s="320">
        <v>3</v>
      </c>
      <c r="AD7" s="320"/>
      <c r="AE7" s="320">
        <v>3.5</v>
      </c>
      <c r="AF7" s="320"/>
      <c r="AG7" s="320">
        <v>4</v>
      </c>
      <c r="AH7" s="320"/>
      <c r="AI7" s="320">
        <v>3.5</v>
      </c>
      <c r="AJ7" s="320"/>
      <c r="AK7" s="320"/>
      <c r="AL7" s="304" t="s">
        <v>346</v>
      </c>
      <c r="AM7" s="196" t="s">
        <v>231</v>
      </c>
    </row>
    <row r="8" spans="1:39" x14ac:dyDescent="0.25">
      <c r="A8" s="401" t="s">
        <v>334</v>
      </c>
      <c r="B8" s="133">
        <v>16</v>
      </c>
      <c r="C8" s="128">
        <f ca="1">-53+$A$30-$A$32</f>
        <v>8</v>
      </c>
      <c r="D8" s="134"/>
      <c r="E8" s="194">
        <f t="shared" ca="1" si="0"/>
        <v>104</v>
      </c>
      <c r="F8" s="197">
        <v>43802</v>
      </c>
      <c r="G8" s="394" t="s">
        <v>328</v>
      </c>
      <c r="H8" s="317"/>
      <c r="I8" s="317"/>
      <c r="J8" s="315">
        <v>1</v>
      </c>
      <c r="K8" s="315">
        <v>2.99</v>
      </c>
      <c r="L8" s="318">
        <v>1</v>
      </c>
      <c r="M8" s="318">
        <v>1.99</v>
      </c>
      <c r="N8" s="317"/>
      <c r="O8" s="452">
        <v>7</v>
      </c>
      <c r="P8" s="317"/>
      <c r="Q8" s="317"/>
      <c r="R8" s="396">
        <v>3</v>
      </c>
      <c r="S8" s="396">
        <v>4.99</v>
      </c>
      <c r="T8" s="317"/>
      <c r="U8" s="317"/>
      <c r="V8" s="407" t="s">
        <v>342</v>
      </c>
      <c r="W8" s="410">
        <f>COUNT(H8,J8,L8,N8,P8,R8,T8)</f>
        <v>3</v>
      </c>
      <c r="X8" s="195">
        <f>COUNT(I8,K8,M8,O8,Q8,S8,U8)</f>
        <v>4</v>
      </c>
      <c r="Y8" s="130">
        <v>0</v>
      </c>
      <c r="Z8" s="195">
        <v>0</v>
      </c>
      <c r="AA8" s="319"/>
      <c r="AB8" s="319"/>
      <c r="AC8" s="320"/>
      <c r="AD8" s="320">
        <v>2.5</v>
      </c>
      <c r="AE8" s="320"/>
      <c r="AF8" s="320"/>
      <c r="AG8" s="320">
        <v>4</v>
      </c>
      <c r="AH8" s="320"/>
      <c r="AI8" s="320">
        <v>1.5</v>
      </c>
      <c r="AJ8" s="320"/>
      <c r="AK8" s="320"/>
      <c r="AL8" s="304"/>
      <c r="AM8" s="196" t="s">
        <v>232</v>
      </c>
    </row>
    <row r="9" spans="1:39" x14ac:dyDescent="0.25">
      <c r="A9" s="401" t="s">
        <v>335</v>
      </c>
      <c r="B9" s="127">
        <v>16</v>
      </c>
      <c r="C9" s="128">
        <f ca="1">39+$A$30-$A$32</f>
        <v>100</v>
      </c>
      <c r="D9" s="134"/>
      <c r="E9" s="194">
        <f t="shared" ca="1" si="0"/>
        <v>102</v>
      </c>
      <c r="F9" s="197">
        <v>43800</v>
      </c>
      <c r="G9" s="394" t="s">
        <v>336</v>
      </c>
      <c r="H9" s="317"/>
      <c r="I9" s="317"/>
      <c r="J9" s="396">
        <v>4.2</v>
      </c>
      <c r="K9" s="452">
        <v>7</v>
      </c>
      <c r="L9" s="317"/>
      <c r="M9" s="317"/>
      <c r="N9" s="317"/>
      <c r="O9" s="317"/>
      <c r="P9" s="317"/>
      <c r="Q9" s="315">
        <v>4.99</v>
      </c>
      <c r="R9" s="317"/>
      <c r="S9" s="317"/>
      <c r="T9" s="317"/>
      <c r="U9" s="317"/>
      <c r="V9" s="408" t="s">
        <v>174</v>
      </c>
      <c r="W9" s="410">
        <f>COUNT(H9,J9,L9,N9,P9,R9,T9)</f>
        <v>1</v>
      </c>
      <c r="X9" s="195">
        <f>COUNT(I9,K9,M9,O9,Q9,S9,U9)</f>
        <v>2</v>
      </c>
      <c r="Y9" s="130">
        <v>0</v>
      </c>
      <c r="Z9" s="195">
        <v>0</v>
      </c>
      <c r="AA9" s="319"/>
      <c r="AB9" s="319">
        <v>5</v>
      </c>
      <c r="AC9" s="320">
        <v>4.5</v>
      </c>
      <c r="AD9" s="320"/>
      <c r="AE9" s="320"/>
      <c r="AF9" s="320"/>
      <c r="AG9" s="320"/>
      <c r="AH9" s="320"/>
      <c r="AI9" s="320">
        <v>4.5</v>
      </c>
      <c r="AJ9" s="320"/>
      <c r="AK9" s="320"/>
      <c r="AL9" s="304"/>
      <c r="AM9" s="196" t="s">
        <v>231</v>
      </c>
    </row>
    <row r="10" spans="1:39" x14ac:dyDescent="0.25">
      <c r="A10" s="426" t="s">
        <v>168</v>
      </c>
      <c r="B10" s="426"/>
      <c r="C10" s="426"/>
      <c r="D10" s="426"/>
      <c r="E10" s="426"/>
      <c r="F10" s="116"/>
      <c r="G10" s="115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5"/>
      <c r="W10" s="404"/>
      <c r="X10" s="115"/>
      <c r="Y10" s="115"/>
      <c r="Z10" s="115"/>
      <c r="AA10" s="115"/>
      <c r="AB10" s="301"/>
      <c r="AC10" s="115"/>
      <c r="AD10" s="295"/>
      <c r="AE10" s="115"/>
      <c r="AF10" s="367"/>
      <c r="AG10" s="115"/>
      <c r="AH10" s="295"/>
      <c r="AI10" s="115"/>
      <c r="AJ10" s="418"/>
      <c r="AK10" s="115"/>
      <c r="AL10" s="306"/>
      <c r="AM10" s="117"/>
    </row>
    <row r="11" spans="1:39" x14ac:dyDescent="0.25">
      <c r="A11" s="118" t="s">
        <v>166</v>
      </c>
      <c r="B11" s="118"/>
      <c r="C11" s="118"/>
      <c r="D11" s="118"/>
      <c r="E11" s="118"/>
      <c r="F11" s="118"/>
      <c r="G11" s="119"/>
      <c r="H11" s="118" t="s">
        <v>167</v>
      </c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306"/>
      <c r="AM11" s="120"/>
    </row>
    <row r="12" spans="1:39" x14ac:dyDescent="0.25">
      <c r="A12" s="118" t="s">
        <v>3</v>
      </c>
      <c r="B12" s="118" t="s">
        <v>150</v>
      </c>
      <c r="C12" s="118" t="s">
        <v>5</v>
      </c>
      <c r="D12" s="119" t="s">
        <v>151</v>
      </c>
      <c r="E12" s="118" t="s">
        <v>152</v>
      </c>
      <c r="F12" s="118" t="str">
        <f>F3</f>
        <v>Fpromo</v>
      </c>
      <c r="G12" s="119" t="s">
        <v>153</v>
      </c>
      <c r="H12" s="118" t="s">
        <v>56</v>
      </c>
      <c r="I12" s="118" t="s">
        <v>39</v>
      </c>
      <c r="J12" s="121" t="s">
        <v>154</v>
      </c>
      <c r="K12" s="121" t="s">
        <v>39</v>
      </c>
      <c r="L12" s="118" t="s">
        <v>155</v>
      </c>
      <c r="M12" s="118" t="s">
        <v>39</v>
      </c>
      <c r="N12" s="121" t="s">
        <v>62</v>
      </c>
      <c r="O12" s="121" t="s">
        <v>39</v>
      </c>
      <c r="P12" s="118" t="s">
        <v>156</v>
      </c>
      <c r="Q12" s="118" t="s">
        <v>39</v>
      </c>
      <c r="R12" s="121" t="s">
        <v>157</v>
      </c>
      <c r="S12" s="121" t="s">
        <v>39</v>
      </c>
      <c r="T12" s="118" t="s">
        <v>158</v>
      </c>
      <c r="U12" s="118" t="s">
        <v>39</v>
      </c>
      <c r="V12" s="119" t="str">
        <f>V3</f>
        <v>U20</v>
      </c>
      <c r="W12" s="119" t="str">
        <f>W3</f>
        <v>Hab</v>
      </c>
      <c r="X12" s="119" t="str">
        <f>X3</f>
        <v>Pot</v>
      </c>
      <c r="Y12" s="119" t="str">
        <f>Y3</f>
        <v>Cap</v>
      </c>
      <c r="Z12" s="119" t="s">
        <v>158</v>
      </c>
      <c r="AA12" s="119" t="s">
        <v>56</v>
      </c>
      <c r="AB12" s="119" t="s">
        <v>272</v>
      </c>
      <c r="AC12" s="119" t="s">
        <v>161</v>
      </c>
      <c r="AD12" s="119" t="s">
        <v>270</v>
      </c>
      <c r="AE12" s="119" t="s">
        <v>162</v>
      </c>
      <c r="AF12" s="119" t="s">
        <v>318</v>
      </c>
      <c r="AG12" s="119" t="s">
        <v>163</v>
      </c>
      <c r="AH12" s="119" t="s">
        <v>269</v>
      </c>
      <c r="AI12" s="119" t="s">
        <v>164</v>
      </c>
      <c r="AJ12" s="119" t="s">
        <v>345</v>
      </c>
      <c r="AK12" s="119" t="s">
        <v>91</v>
      </c>
      <c r="AL12" s="312" t="str">
        <f>AL3</f>
        <v>Comentarios</v>
      </c>
      <c r="AM12" s="120" t="str">
        <f>AM3</f>
        <v>Ca</v>
      </c>
    </row>
    <row r="13" spans="1:39" x14ac:dyDescent="0.25">
      <c r="A13" s="364" t="s">
        <v>273</v>
      </c>
      <c r="B13" s="127">
        <v>16</v>
      </c>
      <c r="C13" s="128">
        <f ca="1">67+$A$30-$A$32+14-112</f>
        <v>30</v>
      </c>
      <c r="D13" s="129"/>
      <c r="E13" s="194">
        <f t="shared" ref="E13" ca="1" si="2">F13-TODAY()</f>
        <v>82</v>
      </c>
      <c r="F13" s="197">
        <v>43780</v>
      </c>
      <c r="G13" s="394" t="s">
        <v>317</v>
      </c>
      <c r="H13" s="317"/>
      <c r="I13" s="317"/>
      <c r="J13" s="317"/>
      <c r="K13" s="317"/>
      <c r="L13" s="397">
        <v>3</v>
      </c>
      <c r="M13" s="397">
        <v>3.99</v>
      </c>
      <c r="N13" s="398"/>
      <c r="O13" s="396">
        <v>3.99</v>
      </c>
      <c r="P13" s="317"/>
      <c r="Q13" s="317"/>
      <c r="R13" s="317"/>
      <c r="S13" s="396">
        <v>4.99</v>
      </c>
      <c r="T13" s="317"/>
      <c r="U13" s="317"/>
      <c r="V13" s="407" t="s">
        <v>176</v>
      </c>
      <c r="W13" s="410">
        <f>COUNT(H13,J13,L13,N13,P13,R13,T13)</f>
        <v>1</v>
      </c>
      <c r="X13" s="195">
        <f>COUNT(I13,K13,M13,O13,Q13,S13,U13)</f>
        <v>3</v>
      </c>
      <c r="Y13" s="130">
        <v>1</v>
      </c>
      <c r="Z13" s="195">
        <v>8</v>
      </c>
      <c r="AA13" s="319"/>
      <c r="AB13" s="319">
        <v>3</v>
      </c>
      <c r="AC13" s="320">
        <v>2.5</v>
      </c>
      <c r="AD13" s="320"/>
      <c r="AE13" s="320"/>
      <c r="AF13" s="320"/>
      <c r="AG13" s="320"/>
      <c r="AH13" s="320">
        <v>3.5</v>
      </c>
      <c r="AI13" s="320">
        <v>3.5</v>
      </c>
      <c r="AJ13" s="320">
        <v>5</v>
      </c>
      <c r="AK13" s="320">
        <v>5</v>
      </c>
      <c r="AL13" s="304"/>
      <c r="AM13" s="196" t="s">
        <v>229</v>
      </c>
    </row>
    <row r="14" spans="1:39" ht="15.75" x14ac:dyDescent="0.25">
      <c r="A14" s="298" t="s">
        <v>170</v>
      </c>
      <c r="B14" s="127">
        <v>15</v>
      </c>
      <c r="C14" s="128">
        <f ca="1">3+$A$30-$A$32</f>
        <v>64</v>
      </c>
      <c r="D14" s="129"/>
      <c r="E14" s="194">
        <f ca="1">F14-TODAY()</f>
        <v>160</v>
      </c>
      <c r="F14" s="197">
        <v>43858</v>
      </c>
      <c r="G14" s="394"/>
      <c r="H14" s="314"/>
      <c r="I14" s="314"/>
      <c r="J14" s="318">
        <v>1</v>
      </c>
      <c r="K14" s="318">
        <v>1.99</v>
      </c>
      <c r="L14" s="314"/>
      <c r="M14" s="315">
        <v>2.99</v>
      </c>
      <c r="N14" s="314"/>
      <c r="O14" s="315">
        <v>3.99</v>
      </c>
      <c r="P14" s="314"/>
      <c r="Q14" s="316">
        <v>5.99</v>
      </c>
      <c r="R14" s="314"/>
      <c r="S14" s="314"/>
      <c r="T14" s="314"/>
      <c r="U14" s="314"/>
      <c r="V14" s="409" t="s">
        <v>171</v>
      </c>
      <c r="W14" s="410">
        <f t="shared" ref="W14:W15" si="3">COUNT(H14,J14,L14,N14,P14,R14,T14)</f>
        <v>1</v>
      </c>
      <c r="X14" s="195">
        <f t="shared" ref="X14" si="4">COUNT(I14,K14,M14,O14,Q14,S14,U14)</f>
        <v>4</v>
      </c>
      <c r="Y14" s="130">
        <v>7</v>
      </c>
      <c r="Z14" s="195">
        <v>2</v>
      </c>
      <c r="AA14" s="319"/>
      <c r="AB14" s="319">
        <v>1</v>
      </c>
      <c r="AC14" s="320"/>
      <c r="AD14" s="320"/>
      <c r="AE14" s="320">
        <v>2</v>
      </c>
      <c r="AF14" s="320"/>
      <c r="AG14" s="320"/>
      <c r="AH14" s="320">
        <v>2.5</v>
      </c>
      <c r="AI14" s="320">
        <v>3</v>
      </c>
      <c r="AJ14" s="320"/>
      <c r="AK14" s="320">
        <v>3.5</v>
      </c>
      <c r="AL14" s="304"/>
      <c r="AM14" s="196" t="s">
        <v>231</v>
      </c>
    </row>
    <row r="15" spans="1:39" x14ac:dyDescent="0.25">
      <c r="A15" s="401" t="s">
        <v>337</v>
      </c>
      <c r="B15" s="133">
        <v>15</v>
      </c>
      <c r="C15" s="128">
        <f ca="1">2+$A$30-$A$32</f>
        <v>63</v>
      </c>
      <c r="D15" s="134"/>
      <c r="E15" s="194">
        <f ca="1">F15-TODAY()</f>
        <v>161</v>
      </c>
      <c r="F15" s="197">
        <v>43859</v>
      </c>
      <c r="G15" s="394" t="s">
        <v>317</v>
      </c>
      <c r="H15" s="317"/>
      <c r="I15" s="317"/>
      <c r="J15" s="317"/>
      <c r="K15" s="317"/>
      <c r="L15" s="317"/>
      <c r="M15" s="317"/>
      <c r="N15" s="396">
        <v>2</v>
      </c>
      <c r="O15" s="317"/>
      <c r="P15" s="317"/>
      <c r="Q15" s="317"/>
      <c r="R15" s="317"/>
      <c r="S15" s="396">
        <v>4.99</v>
      </c>
      <c r="T15" s="317"/>
      <c r="U15" s="317"/>
      <c r="V15" s="409" t="s">
        <v>171</v>
      </c>
      <c r="W15" s="410">
        <f t="shared" si="3"/>
        <v>1</v>
      </c>
      <c r="X15" s="195">
        <f>COUNT(I15,K15,M15,O15,Q15,S15,U15)</f>
        <v>1</v>
      </c>
      <c r="Y15" s="130">
        <v>0</v>
      </c>
      <c r="Z15" s="195">
        <v>0</v>
      </c>
      <c r="AA15" s="319"/>
      <c r="AB15" s="319"/>
      <c r="AC15" s="320"/>
      <c r="AD15" s="320"/>
      <c r="AE15" s="320"/>
      <c r="AF15" s="320"/>
      <c r="AG15" s="320"/>
      <c r="AH15" s="320"/>
      <c r="AI15" s="320"/>
      <c r="AJ15" s="320"/>
      <c r="AK15" s="320">
        <v>7</v>
      </c>
      <c r="AL15" s="304"/>
      <c r="AM15" s="196" t="s">
        <v>231</v>
      </c>
    </row>
    <row r="16" spans="1:39" x14ac:dyDescent="0.25">
      <c r="A16" s="427" t="s">
        <v>169</v>
      </c>
      <c r="B16" s="427"/>
      <c r="C16" s="427"/>
      <c r="D16" s="427"/>
      <c r="E16" s="427"/>
      <c r="F16" s="123"/>
      <c r="G16" s="122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2"/>
      <c r="W16" s="405"/>
      <c r="X16" s="122"/>
      <c r="Y16" s="122"/>
      <c r="Z16" s="122"/>
      <c r="AA16" s="122"/>
      <c r="AB16" s="302"/>
      <c r="AC16" s="122"/>
      <c r="AD16" s="296"/>
      <c r="AE16" s="122"/>
      <c r="AF16" s="368"/>
      <c r="AG16" s="122"/>
      <c r="AH16" s="296"/>
      <c r="AI16" s="122"/>
      <c r="AJ16" s="419"/>
      <c r="AK16" s="122"/>
      <c r="AL16" s="307"/>
      <c r="AM16" s="124"/>
    </row>
    <row r="17" spans="1:39" x14ac:dyDescent="0.25">
      <c r="A17" s="125" t="s">
        <v>166</v>
      </c>
      <c r="B17" s="125"/>
      <c r="C17" s="125"/>
      <c r="D17" s="125"/>
      <c r="E17" s="125"/>
      <c r="F17" s="125"/>
      <c r="G17" s="126"/>
      <c r="H17" s="125" t="s">
        <v>167</v>
      </c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307"/>
      <c r="AM17" s="124"/>
    </row>
    <row r="18" spans="1:39" x14ac:dyDescent="0.25">
      <c r="A18" s="125" t="s">
        <v>3</v>
      </c>
      <c r="B18" s="125" t="s">
        <v>150</v>
      </c>
      <c r="C18" s="125" t="s">
        <v>5</v>
      </c>
      <c r="D18" s="126" t="s">
        <v>151</v>
      </c>
      <c r="E18" s="125" t="s">
        <v>152</v>
      </c>
      <c r="F18" s="125" t="str">
        <f>F12</f>
        <v>Fpromo</v>
      </c>
      <c r="G18" s="126" t="s">
        <v>153</v>
      </c>
      <c r="H18" s="125" t="s">
        <v>56</v>
      </c>
      <c r="I18" s="125" t="s">
        <v>39</v>
      </c>
      <c r="J18" s="125" t="s">
        <v>154</v>
      </c>
      <c r="K18" s="125" t="s">
        <v>39</v>
      </c>
      <c r="L18" s="125" t="s">
        <v>155</v>
      </c>
      <c r="M18" s="125" t="s">
        <v>39</v>
      </c>
      <c r="N18" s="125" t="s">
        <v>62</v>
      </c>
      <c r="O18" s="125" t="s">
        <v>39</v>
      </c>
      <c r="P18" s="125" t="s">
        <v>156</v>
      </c>
      <c r="Q18" s="125" t="s">
        <v>39</v>
      </c>
      <c r="R18" s="125" t="s">
        <v>157</v>
      </c>
      <c r="S18" s="125" t="s">
        <v>39</v>
      </c>
      <c r="T18" s="125" t="s">
        <v>158</v>
      </c>
      <c r="U18" s="125" t="s">
        <v>39</v>
      </c>
      <c r="V18" s="126" t="str">
        <f>V12</f>
        <v>U20</v>
      </c>
      <c r="W18" s="126" t="str">
        <f>W12</f>
        <v>Hab</v>
      </c>
      <c r="X18" s="126" t="str">
        <f>X12</f>
        <v>Pot</v>
      </c>
      <c r="Y18" s="126" t="str">
        <f>Y12</f>
        <v>Cap</v>
      </c>
      <c r="Z18" s="126" t="s">
        <v>158</v>
      </c>
      <c r="AA18" s="126" t="s">
        <v>56</v>
      </c>
      <c r="AB18" s="126" t="s">
        <v>272</v>
      </c>
      <c r="AC18" s="126" t="s">
        <v>161</v>
      </c>
      <c r="AD18" s="126" t="s">
        <v>270</v>
      </c>
      <c r="AE18" s="126" t="s">
        <v>162</v>
      </c>
      <c r="AF18" s="126" t="s">
        <v>318</v>
      </c>
      <c r="AG18" s="126" t="s">
        <v>163</v>
      </c>
      <c r="AH18" s="126" t="s">
        <v>269</v>
      </c>
      <c r="AI18" s="126" t="s">
        <v>164</v>
      </c>
      <c r="AJ18" s="126" t="s">
        <v>345</v>
      </c>
      <c r="AK18" s="126" t="s">
        <v>91</v>
      </c>
      <c r="AL18" s="313" t="str">
        <f>AL12</f>
        <v>Comentarios</v>
      </c>
      <c r="AM18" s="124" t="str">
        <f>AM12</f>
        <v>Ca</v>
      </c>
    </row>
    <row r="19" spans="1:39" x14ac:dyDescent="0.25">
      <c r="A19" s="298"/>
      <c r="B19" s="133">
        <v>15</v>
      </c>
      <c r="C19" s="128">
        <f ca="1">11+$A$30-$A$32</f>
        <v>72</v>
      </c>
      <c r="D19" s="129"/>
      <c r="E19" s="194">
        <f ca="1">F19-TODAY()</f>
        <v>-43698</v>
      </c>
      <c r="F19" s="197"/>
      <c r="G19" s="394"/>
      <c r="H19" s="317"/>
      <c r="I19" s="317"/>
      <c r="J19" s="317"/>
      <c r="K19" s="317"/>
      <c r="L19" s="317"/>
      <c r="M19" s="317"/>
      <c r="N19" s="317"/>
      <c r="O19" s="317"/>
      <c r="P19" s="317"/>
      <c r="Q19" s="317"/>
      <c r="R19" s="317"/>
      <c r="S19" s="317"/>
      <c r="T19" s="317"/>
      <c r="U19" s="317"/>
      <c r="V19" s="408" t="s">
        <v>174</v>
      </c>
      <c r="W19" s="410">
        <f>COUNT(H19,J19,L19,N19,P19,R19,T19)</f>
        <v>0</v>
      </c>
      <c r="X19" s="195">
        <f>COUNT(I19,K19,M19,O19,Q19,S19,U19)</f>
        <v>0</v>
      </c>
      <c r="Y19" s="130">
        <v>0</v>
      </c>
      <c r="Z19" s="195">
        <v>0</v>
      </c>
      <c r="AA19" s="319"/>
      <c r="AB19" s="319"/>
      <c r="AC19" s="320"/>
      <c r="AD19" s="320"/>
      <c r="AE19" s="320"/>
      <c r="AF19" s="320"/>
      <c r="AG19" s="320"/>
      <c r="AH19" s="320"/>
      <c r="AI19" s="320"/>
      <c r="AJ19" s="320"/>
      <c r="AK19" s="320"/>
      <c r="AL19" s="304"/>
      <c r="AM19" s="196"/>
    </row>
    <row r="20" spans="1:39" x14ac:dyDescent="0.25">
      <c r="A20" s="298" t="s">
        <v>172</v>
      </c>
      <c r="B20" s="133">
        <v>15</v>
      </c>
      <c r="C20" s="128">
        <f ca="1">14+$A$30-$A$32</f>
        <v>75</v>
      </c>
      <c r="D20" s="129" t="s">
        <v>274</v>
      </c>
      <c r="E20" s="194">
        <f t="shared" ref="E20" ca="1" si="5">F20-TODAY()</f>
        <v>149</v>
      </c>
      <c r="F20" s="197">
        <v>43847</v>
      </c>
      <c r="G20" s="394"/>
      <c r="H20" s="317"/>
      <c r="I20" s="315">
        <v>0.99</v>
      </c>
      <c r="J20" s="318">
        <v>1</v>
      </c>
      <c r="K20" s="318">
        <v>1.99</v>
      </c>
      <c r="L20" s="317"/>
      <c r="M20" s="315">
        <v>2.99</v>
      </c>
      <c r="N20" s="317"/>
      <c r="O20" s="315">
        <v>1.99</v>
      </c>
      <c r="P20" s="317"/>
      <c r="Q20" s="317"/>
      <c r="R20" s="317"/>
      <c r="S20" s="317"/>
      <c r="T20" s="317"/>
      <c r="U20" s="317"/>
      <c r="V20" s="409" t="s">
        <v>173</v>
      </c>
      <c r="W20" s="410">
        <f t="shared" ref="W20:W26" si="6">COUNT(H20,J20,L20,N20,P20,R20,T20)</f>
        <v>1</v>
      </c>
      <c r="X20" s="195">
        <f t="shared" ref="X20:X25" si="7">COUNT(I20,K20,M20,O20,Q20,S20,U20)</f>
        <v>4</v>
      </c>
      <c r="Y20" s="130">
        <v>0</v>
      </c>
      <c r="Z20" s="195">
        <v>0</v>
      </c>
      <c r="AA20" s="319">
        <v>0.5</v>
      </c>
      <c r="AB20" s="319"/>
      <c r="AC20" s="320"/>
      <c r="AD20" s="320">
        <v>2</v>
      </c>
      <c r="AE20" s="320"/>
      <c r="AF20" s="320">
        <v>2.5</v>
      </c>
      <c r="AG20" s="320">
        <v>2.5</v>
      </c>
      <c r="AH20" s="320"/>
      <c r="AI20" s="320">
        <v>2.5</v>
      </c>
      <c r="AJ20" s="320"/>
      <c r="AK20" s="320">
        <v>2.5</v>
      </c>
      <c r="AL20" s="304"/>
      <c r="AM20" s="196" t="s">
        <v>308</v>
      </c>
    </row>
    <row r="21" spans="1:39" x14ac:dyDescent="0.25">
      <c r="A21" s="298" t="s">
        <v>175</v>
      </c>
      <c r="B21" s="133">
        <v>16</v>
      </c>
      <c r="C21" s="128">
        <f ca="1">51+$A$30-$A$32-112</f>
        <v>0</v>
      </c>
      <c r="D21" s="129" t="s">
        <v>274</v>
      </c>
      <c r="E21" s="194">
        <f t="shared" ref="E21:E26" ca="1" si="8">F21-TODAY()</f>
        <v>112</v>
      </c>
      <c r="F21" s="197">
        <v>43810</v>
      </c>
      <c r="G21" s="394"/>
      <c r="H21" s="317"/>
      <c r="I21" s="317"/>
      <c r="J21" s="318">
        <v>2</v>
      </c>
      <c r="K21" s="318">
        <v>2.99</v>
      </c>
      <c r="L21" s="395">
        <v>3</v>
      </c>
      <c r="M21" s="395">
        <v>3.99</v>
      </c>
      <c r="N21" s="318">
        <v>1</v>
      </c>
      <c r="O21" s="318">
        <v>1.99</v>
      </c>
      <c r="P21" s="317"/>
      <c r="Q21" s="317"/>
      <c r="R21" s="317"/>
      <c r="S21" s="317"/>
      <c r="T21" s="317"/>
      <c r="U21" s="317"/>
      <c r="V21" s="408" t="s">
        <v>174</v>
      </c>
      <c r="W21" s="410">
        <f t="shared" si="6"/>
        <v>3</v>
      </c>
      <c r="X21" s="195">
        <f>COUNT(I21,K21,M21,O21,Q21,S21,U21)</f>
        <v>3</v>
      </c>
      <c r="Y21" s="130">
        <v>0</v>
      </c>
      <c r="Z21" s="195">
        <v>0</v>
      </c>
      <c r="AA21" s="319">
        <v>1</v>
      </c>
      <c r="AB21" s="319">
        <v>3.5</v>
      </c>
      <c r="AC21" s="320">
        <v>2</v>
      </c>
      <c r="AD21" s="320"/>
      <c r="AE21" s="320"/>
      <c r="AF21" s="320"/>
      <c r="AG21" s="320">
        <v>2.5</v>
      </c>
      <c r="AH21" s="320">
        <v>4</v>
      </c>
      <c r="AI21" s="320">
        <v>2.5</v>
      </c>
      <c r="AJ21" s="320"/>
      <c r="AK21" s="320">
        <v>3</v>
      </c>
      <c r="AL21" s="304"/>
      <c r="AM21" s="196" t="s">
        <v>229</v>
      </c>
    </row>
    <row r="22" spans="1:39" x14ac:dyDescent="0.25">
      <c r="A22" s="136" t="s">
        <v>183</v>
      </c>
      <c r="B22" s="127">
        <v>17</v>
      </c>
      <c r="C22" s="128">
        <f ca="1">67+$A$30-$A$32-112</f>
        <v>16</v>
      </c>
      <c r="D22" s="129"/>
      <c r="E22" s="194">
        <f ca="1">F22-TODAY()</f>
        <v>51</v>
      </c>
      <c r="F22" s="197">
        <v>43749</v>
      </c>
      <c r="G22" s="394"/>
      <c r="H22" s="317"/>
      <c r="I22" s="317"/>
      <c r="J22" s="395">
        <v>3</v>
      </c>
      <c r="K22" s="395">
        <v>3.99</v>
      </c>
      <c r="L22" s="317"/>
      <c r="M22" s="315">
        <v>2.99</v>
      </c>
      <c r="N22" s="317"/>
      <c r="O22" s="315">
        <v>2.99</v>
      </c>
      <c r="P22" s="317"/>
      <c r="Q22" s="402"/>
      <c r="R22" s="402"/>
      <c r="S22" s="402"/>
      <c r="T22" s="317"/>
      <c r="U22" s="317"/>
      <c r="V22" s="408" t="s">
        <v>174</v>
      </c>
      <c r="W22" s="410">
        <f>COUNT(H22,J22,L22,N22,P22,R22,T22)</f>
        <v>1</v>
      </c>
      <c r="X22" s="195">
        <f>COUNT(I22,K22,M22,O22,Q22,S22,U22)</f>
        <v>3</v>
      </c>
      <c r="Y22" s="130">
        <v>0</v>
      </c>
      <c r="Z22" s="195">
        <v>0</v>
      </c>
      <c r="AA22" s="319">
        <v>1.5</v>
      </c>
      <c r="AB22" s="319">
        <v>3.5</v>
      </c>
      <c r="AC22" s="320"/>
      <c r="AD22" s="320"/>
      <c r="AE22" s="320">
        <v>3.5</v>
      </c>
      <c r="AF22" s="320"/>
      <c r="AG22" s="320">
        <v>3.5</v>
      </c>
      <c r="AH22" s="320">
        <v>4.5</v>
      </c>
      <c r="AI22" s="320">
        <v>3</v>
      </c>
      <c r="AJ22" s="320"/>
      <c r="AK22" s="320">
        <v>6</v>
      </c>
      <c r="AL22" s="304"/>
      <c r="AM22" s="196" t="s">
        <v>229</v>
      </c>
    </row>
    <row r="23" spans="1:39" x14ac:dyDescent="0.25">
      <c r="A23" s="135" t="s">
        <v>184</v>
      </c>
      <c r="B23" s="133">
        <v>17</v>
      </c>
      <c r="C23" s="128">
        <f ca="1">71+$A$30-$A$32-112</f>
        <v>20</v>
      </c>
      <c r="D23" s="134"/>
      <c r="E23" s="194">
        <f t="shared" ca="1" si="8"/>
        <v>51</v>
      </c>
      <c r="F23" s="197">
        <v>43749</v>
      </c>
      <c r="G23" s="394"/>
      <c r="H23" s="317"/>
      <c r="I23" s="317"/>
      <c r="J23" s="315">
        <v>3</v>
      </c>
      <c r="K23" s="317"/>
      <c r="L23" s="318">
        <v>2</v>
      </c>
      <c r="M23" s="318">
        <v>2.99</v>
      </c>
      <c r="N23" s="317"/>
      <c r="O23" s="315">
        <v>3.99</v>
      </c>
      <c r="P23" s="317"/>
      <c r="Q23" s="402"/>
      <c r="R23" s="402"/>
      <c r="S23" s="402"/>
      <c r="T23" s="402"/>
      <c r="U23" s="317"/>
      <c r="V23" s="408" t="s">
        <v>174</v>
      </c>
      <c r="W23" s="410">
        <f>COUNT(H23,J23,L23,N23,P23,R23,T23)</f>
        <v>2</v>
      </c>
      <c r="X23" s="195">
        <f>COUNT(I23,K23,M23,O23,Q23,S23,U23)</f>
        <v>2</v>
      </c>
      <c r="Y23" s="130">
        <v>0</v>
      </c>
      <c r="Z23" s="195">
        <v>0</v>
      </c>
      <c r="AA23" s="319">
        <v>1.5</v>
      </c>
      <c r="AB23" s="319"/>
      <c r="AC23" s="320"/>
      <c r="AD23" s="320"/>
      <c r="AE23" s="320"/>
      <c r="AF23" s="320">
        <v>4</v>
      </c>
      <c r="AG23" s="320">
        <v>4</v>
      </c>
      <c r="AH23" s="320"/>
      <c r="AI23" s="320">
        <v>3.5</v>
      </c>
      <c r="AJ23" s="320"/>
      <c r="AK23" s="320">
        <v>4.5</v>
      </c>
      <c r="AL23" s="304"/>
      <c r="AM23" s="196" t="s">
        <v>229</v>
      </c>
    </row>
    <row r="24" spans="1:39" x14ac:dyDescent="0.25">
      <c r="A24" s="136" t="s">
        <v>182</v>
      </c>
      <c r="B24" s="127">
        <v>17</v>
      </c>
      <c r="C24" s="128">
        <f ca="1">66+$A$30-$A$32-112</f>
        <v>15</v>
      </c>
      <c r="D24" s="129"/>
      <c r="E24" s="194">
        <f t="shared" ca="1" si="8"/>
        <v>51</v>
      </c>
      <c r="F24" s="197">
        <v>43749</v>
      </c>
      <c r="G24" s="394"/>
      <c r="H24" s="317"/>
      <c r="I24" s="317"/>
      <c r="J24" s="318">
        <v>0</v>
      </c>
      <c r="K24" s="318">
        <v>0.99</v>
      </c>
      <c r="L24" s="317"/>
      <c r="M24" s="317"/>
      <c r="N24" s="317"/>
      <c r="O24" s="317"/>
      <c r="P24" s="318">
        <v>2</v>
      </c>
      <c r="Q24" s="318">
        <v>2.99</v>
      </c>
      <c r="R24" s="317"/>
      <c r="S24" s="317"/>
      <c r="T24" s="317"/>
      <c r="U24" s="317"/>
      <c r="V24" s="408" t="s">
        <v>174</v>
      </c>
      <c r="W24" s="410">
        <f>COUNT(H24,J24,L24,N24,P24,R24,T24)</f>
        <v>2</v>
      </c>
      <c r="X24" s="195">
        <f>COUNT(I24,K24,M24,O24,Q24,S24,U24)</f>
        <v>2</v>
      </c>
      <c r="Y24" s="130">
        <v>0</v>
      </c>
      <c r="Z24" s="195">
        <v>0</v>
      </c>
      <c r="AA24" s="319">
        <v>1</v>
      </c>
      <c r="AB24" s="319"/>
      <c r="AC24" s="320"/>
      <c r="AD24" s="320">
        <v>1</v>
      </c>
      <c r="AE24" s="320"/>
      <c r="AF24" s="320"/>
      <c r="AG24" s="320">
        <v>3.5</v>
      </c>
      <c r="AH24" s="320"/>
      <c r="AI24" s="320">
        <v>2</v>
      </c>
      <c r="AJ24" s="320"/>
      <c r="AK24" s="320">
        <v>3.5</v>
      </c>
      <c r="AL24" s="304"/>
      <c r="AM24" s="196" t="s">
        <v>231</v>
      </c>
    </row>
    <row r="25" spans="1:39" x14ac:dyDescent="0.25">
      <c r="A25" s="363" t="s">
        <v>179</v>
      </c>
      <c r="B25" s="127">
        <v>16</v>
      </c>
      <c r="C25" s="128">
        <f ca="1">22+$A$30-$A$32</f>
        <v>83</v>
      </c>
      <c r="D25" s="129"/>
      <c r="E25" s="194">
        <f t="shared" ca="1" si="8"/>
        <v>52</v>
      </c>
      <c r="F25" s="197">
        <v>43750</v>
      </c>
      <c r="G25" s="394" t="s">
        <v>180</v>
      </c>
      <c r="H25" s="317"/>
      <c r="I25" s="317"/>
      <c r="J25" s="317"/>
      <c r="K25" s="315">
        <v>3.99</v>
      </c>
      <c r="L25" s="315">
        <v>1</v>
      </c>
      <c r="M25" s="317"/>
      <c r="N25" s="317"/>
      <c r="O25" s="317"/>
      <c r="P25" s="315">
        <v>2</v>
      </c>
      <c r="Q25" s="317"/>
      <c r="R25" s="317"/>
      <c r="S25" s="317"/>
      <c r="T25" s="317"/>
      <c r="U25" s="317"/>
      <c r="V25" s="408" t="s">
        <v>174</v>
      </c>
      <c r="W25" s="410">
        <f t="shared" si="6"/>
        <v>2</v>
      </c>
      <c r="X25" s="195">
        <f t="shared" si="7"/>
        <v>1</v>
      </c>
      <c r="Y25" s="130">
        <v>0</v>
      </c>
      <c r="Z25" s="195">
        <v>0</v>
      </c>
      <c r="AA25" s="319">
        <v>2.5</v>
      </c>
      <c r="AB25" s="319"/>
      <c r="AC25" s="320"/>
      <c r="AD25" s="320"/>
      <c r="AE25" s="320">
        <v>2.5</v>
      </c>
      <c r="AF25" s="320"/>
      <c r="AG25" s="320">
        <v>3.5</v>
      </c>
      <c r="AH25" s="320">
        <v>4</v>
      </c>
      <c r="AI25" s="320"/>
      <c r="AJ25" s="320"/>
      <c r="AK25" s="320">
        <v>2</v>
      </c>
      <c r="AL25" s="304"/>
      <c r="AM25" s="196" t="s">
        <v>230</v>
      </c>
    </row>
    <row r="26" spans="1:39" x14ac:dyDescent="0.25">
      <c r="A26" s="297" t="s">
        <v>177</v>
      </c>
      <c r="B26" s="127">
        <v>16</v>
      </c>
      <c r="C26" s="128">
        <f ca="1">-1+$A$30-$A$32</f>
        <v>60</v>
      </c>
      <c r="D26" s="132"/>
      <c r="E26" s="194">
        <f t="shared" ca="1" si="8"/>
        <v>52</v>
      </c>
      <c r="F26" s="197">
        <v>43750</v>
      </c>
      <c r="G26" s="394"/>
      <c r="H26" s="317"/>
      <c r="I26" s="317"/>
      <c r="J26" s="414">
        <v>4</v>
      </c>
      <c r="K26" s="397">
        <v>4.99</v>
      </c>
      <c r="L26" s="317"/>
      <c r="M26" s="317"/>
      <c r="N26" s="315">
        <v>0</v>
      </c>
      <c r="O26" s="317"/>
      <c r="P26" s="317"/>
      <c r="Q26" s="317"/>
      <c r="R26" s="317"/>
      <c r="S26" s="317"/>
      <c r="T26" s="317"/>
      <c r="U26" s="317"/>
      <c r="V26" s="407" t="s">
        <v>178</v>
      </c>
      <c r="W26" s="410">
        <f t="shared" si="6"/>
        <v>2</v>
      </c>
      <c r="X26" s="195">
        <f>COUNT(I26,K26,M26,O26,Q26,S26,U26)</f>
        <v>1</v>
      </c>
      <c r="Y26" s="130">
        <v>0</v>
      </c>
      <c r="Z26" s="195">
        <v>0</v>
      </c>
      <c r="AA26" s="319">
        <v>0.5</v>
      </c>
      <c r="AB26" s="319">
        <v>3.5</v>
      </c>
      <c r="AC26" s="320">
        <v>2.5</v>
      </c>
      <c r="AD26" s="320">
        <v>3</v>
      </c>
      <c r="AE26" s="320">
        <v>2.5</v>
      </c>
      <c r="AF26" s="320"/>
      <c r="AG26" s="320"/>
      <c r="AH26" s="320">
        <v>3</v>
      </c>
      <c r="AI26" s="320">
        <v>3.5</v>
      </c>
      <c r="AJ26" s="320"/>
      <c r="AK26" s="320">
        <v>3</v>
      </c>
      <c r="AL26" s="305"/>
      <c r="AM26" s="196" t="s">
        <v>231</v>
      </c>
    </row>
    <row r="27" spans="1:39" x14ac:dyDescent="0.25">
      <c r="A27" s="136" t="s">
        <v>181</v>
      </c>
      <c r="B27" s="127">
        <v>16</v>
      </c>
      <c r="C27" s="128">
        <f ca="1">40+$A$30-$A$32</f>
        <v>101</v>
      </c>
      <c r="D27" s="129"/>
      <c r="E27" s="194">
        <f ca="1">F27-TODAY()</f>
        <v>51</v>
      </c>
      <c r="F27" s="197">
        <v>43749</v>
      </c>
      <c r="G27" s="394"/>
      <c r="H27" s="317"/>
      <c r="I27" s="317"/>
      <c r="J27" s="315">
        <v>4</v>
      </c>
      <c r="K27" s="317"/>
      <c r="L27" s="317"/>
      <c r="M27" s="317"/>
      <c r="N27" s="317"/>
      <c r="O27" s="317"/>
      <c r="P27" s="317"/>
      <c r="Q27" s="317"/>
      <c r="R27" s="317"/>
      <c r="S27" s="317"/>
      <c r="T27" s="317"/>
      <c r="U27" s="317"/>
      <c r="V27" s="408" t="s">
        <v>174</v>
      </c>
      <c r="W27" s="410">
        <f>COUNT(H27,J27,L27,N27,P27,R27,T27)</f>
        <v>1</v>
      </c>
      <c r="X27" s="195">
        <f>COUNT(I27,K27,M27,O27,Q27,S27,U27)</f>
        <v>0</v>
      </c>
      <c r="Y27" s="130">
        <v>0</v>
      </c>
      <c r="Z27" s="195">
        <v>0</v>
      </c>
      <c r="AA27" s="319">
        <v>2</v>
      </c>
      <c r="AB27" s="319">
        <v>4</v>
      </c>
      <c r="AC27" s="320">
        <v>3</v>
      </c>
      <c r="AD27" s="320">
        <v>4.5</v>
      </c>
      <c r="AE27" s="320">
        <v>3.5</v>
      </c>
      <c r="AF27" s="320"/>
      <c r="AG27" s="320">
        <v>2.5</v>
      </c>
      <c r="AH27" s="320"/>
      <c r="AI27" s="320">
        <v>2</v>
      </c>
      <c r="AJ27" s="320"/>
      <c r="AK27" s="320"/>
      <c r="AL27" s="304" t="s">
        <v>91</v>
      </c>
      <c r="AM27" s="196" t="s">
        <v>230</v>
      </c>
    </row>
    <row r="28" spans="1:39" x14ac:dyDescent="0.25">
      <c r="A28" s="133"/>
      <c r="B28" s="133"/>
      <c r="C28" s="137"/>
      <c r="D28" s="113"/>
      <c r="E28" s="133"/>
      <c r="F28" s="133"/>
      <c r="G28" s="11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13"/>
      <c r="W28" s="113"/>
      <c r="X28" s="113"/>
      <c r="Y28" s="113"/>
      <c r="Z28" s="113"/>
      <c r="AA28" s="113"/>
      <c r="AB28" s="113"/>
      <c r="AL28" s="308"/>
      <c r="AM28" s="131"/>
    </row>
    <row r="29" spans="1:39" x14ac:dyDescent="0.25">
      <c r="A29" s="138" t="s">
        <v>185</v>
      </c>
      <c r="B29" s="139"/>
      <c r="C29" s="139"/>
      <c r="D29" s="139"/>
      <c r="E29" s="140"/>
      <c r="F29" s="139"/>
      <c r="G29" s="132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3"/>
      <c r="S29" s="133"/>
      <c r="T29" s="139"/>
      <c r="U29" s="139"/>
      <c r="V29" s="132"/>
      <c r="W29" s="132"/>
      <c r="X29" s="132"/>
      <c r="Y29" s="132"/>
      <c r="Z29" s="132"/>
      <c r="AA29" s="132"/>
      <c r="AB29" s="132"/>
      <c r="AL29" s="309"/>
      <c r="AM29" s="141"/>
    </row>
    <row r="30" spans="1:39" x14ac:dyDescent="0.25">
      <c r="A30" s="142">
        <f ca="1">TODAY()</f>
        <v>43698</v>
      </c>
      <c r="B30" s="143"/>
      <c r="C30" s="139"/>
      <c r="D30" s="139"/>
      <c r="E30" s="140"/>
      <c r="F30" s="1" t="s">
        <v>186</v>
      </c>
      <c r="G30" s="8"/>
      <c r="I30" s="139"/>
      <c r="J30" s="139"/>
      <c r="K30" s="139"/>
      <c r="L30" s="139"/>
      <c r="M30" s="139"/>
      <c r="N30" s="139"/>
      <c r="O30" s="139"/>
      <c r="P30" s="139"/>
      <c r="Q30" s="139"/>
      <c r="R30" s="133"/>
      <c r="S30" s="133"/>
      <c r="T30" s="139"/>
      <c r="U30" s="139"/>
      <c r="V30" s="132"/>
      <c r="W30" s="132"/>
      <c r="X30" s="132"/>
      <c r="Y30" s="132"/>
      <c r="Z30" s="132"/>
      <c r="AA30" s="132"/>
      <c r="AB30" s="132"/>
      <c r="AL30" s="309"/>
      <c r="AM30" s="144"/>
    </row>
    <row r="31" spans="1:39" x14ac:dyDescent="0.25">
      <c r="A31" s="145">
        <f ca="1">A32-A30</f>
        <v>-61</v>
      </c>
      <c r="B31" s="143"/>
      <c r="C31" s="139"/>
      <c r="D31" s="133"/>
      <c r="E31" s="133"/>
      <c r="F31" s="406" t="s">
        <v>347</v>
      </c>
      <c r="G31" s="406"/>
      <c r="I31" s="139"/>
      <c r="J31" s="139"/>
      <c r="K31" s="139"/>
      <c r="L31" s="139"/>
      <c r="M31" s="139"/>
      <c r="N31" s="139"/>
      <c r="O31" s="139"/>
      <c r="P31" s="139"/>
      <c r="Q31" s="139"/>
      <c r="R31" s="133"/>
      <c r="S31" s="133"/>
      <c r="T31" s="139"/>
      <c r="U31" s="139"/>
      <c r="V31" s="132"/>
      <c r="W31" s="132"/>
      <c r="X31" s="132"/>
      <c r="Y31" s="132"/>
      <c r="Z31" s="132"/>
      <c r="AA31" s="132"/>
      <c r="AB31" s="132"/>
      <c r="AL31" s="309"/>
      <c r="AM31" s="141"/>
    </row>
    <row r="32" spans="1:39" x14ac:dyDescent="0.25">
      <c r="A32" s="146">
        <v>43637</v>
      </c>
      <c r="B32" s="143"/>
      <c r="C32" s="139"/>
      <c r="D32" s="133"/>
      <c r="E32" s="133"/>
      <c r="F32" s="147" t="s">
        <v>158</v>
      </c>
      <c r="G32" s="132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3"/>
      <c r="S32" s="133"/>
      <c r="T32" s="139"/>
      <c r="U32" s="139"/>
      <c r="V32" s="132"/>
      <c r="W32" s="132"/>
      <c r="X32" s="132"/>
      <c r="Y32" s="132"/>
      <c r="Z32" s="132"/>
      <c r="AA32" s="132"/>
      <c r="AB32" s="132"/>
      <c r="AL32" s="309"/>
      <c r="AM32" s="141"/>
    </row>
    <row r="33" spans="1:39" x14ac:dyDescent="0.25">
      <c r="A33" s="133"/>
      <c r="B33" s="143"/>
      <c r="C33" s="139"/>
      <c r="D33" s="133"/>
      <c r="E33" s="133"/>
      <c r="F33" s="406" t="s">
        <v>333</v>
      </c>
      <c r="G33" s="406"/>
      <c r="I33" s="139"/>
      <c r="J33" s="139"/>
      <c r="K33" s="139"/>
      <c r="L33" s="139"/>
      <c r="M33" s="139"/>
      <c r="N33" s="139"/>
      <c r="O33" s="139"/>
      <c r="P33" s="139"/>
      <c r="Q33" s="139"/>
      <c r="R33" s="133"/>
      <c r="S33" s="133"/>
      <c r="T33" s="139"/>
      <c r="U33" s="139"/>
      <c r="V33" s="132"/>
      <c r="W33" s="132"/>
      <c r="X33" s="132"/>
      <c r="Y33" s="132"/>
      <c r="Z33" s="132"/>
      <c r="AA33" s="132"/>
      <c r="AB33" s="132"/>
      <c r="AL33" s="309"/>
      <c r="AM33" s="141"/>
    </row>
  </sheetData>
  <mergeCells count="3">
    <mergeCell ref="A1:E1"/>
    <mergeCell ref="A10:E10"/>
    <mergeCell ref="A16:E16"/>
  </mergeCells>
  <conditionalFormatting sqref="E4:E9 E13:E15 E19:E27">
    <cfRule type="cellIs" dxfId="9" priority="4" operator="lessThan">
      <formula>15</formula>
    </cfRule>
    <cfRule type="cellIs" dxfId="8" priority="5" operator="between">
      <formula>15</formula>
      <formula>50</formula>
    </cfRule>
    <cfRule type="cellIs" dxfId="7" priority="6" operator="greaterThan">
      <formula>50</formula>
    </cfRule>
  </conditionalFormatting>
  <conditionalFormatting sqref="AA13:AK15 AA19:AK27 AA4:AK9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:Z15 Y19:Z27 Y4:Z9">
    <cfRule type="colorScale" priority="314">
      <colorScale>
        <cfvo type="min"/>
        <cfvo type="max"/>
        <color rgb="FFFCFCFF"/>
        <color rgb="FF63BE7B"/>
      </colorScale>
    </cfRule>
  </conditionalFormatting>
  <conditionalFormatting sqref="W13:X15 W19:X27 W4:X9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EA4A-149D-4EF3-AED1-205C2A2A7C13}">
  <sheetPr>
    <tabColor rgb="FFFF0000"/>
  </sheetPr>
  <dimension ref="A1:A3"/>
  <sheetViews>
    <sheetView workbookViewId="0">
      <selection activeCell="C8" sqref="C8"/>
    </sheetView>
  </sheetViews>
  <sheetFormatPr baseColWidth="10" defaultRowHeight="15" x14ac:dyDescent="0.25"/>
  <sheetData>
    <row r="1" spans="1:1" s="362" customFormat="1" x14ac:dyDescent="0.25">
      <c r="A1" s="362" t="s">
        <v>309</v>
      </c>
    </row>
    <row r="2" spans="1:1" x14ac:dyDescent="0.25">
      <c r="A2" t="s">
        <v>310</v>
      </c>
    </row>
    <row r="3" spans="1:1" x14ac:dyDescent="0.25">
      <c r="A3" t="s">
        <v>311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AE18-643C-45E8-A278-54E56D4768A9}">
  <sheetPr>
    <tabColor rgb="FFFFC000"/>
  </sheetPr>
  <dimension ref="A1:Z28"/>
  <sheetViews>
    <sheetView zoomScale="120" zoomScaleNormal="12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M3" sqref="M3"/>
    </sheetView>
  </sheetViews>
  <sheetFormatPr baseColWidth="10" defaultRowHeight="15" x14ac:dyDescent="0.25"/>
  <cols>
    <col min="1" max="1" width="11.28515625" style="62" bestFit="1" customWidth="1"/>
    <col min="2" max="2" width="8.42578125" style="62" bestFit="1" customWidth="1"/>
    <col min="3" max="3" width="9.42578125" style="62" bestFit="1" customWidth="1"/>
    <col min="4" max="4" width="8.28515625" style="62" bestFit="1" customWidth="1"/>
    <col min="5" max="5" width="5.5703125" style="62" bestFit="1" customWidth="1"/>
    <col min="6" max="6" width="4.85546875" style="62" bestFit="1" customWidth="1"/>
    <col min="7" max="7" width="8.7109375" style="62" bestFit="1" customWidth="1"/>
    <col min="8" max="8" width="8.28515625" style="62" bestFit="1" customWidth="1"/>
    <col min="9" max="9" width="5.5703125" style="62" bestFit="1" customWidth="1"/>
    <col min="10" max="10" width="4.85546875" style="62" bestFit="1" customWidth="1"/>
    <col min="11" max="11" width="12.7109375" style="62" bestFit="1" customWidth="1"/>
    <col min="12" max="12" width="10.140625" style="62" bestFit="1" customWidth="1"/>
    <col min="13" max="13" width="8.28515625" style="62" bestFit="1" customWidth="1"/>
    <col min="14" max="14" width="5.5703125" style="62" bestFit="1" customWidth="1"/>
    <col min="15" max="15" width="4.85546875" style="62" bestFit="1" customWidth="1"/>
    <col min="16" max="16" width="12.7109375" style="62" bestFit="1" customWidth="1"/>
    <col min="17" max="17" width="10.140625" bestFit="1" customWidth="1"/>
    <col min="18" max="18" width="8.28515625" bestFit="1" customWidth="1"/>
    <col min="19" max="19" width="5.5703125" bestFit="1" customWidth="1"/>
    <col min="20" max="20" width="4.85546875" bestFit="1" customWidth="1"/>
    <col min="21" max="21" width="12.7109375" bestFit="1" customWidth="1"/>
    <col min="22" max="22" width="10.140625" bestFit="1" customWidth="1"/>
    <col min="23" max="23" width="8.28515625" bestFit="1" customWidth="1"/>
    <col min="24" max="24" width="5.5703125" bestFit="1" customWidth="1"/>
    <col min="25" max="25" width="4.85546875" bestFit="1" customWidth="1"/>
    <col min="26" max="26" width="12.7109375" bestFit="1" customWidth="1"/>
  </cols>
  <sheetData>
    <row r="1" spans="1:26" x14ac:dyDescent="0.25">
      <c r="A1" s="378" t="s">
        <v>325</v>
      </c>
      <c r="B1" s="379" t="s">
        <v>324</v>
      </c>
      <c r="C1" s="380" t="s">
        <v>3</v>
      </c>
      <c r="D1" s="380" t="s">
        <v>326</v>
      </c>
      <c r="E1" s="380" t="s">
        <v>4</v>
      </c>
      <c r="F1" s="381" t="s">
        <v>5</v>
      </c>
      <c r="G1" s="382" t="s">
        <v>3</v>
      </c>
      <c r="H1" s="382" t="s">
        <v>326</v>
      </c>
      <c r="I1" s="382" t="s">
        <v>4</v>
      </c>
      <c r="J1" s="382" t="s">
        <v>5</v>
      </c>
      <c r="K1" s="383" t="s">
        <v>327</v>
      </c>
      <c r="L1" s="384" t="s">
        <v>3</v>
      </c>
      <c r="M1" s="384" t="s">
        <v>326</v>
      </c>
      <c r="N1" s="384" t="s">
        <v>4</v>
      </c>
      <c r="O1" s="384" t="s">
        <v>5</v>
      </c>
      <c r="P1" s="385" t="s">
        <v>327</v>
      </c>
      <c r="Q1" s="384" t="s">
        <v>3</v>
      </c>
      <c r="R1" s="384" t="s">
        <v>326</v>
      </c>
      <c r="S1" s="384" t="s">
        <v>4</v>
      </c>
      <c r="T1" s="384" t="s">
        <v>5</v>
      </c>
      <c r="U1" s="385" t="s">
        <v>327</v>
      </c>
      <c r="V1" s="384" t="s">
        <v>3</v>
      </c>
      <c r="W1" s="384" t="s">
        <v>326</v>
      </c>
      <c r="X1" s="384" t="s">
        <v>4</v>
      </c>
      <c r="Y1" s="384" t="s">
        <v>5</v>
      </c>
      <c r="Z1" s="385" t="s">
        <v>327</v>
      </c>
    </row>
    <row r="2" spans="1:26" s="371" customFormat="1" x14ac:dyDescent="0.25">
      <c r="A2" s="388">
        <v>43671</v>
      </c>
      <c r="B2" s="389">
        <v>0</v>
      </c>
      <c r="C2" s="390" t="str">
        <f>Plantilla!D4</f>
        <v>E. Tarrida</v>
      </c>
      <c r="D2" s="391">
        <f>Plantilla!W4</f>
        <v>5.5</v>
      </c>
      <c r="E2" s="390">
        <f>Plantilla!E4</f>
        <v>18</v>
      </c>
      <c r="F2" s="392">
        <f ca="1">Plantilla!F4</f>
        <v>92</v>
      </c>
      <c r="G2" s="372" t="str">
        <f>Plantilla!D5</f>
        <v>J. Poblet</v>
      </c>
      <c r="H2" s="386">
        <f>Plantilla!W5</f>
        <v>7.75</v>
      </c>
      <c r="I2" s="372">
        <f>Plantilla!E5</f>
        <v>27</v>
      </c>
      <c r="J2" s="372">
        <f ca="1">Plantilla!F5</f>
        <v>71</v>
      </c>
      <c r="K2" s="387">
        <v>360000</v>
      </c>
      <c r="L2" s="390" t="str">
        <f>Plantilla!D6</f>
        <v>S. Candela</v>
      </c>
      <c r="M2" s="391">
        <v>5</v>
      </c>
      <c r="N2" s="390">
        <f>Plantilla!E6</f>
        <v>21</v>
      </c>
      <c r="O2" s="390">
        <f ca="1">Plantilla!F6</f>
        <v>83</v>
      </c>
      <c r="P2" s="393">
        <v>1000</v>
      </c>
      <c r="Q2" s="390" t="str">
        <f>L2</f>
        <v>S. Candela</v>
      </c>
      <c r="R2" s="391">
        <f>M2</f>
        <v>5</v>
      </c>
      <c r="S2" s="390">
        <f>N2</f>
        <v>21</v>
      </c>
      <c r="T2" s="390">
        <f ca="1">O2</f>
        <v>83</v>
      </c>
      <c r="U2" s="393"/>
      <c r="V2" s="390" t="str">
        <f>Q2</f>
        <v>S. Candela</v>
      </c>
      <c r="W2" s="391">
        <f>R2</f>
        <v>5</v>
      </c>
      <c r="X2" s="390">
        <f>S2</f>
        <v>21</v>
      </c>
      <c r="Y2" s="390">
        <f ca="1">T2</f>
        <v>83</v>
      </c>
      <c r="Z2" s="393"/>
    </row>
    <row r="3" spans="1:26" x14ac:dyDescent="0.25">
      <c r="A3" s="373">
        <f>A2+7</f>
        <v>43678</v>
      </c>
      <c r="B3" s="374">
        <v>1</v>
      </c>
      <c r="C3" s="321" t="str">
        <f>C2</f>
        <v>E. Tarrida</v>
      </c>
      <c r="D3" s="375">
        <v>4.5</v>
      </c>
      <c r="E3" s="321">
        <f>E2</f>
        <v>18</v>
      </c>
      <c r="F3" s="376">
        <f ca="1">F2+7</f>
        <v>99</v>
      </c>
      <c r="G3" s="321" t="str">
        <f>G2</f>
        <v>J. Poblet</v>
      </c>
      <c r="H3" s="375">
        <v>7.25</v>
      </c>
      <c r="I3" s="321">
        <f>I2</f>
        <v>27</v>
      </c>
      <c r="J3" s="321">
        <f ca="1">J2+7</f>
        <v>78</v>
      </c>
      <c r="K3" s="377"/>
      <c r="L3" s="321" t="str">
        <f>L2</f>
        <v>S. Candela</v>
      </c>
      <c r="M3" s="375">
        <v>5.4</v>
      </c>
      <c r="N3" s="321">
        <f>N2</f>
        <v>21</v>
      </c>
      <c r="O3" s="321">
        <f ca="1">O2+7</f>
        <v>90</v>
      </c>
      <c r="P3" s="377"/>
      <c r="Q3" s="321" t="str">
        <f>Q2</f>
        <v>S. Candela</v>
      </c>
      <c r="R3" s="375">
        <f>R2</f>
        <v>5</v>
      </c>
      <c r="S3" s="321">
        <f t="shared" ref="S3:S28" si="0">N3</f>
        <v>21</v>
      </c>
      <c r="T3" s="321">
        <f t="shared" ref="T3:T28" ca="1" si="1">O3</f>
        <v>90</v>
      </c>
      <c r="U3" s="377"/>
      <c r="V3" s="321" t="str">
        <f>V2</f>
        <v>S. Candela</v>
      </c>
      <c r="W3" s="375">
        <f>W2</f>
        <v>5</v>
      </c>
      <c r="X3" s="321">
        <f t="shared" ref="X3:X28" si="2">S3</f>
        <v>21</v>
      </c>
      <c r="Y3" s="321">
        <f t="shared" ref="Y3:Y28" ca="1" si="3">T3</f>
        <v>90</v>
      </c>
      <c r="Z3" s="377"/>
    </row>
    <row r="4" spans="1:26" x14ac:dyDescent="0.25">
      <c r="A4" s="373">
        <f t="shared" ref="A4:A17" si="4">A3+7</f>
        <v>43685</v>
      </c>
      <c r="B4" s="374">
        <v>2</v>
      </c>
      <c r="C4" s="321" t="str">
        <f t="shared" ref="C4:C28" si="5">C3</f>
        <v>E. Tarrida</v>
      </c>
      <c r="D4" s="375">
        <v>5</v>
      </c>
      <c r="E4" s="321">
        <f t="shared" ref="E4:E8" si="6">E3</f>
        <v>18</v>
      </c>
      <c r="F4" s="376">
        <f t="shared" ref="F4:F28" ca="1" si="7">F3+7</f>
        <v>106</v>
      </c>
      <c r="G4" s="321" t="str">
        <f t="shared" ref="G4:G28" si="8">G3</f>
        <v>J. Poblet</v>
      </c>
      <c r="H4" s="375">
        <v>7.5</v>
      </c>
      <c r="I4" s="321">
        <f t="shared" ref="I4:I27" si="9">I3</f>
        <v>27</v>
      </c>
      <c r="J4" s="321">
        <f t="shared" ref="J4:J27" ca="1" si="10">J3+7</f>
        <v>85</v>
      </c>
      <c r="K4" s="377"/>
      <c r="L4" s="321" t="str">
        <f t="shared" ref="L4:L28" si="11">L3</f>
        <v>S. Candela</v>
      </c>
      <c r="M4" s="375">
        <v>5.75</v>
      </c>
      <c r="N4" s="321">
        <f t="shared" ref="N4:N28" si="12">N3</f>
        <v>21</v>
      </c>
      <c r="O4" s="321">
        <f t="shared" ref="O4:O28" ca="1" si="13">O3+7</f>
        <v>97</v>
      </c>
      <c r="P4" s="377"/>
      <c r="Q4" s="321" t="str">
        <f t="shared" ref="Q4:Q28" si="14">Q3</f>
        <v>S. Candela</v>
      </c>
      <c r="R4" s="375">
        <f t="shared" ref="R4:R9" si="15">R3</f>
        <v>5</v>
      </c>
      <c r="S4" s="321">
        <f t="shared" si="0"/>
        <v>21</v>
      </c>
      <c r="T4" s="321">
        <f t="shared" ca="1" si="1"/>
        <v>97</v>
      </c>
      <c r="U4" s="377"/>
      <c r="V4" s="321" t="str">
        <f t="shared" ref="V4:W19" si="16">V3</f>
        <v>S. Candela</v>
      </c>
      <c r="W4" s="375">
        <f t="shared" si="16"/>
        <v>5</v>
      </c>
      <c r="X4" s="321">
        <f t="shared" si="2"/>
        <v>21</v>
      </c>
      <c r="Y4" s="321">
        <f t="shared" ca="1" si="3"/>
        <v>97</v>
      </c>
      <c r="Z4" s="377"/>
    </row>
    <row r="5" spans="1:26" x14ac:dyDescent="0.25">
      <c r="A5" s="373">
        <f t="shared" si="4"/>
        <v>43692</v>
      </c>
      <c r="B5" s="374">
        <v>3</v>
      </c>
      <c r="C5" s="321" t="str">
        <f t="shared" si="5"/>
        <v>E. Tarrida</v>
      </c>
      <c r="D5" s="375">
        <v>5.5</v>
      </c>
      <c r="E5" s="321">
        <f t="shared" si="6"/>
        <v>18</v>
      </c>
      <c r="F5" s="376">
        <f t="shared" ca="1" si="7"/>
        <v>113</v>
      </c>
      <c r="G5" s="321" t="str">
        <f t="shared" si="8"/>
        <v>J. Poblet</v>
      </c>
      <c r="H5" s="375">
        <v>7.75</v>
      </c>
      <c r="I5" s="321">
        <f t="shared" si="9"/>
        <v>27</v>
      </c>
      <c r="J5" s="321">
        <f t="shared" ca="1" si="10"/>
        <v>92</v>
      </c>
      <c r="K5" s="377"/>
      <c r="L5" s="321" t="str">
        <f t="shared" si="11"/>
        <v>S. Candela</v>
      </c>
      <c r="M5" s="375">
        <v>6</v>
      </c>
      <c r="N5" s="321">
        <f t="shared" si="12"/>
        <v>21</v>
      </c>
      <c r="O5" s="321">
        <f t="shared" ca="1" si="13"/>
        <v>104</v>
      </c>
      <c r="P5" s="377">
        <v>15000</v>
      </c>
      <c r="Q5" s="321" t="str">
        <f t="shared" si="14"/>
        <v>S. Candela</v>
      </c>
      <c r="R5" s="375">
        <f t="shared" si="15"/>
        <v>5</v>
      </c>
      <c r="S5" s="321">
        <f t="shared" si="0"/>
        <v>21</v>
      </c>
      <c r="T5" s="321">
        <f t="shared" ca="1" si="1"/>
        <v>104</v>
      </c>
      <c r="U5" s="377"/>
      <c r="V5" s="321" t="str">
        <f t="shared" si="16"/>
        <v>S. Candela</v>
      </c>
      <c r="W5" s="375">
        <f t="shared" si="16"/>
        <v>5</v>
      </c>
      <c r="X5" s="321">
        <f t="shared" si="2"/>
        <v>21</v>
      </c>
      <c r="Y5" s="321">
        <f t="shared" ca="1" si="3"/>
        <v>104</v>
      </c>
      <c r="Z5" s="377"/>
    </row>
    <row r="6" spans="1:26" x14ac:dyDescent="0.25">
      <c r="A6" s="373">
        <f t="shared" si="4"/>
        <v>43699</v>
      </c>
      <c r="B6" s="374">
        <v>4</v>
      </c>
      <c r="C6" s="321" t="str">
        <f t="shared" si="5"/>
        <v>E. Tarrida</v>
      </c>
      <c r="D6" s="375">
        <v>6</v>
      </c>
      <c r="E6" s="321">
        <f t="shared" si="6"/>
        <v>18</v>
      </c>
      <c r="F6" s="376">
        <f t="shared" ca="1" si="7"/>
        <v>120</v>
      </c>
      <c r="G6" s="372" t="str">
        <f t="shared" si="8"/>
        <v>J. Poblet</v>
      </c>
      <c r="H6" s="386">
        <v>8</v>
      </c>
      <c r="I6" s="372">
        <f t="shared" si="9"/>
        <v>27</v>
      </c>
      <c r="J6" s="372">
        <f t="shared" ca="1" si="10"/>
        <v>99</v>
      </c>
      <c r="K6" s="387">
        <v>820000</v>
      </c>
      <c r="L6" s="321" t="str">
        <f t="shared" si="11"/>
        <v>S. Candela</v>
      </c>
      <c r="M6" s="375">
        <v>6.5</v>
      </c>
      <c r="N6" s="321">
        <f t="shared" si="12"/>
        <v>21</v>
      </c>
      <c r="O6" s="321">
        <f t="shared" ca="1" si="13"/>
        <v>111</v>
      </c>
      <c r="P6" s="377"/>
      <c r="Q6" s="321" t="str">
        <f t="shared" si="14"/>
        <v>S. Candela</v>
      </c>
      <c r="R6" s="375">
        <f t="shared" si="15"/>
        <v>5</v>
      </c>
      <c r="S6" s="321">
        <f t="shared" si="0"/>
        <v>21</v>
      </c>
      <c r="T6" s="321">
        <f t="shared" ca="1" si="1"/>
        <v>111</v>
      </c>
      <c r="U6" s="377"/>
      <c r="V6" s="321" t="str">
        <f t="shared" si="16"/>
        <v>S. Candela</v>
      </c>
      <c r="W6" s="375">
        <f t="shared" si="16"/>
        <v>5</v>
      </c>
      <c r="X6" s="321">
        <f t="shared" si="2"/>
        <v>21</v>
      </c>
      <c r="Y6" s="321">
        <f t="shared" ca="1" si="3"/>
        <v>111</v>
      </c>
      <c r="Z6" s="377"/>
    </row>
    <row r="7" spans="1:26" x14ac:dyDescent="0.25">
      <c r="A7" s="373">
        <f t="shared" si="4"/>
        <v>43706</v>
      </c>
      <c r="B7" s="374">
        <v>5</v>
      </c>
      <c r="C7" s="321" t="str">
        <f t="shared" si="5"/>
        <v>E. Tarrida</v>
      </c>
      <c r="D7" s="375">
        <v>6.5</v>
      </c>
      <c r="E7" s="321">
        <f t="shared" si="6"/>
        <v>18</v>
      </c>
      <c r="F7" s="376">
        <f t="shared" ca="1" si="7"/>
        <v>127</v>
      </c>
      <c r="G7" s="321" t="str">
        <f t="shared" si="8"/>
        <v>J. Poblet</v>
      </c>
      <c r="H7" s="375">
        <v>8.33</v>
      </c>
      <c r="I7" s="321">
        <f t="shared" si="9"/>
        <v>27</v>
      </c>
      <c r="J7" s="321">
        <f t="shared" ca="1" si="10"/>
        <v>106</v>
      </c>
      <c r="K7" s="377"/>
      <c r="L7" s="321" t="str">
        <f t="shared" si="11"/>
        <v>S. Candela</v>
      </c>
      <c r="M7" s="375">
        <v>7</v>
      </c>
      <c r="N7" s="321">
        <f t="shared" si="12"/>
        <v>21</v>
      </c>
      <c r="O7" s="321">
        <f t="shared" ca="1" si="13"/>
        <v>118</v>
      </c>
      <c r="P7" s="377">
        <v>318000</v>
      </c>
      <c r="Q7" s="321" t="str">
        <f t="shared" si="14"/>
        <v>S. Candela</v>
      </c>
      <c r="R7" s="375">
        <f t="shared" si="15"/>
        <v>5</v>
      </c>
      <c r="S7" s="321">
        <f t="shared" si="0"/>
        <v>21</v>
      </c>
      <c r="T7" s="321">
        <f t="shared" ca="1" si="1"/>
        <v>118</v>
      </c>
      <c r="U7" s="377"/>
      <c r="V7" s="321" t="str">
        <f t="shared" si="16"/>
        <v>S. Candela</v>
      </c>
      <c r="W7" s="375">
        <f t="shared" si="16"/>
        <v>5</v>
      </c>
      <c r="X7" s="321">
        <f t="shared" si="2"/>
        <v>21</v>
      </c>
      <c r="Y7" s="321">
        <f t="shared" ca="1" si="3"/>
        <v>118</v>
      </c>
      <c r="Z7" s="377"/>
    </row>
    <row r="8" spans="1:26" x14ac:dyDescent="0.25">
      <c r="A8" s="373">
        <f t="shared" si="4"/>
        <v>43713</v>
      </c>
      <c r="B8" s="374">
        <v>6</v>
      </c>
      <c r="C8" s="321" t="str">
        <f t="shared" si="5"/>
        <v>E. Tarrida</v>
      </c>
      <c r="D8" s="375">
        <v>7</v>
      </c>
      <c r="E8" s="321">
        <f t="shared" si="6"/>
        <v>18</v>
      </c>
      <c r="F8" s="376">
        <f t="shared" ca="1" si="7"/>
        <v>134</v>
      </c>
      <c r="G8" s="321" t="str">
        <f t="shared" si="8"/>
        <v>J. Poblet</v>
      </c>
      <c r="H8" s="375">
        <v>8.66</v>
      </c>
      <c r="I8" s="321">
        <f t="shared" si="9"/>
        <v>27</v>
      </c>
      <c r="J8" s="321">
        <f t="shared" ca="1" si="10"/>
        <v>113</v>
      </c>
      <c r="K8" s="377"/>
      <c r="L8" s="321" t="str">
        <f t="shared" si="11"/>
        <v>S. Candela</v>
      </c>
      <c r="M8" s="375">
        <v>7.33</v>
      </c>
      <c r="N8" s="321">
        <f t="shared" si="12"/>
        <v>21</v>
      </c>
      <c r="O8" s="321">
        <f t="shared" ca="1" si="13"/>
        <v>125</v>
      </c>
      <c r="P8" s="377"/>
      <c r="Q8" s="321" t="str">
        <f t="shared" si="14"/>
        <v>S. Candela</v>
      </c>
      <c r="R8" s="375">
        <f t="shared" si="15"/>
        <v>5</v>
      </c>
      <c r="S8" s="321">
        <f t="shared" si="0"/>
        <v>21</v>
      </c>
      <c r="T8" s="321">
        <f t="shared" ca="1" si="1"/>
        <v>125</v>
      </c>
      <c r="U8" s="377"/>
      <c r="V8" s="321" t="str">
        <f t="shared" si="16"/>
        <v>S. Candela</v>
      </c>
      <c r="W8" s="375">
        <f t="shared" si="16"/>
        <v>5</v>
      </c>
      <c r="X8" s="321">
        <f t="shared" si="2"/>
        <v>21</v>
      </c>
      <c r="Y8" s="321">
        <f t="shared" ca="1" si="3"/>
        <v>125</v>
      </c>
      <c r="Z8" s="377"/>
    </row>
    <row r="9" spans="1:26" x14ac:dyDescent="0.25">
      <c r="A9" s="373">
        <f t="shared" si="4"/>
        <v>43720</v>
      </c>
      <c r="B9" s="374">
        <v>7</v>
      </c>
      <c r="C9" s="321" t="str">
        <f t="shared" si="5"/>
        <v>E. Tarrida</v>
      </c>
      <c r="D9" s="375">
        <v>7.33</v>
      </c>
      <c r="E9" s="321">
        <v>19</v>
      </c>
      <c r="F9" s="376">
        <f ca="1">F8+7-112</f>
        <v>29</v>
      </c>
      <c r="G9" s="372" t="str">
        <f t="shared" si="8"/>
        <v>J. Poblet</v>
      </c>
      <c r="H9" s="386">
        <v>9</v>
      </c>
      <c r="I9" s="372">
        <f t="shared" si="9"/>
        <v>27</v>
      </c>
      <c r="J9" s="372">
        <f t="shared" ca="1" si="10"/>
        <v>120</v>
      </c>
      <c r="K9" s="387">
        <v>1400000</v>
      </c>
      <c r="L9" s="321" t="str">
        <f t="shared" si="11"/>
        <v>S. Candela</v>
      </c>
      <c r="M9" s="375">
        <v>7.66</v>
      </c>
      <c r="N9" s="321">
        <f t="shared" si="12"/>
        <v>21</v>
      </c>
      <c r="O9" s="321">
        <f t="shared" ca="1" si="13"/>
        <v>132</v>
      </c>
      <c r="P9" s="377"/>
      <c r="Q9" s="321" t="str">
        <f t="shared" si="14"/>
        <v>S. Candela</v>
      </c>
      <c r="R9" s="375">
        <f t="shared" si="15"/>
        <v>5</v>
      </c>
      <c r="S9" s="321">
        <f t="shared" si="0"/>
        <v>21</v>
      </c>
      <c r="T9" s="321">
        <f t="shared" ca="1" si="1"/>
        <v>132</v>
      </c>
      <c r="U9" s="377"/>
      <c r="V9" s="321" t="str">
        <f t="shared" si="16"/>
        <v>S. Candela</v>
      </c>
      <c r="W9" s="375">
        <f t="shared" ref="W9" si="17">W8</f>
        <v>5</v>
      </c>
      <c r="X9" s="321">
        <f t="shared" si="2"/>
        <v>21</v>
      </c>
      <c r="Y9" s="321">
        <f t="shared" ca="1" si="3"/>
        <v>132</v>
      </c>
      <c r="Z9" s="377"/>
    </row>
    <row r="10" spans="1:26" x14ac:dyDescent="0.25">
      <c r="A10" s="373">
        <f t="shared" si="4"/>
        <v>43727</v>
      </c>
      <c r="B10" s="374">
        <v>8</v>
      </c>
      <c r="C10" s="321" t="str">
        <f t="shared" si="5"/>
        <v>E. Tarrida</v>
      </c>
      <c r="D10" s="375">
        <v>7.66</v>
      </c>
      <c r="E10" s="321">
        <f>E9</f>
        <v>19</v>
      </c>
      <c r="F10" s="376">
        <f t="shared" ca="1" si="7"/>
        <v>36</v>
      </c>
      <c r="G10" s="321" t="str">
        <f t="shared" si="8"/>
        <v>J. Poblet</v>
      </c>
      <c r="H10" s="375">
        <v>9.1999999999999993</v>
      </c>
      <c r="I10" s="321">
        <f t="shared" si="9"/>
        <v>27</v>
      </c>
      <c r="J10" s="321">
        <f t="shared" ca="1" si="10"/>
        <v>127</v>
      </c>
      <c r="K10" s="377"/>
      <c r="L10" s="321" t="str">
        <f t="shared" si="11"/>
        <v>S. Candela</v>
      </c>
      <c r="M10" s="375">
        <v>8</v>
      </c>
      <c r="N10" s="321">
        <v>22</v>
      </c>
      <c r="O10" s="321">
        <f ca="1">O9+7-112</f>
        <v>27</v>
      </c>
      <c r="P10" s="377">
        <v>875000</v>
      </c>
      <c r="Q10" s="321" t="str">
        <f t="shared" si="14"/>
        <v>S. Candela</v>
      </c>
      <c r="R10" s="375">
        <v>5.4</v>
      </c>
      <c r="S10" s="321">
        <f t="shared" si="0"/>
        <v>22</v>
      </c>
      <c r="T10" s="321">
        <f t="shared" ca="1" si="1"/>
        <v>27</v>
      </c>
      <c r="U10" s="377"/>
      <c r="V10" s="321" t="str">
        <f t="shared" si="16"/>
        <v>S. Candela</v>
      </c>
      <c r="W10" s="375">
        <f t="shared" ref="W10" si="18">W9</f>
        <v>5</v>
      </c>
      <c r="X10" s="321">
        <f t="shared" si="2"/>
        <v>22</v>
      </c>
      <c r="Y10" s="321">
        <f t="shared" ca="1" si="3"/>
        <v>27</v>
      </c>
      <c r="Z10" s="377"/>
    </row>
    <row r="11" spans="1:26" x14ac:dyDescent="0.25">
      <c r="A11" s="373">
        <f t="shared" si="4"/>
        <v>43734</v>
      </c>
      <c r="B11" s="374">
        <v>9</v>
      </c>
      <c r="C11" s="321" t="str">
        <f t="shared" si="5"/>
        <v>E. Tarrida</v>
      </c>
      <c r="D11" s="375">
        <v>8</v>
      </c>
      <c r="E11" s="321">
        <f t="shared" ref="E11:E27" si="19">E10</f>
        <v>19</v>
      </c>
      <c r="F11" s="376">
        <f t="shared" ca="1" si="7"/>
        <v>43</v>
      </c>
      <c r="G11" s="321" t="str">
        <f t="shared" si="8"/>
        <v>J. Poblet</v>
      </c>
      <c r="H11" s="375">
        <v>9.4</v>
      </c>
      <c r="I11" s="321">
        <f t="shared" si="9"/>
        <v>27</v>
      </c>
      <c r="J11" s="321">
        <f t="shared" ca="1" si="10"/>
        <v>134</v>
      </c>
      <c r="K11" s="377"/>
      <c r="L11" s="321" t="str">
        <f t="shared" si="11"/>
        <v>S. Candela</v>
      </c>
      <c r="M11" s="375">
        <v>8.25</v>
      </c>
      <c r="N11" s="321">
        <f t="shared" si="12"/>
        <v>22</v>
      </c>
      <c r="O11" s="321">
        <f t="shared" ca="1" si="13"/>
        <v>34</v>
      </c>
      <c r="P11" s="377"/>
      <c r="Q11" s="321" t="str">
        <f t="shared" si="14"/>
        <v>S. Candela</v>
      </c>
      <c r="R11" s="375">
        <v>5.75</v>
      </c>
      <c r="S11" s="321">
        <f t="shared" si="0"/>
        <v>22</v>
      </c>
      <c r="T11" s="321">
        <f t="shared" ca="1" si="1"/>
        <v>34</v>
      </c>
      <c r="U11" s="377"/>
      <c r="V11" s="321" t="str">
        <f t="shared" si="16"/>
        <v>S. Candela</v>
      </c>
      <c r="W11" s="375">
        <f t="shared" ref="W11" si="20">W10</f>
        <v>5</v>
      </c>
      <c r="X11" s="321">
        <f t="shared" si="2"/>
        <v>22</v>
      </c>
      <c r="Y11" s="321">
        <f t="shared" ca="1" si="3"/>
        <v>34</v>
      </c>
      <c r="Z11" s="377"/>
    </row>
    <row r="12" spans="1:26" x14ac:dyDescent="0.25">
      <c r="A12" s="373">
        <f t="shared" si="4"/>
        <v>43741</v>
      </c>
      <c r="B12" s="374">
        <v>10</v>
      </c>
      <c r="C12" s="321" t="str">
        <f t="shared" si="5"/>
        <v>E. Tarrida</v>
      </c>
      <c r="D12" s="375">
        <v>8.33</v>
      </c>
      <c r="E12" s="321">
        <f t="shared" si="19"/>
        <v>19</v>
      </c>
      <c r="F12" s="376">
        <f t="shared" ca="1" si="7"/>
        <v>50</v>
      </c>
      <c r="G12" s="321" t="str">
        <f t="shared" si="8"/>
        <v>J. Poblet</v>
      </c>
      <c r="H12" s="375">
        <v>9.6</v>
      </c>
      <c r="I12" s="321">
        <v>28</v>
      </c>
      <c r="J12" s="321">
        <f ca="1">J11+7-112</f>
        <v>29</v>
      </c>
      <c r="K12" s="377"/>
      <c r="L12" s="321" t="str">
        <f t="shared" si="11"/>
        <v>S. Candela</v>
      </c>
      <c r="M12" s="375">
        <v>8.5</v>
      </c>
      <c r="N12" s="321">
        <f t="shared" si="12"/>
        <v>22</v>
      </c>
      <c r="O12" s="321">
        <f t="shared" ca="1" si="13"/>
        <v>41</v>
      </c>
      <c r="P12" s="377"/>
      <c r="Q12" s="321" t="str">
        <f t="shared" si="14"/>
        <v>S. Candela</v>
      </c>
      <c r="R12" s="375">
        <v>6</v>
      </c>
      <c r="S12" s="321">
        <f t="shared" si="0"/>
        <v>22</v>
      </c>
      <c r="T12" s="321">
        <f t="shared" ca="1" si="1"/>
        <v>41</v>
      </c>
      <c r="U12" s="377">
        <v>35000</v>
      </c>
      <c r="V12" s="321" t="str">
        <f t="shared" si="16"/>
        <v>S. Candela</v>
      </c>
      <c r="W12" s="375">
        <f t="shared" ref="W12" si="21">W11</f>
        <v>5</v>
      </c>
      <c r="X12" s="321">
        <f t="shared" si="2"/>
        <v>22</v>
      </c>
      <c r="Y12" s="321">
        <f t="shared" ca="1" si="3"/>
        <v>41</v>
      </c>
      <c r="Z12" s="377"/>
    </row>
    <row r="13" spans="1:26" x14ac:dyDescent="0.25">
      <c r="A13" s="373">
        <f t="shared" si="4"/>
        <v>43748</v>
      </c>
      <c r="B13" s="374">
        <v>11</v>
      </c>
      <c r="C13" s="321" t="str">
        <f t="shared" si="5"/>
        <v>E. Tarrida</v>
      </c>
      <c r="D13" s="375">
        <v>8.66</v>
      </c>
      <c r="E13" s="321">
        <f t="shared" si="19"/>
        <v>19</v>
      </c>
      <c r="F13" s="376">
        <f t="shared" ca="1" si="7"/>
        <v>57</v>
      </c>
      <c r="G13" s="321" t="str">
        <f t="shared" si="8"/>
        <v>J. Poblet</v>
      </c>
      <c r="H13" s="375">
        <v>9.8000000000000007</v>
      </c>
      <c r="I13" s="321">
        <f t="shared" si="9"/>
        <v>28</v>
      </c>
      <c r="J13" s="321">
        <f t="shared" ca="1" si="10"/>
        <v>36</v>
      </c>
      <c r="K13" s="377"/>
      <c r="L13" s="321" t="str">
        <f t="shared" si="11"/>
        <v>S. Candela</v>
      </c>
      <c r="M13" s="375">
        <v>8.75</v>
      </c>
      <c r="N13" s="321">
        <f t="shared" si="12"/>
        <v>22</v>
      </c>
      <c r="O13" s="321">
        <f t="shared" ca="1" si="13"/>
        <v>48</v>
      </c>
      <c r="P13" s="377"/>
      <c r="Q13" s="321" t="str">
        <f t="shared" si="14"/>
        <v>S. Candela</v>
      </c>
      <c r="R13" s="375">
        <v>6.5</v>
      </c>
      <c r="S13" s="321">
        <f t="shared" si="0"/>
        <v>22</v>
      </c>
      <c r="T13" s="321">
        <f t="shared" ca="1" si="1"/>
        <v>48</v>
      </c>
      <c r="U13" s="377"/>
      <c r="V13" s="321" t="str">
        <f t="shared" si="16"/>
        <v>S. Candela</v>
      </c>
      <c r="W13" s="375">
        <f t="shared" ref="W13" si="22">W12</f>
        <v>5</v>
      </c>
      <c r="X13" s="321">
        <f t="shared" si="2"/>
        <v>22</v>
      </c>
      <c r="Y13" s="321">
        <f t="shared" ca="1" si="3"/>
        <v>48</v>
      </c>
      <c r="Z13" s="377"/>
    </row>
    <row r="14" spans="1:26" x14ac:dyDescent="0.25">
      <c r="A14" s="373">
        <f t="shared" si="4"/>
        <v>43755</v>
      </c>
      <c r="B14" s="374">
        <v>12</v>
      </c>
      <c r="C14" s="321" t="str">
        <f t="shared" si="5"/>
        <v>E. Tarrida</v>
      </c>
      <c r="D14" s="375">
        <v>9</v>
      </c>
      <c r="E14" s="321">
        <f t="shared" si="19"/>
        <v>19</v>
      </c>
      <c r="F14" s="376">
        <f t="shared" ca="1" si="7"/>
        <v>64</v>
      </c>
      <c r="G14" s="372" t="str">
        <f t="shared" si="8"/>
        <v>J. Poblet</v>
      </c>
      <c r="H14" s="386">
        <v>10</v>
      </c>
      <c r="I14" s="372">
        <f t="shared" si="9"/>
        <v>28</v>
      </c>
      <c r="J14" s="372">
        <f t="shared" ca="1" si="10"/>
        <v>43</v>
      </c>
      <c r="K14" s="387">
        <v>1890000</v>
      </c>
      <c r="L14" s="321" t="str">
        <f t="shared" si="11"/>
        <v>S. Candela</v>
      </c>
      <c r="M14" s="375">
        <v>9</v>
      </c>
      <c r="N14" s="321">
        <f t="shared" si="12"/>
        <v>22</v>
      </c>
      <c r="O14" s="321">
        <f t="shared" ca="1" si="13"/>
        <v>55</v>
      </c>
      <c r="P14" s="377">
        <v>1775000</v>
      </c>
      <c r="Q14" s="321" t="str">
        <f t="shared" si="14"/>
        <v>S. Candela</v>
      </c>
      <c r="R14" s="375">
        <v>7</v>
      </c>
      <c r="S14" s="321">
        <f t="shared" si="0"/>
        <v>22</v>
      </c>
      <c r="T14" s="321">
        <f t="shared" ca="1" si="1"/>
        <v>55</v>
      </c>
      <c r="U14" s="377">
        <v>380000</v>
      </c>
      <c r="V14" s="321" t="str">
        <f t="shared" si="16"/>
        <v>S. Candela</v>
      </c>
      <c r="W14" s="375">
        <f t="shared" ref="W14" si="23">W13</f>
        <v>5</v>
      </c>
      <c r="X14" s="321">
        <f t="shared" si="2"/>
        <v>22</v>
      </c>
      <c r="Y14" s="321">
        <f t="shared" ca="1" si="3"/>
        <v>55</v>
      </c>
      <c r="Z14" s="377"/>
    </row>
    <row r="15" spans="1:26" x14ac:dyDescent="0.25">
      <c r="A15" s="373">
        <f t="shared" si="4"/>
        <v>43762</v>
      </c>
      <c r="B15" s="374">
        <v>13</v>
      </c>
      <c r="C15" s="321" t="str">
        <f t="shared" si="5"/>
        <v>E. Tarrida</v>
      </c>
      <c r="D15" s="375">
        <v>9.25</v>
      </c>
      <c r="E15" s="321">
        <f t="shared" si="19"/>
        <v>19</v>
      </c>
      <c r="F15" s="376">
        <f t="shared" ca="1" si="7"/>
        <v>71</v>
      </c>
      <c r="G15" s="321" t="str">
        <f t="shared" si="8"/>
        <v>J. Poblet</v>
      </c>
      <c r="H15" s="375">
        <v>10.199999999999999</v>
      </c>
      <c r="I15" s="321">
        <f t="shared" si="9"/>
        <v>28</v>
      </c>
      <c r="J15" s="321">
        <f t="shared" ca="1" si="10"/>
        <v>50</v>
      </c>
      <c r="K15" s="377"/>
      <c r="L15" s="321" t="str">
        <f t="shared" si="11"/>
        <v>S. Candela</v>
      </c>
      <c r="M15" s="375">
        <v>9.25</v>
      </c>
      <c r="N15" s="321">
        <f t="shared" si="12"/>
        <v>22</v>
      </c>
      <c r="O15" s="321">
        <f t="shared" ca="1" si="13"/>
        <v>62</v>
      </c>
      <c r="P15" s="377"/>
      <c r="Q15" s="321" t="str">
        <f t="shared" si="14"/>
        <v>S. Candela</v>
      </c>
      <c r="R15" s="375">
        <v>7.33</v>
      </c>
      <c r="S15" s="321">
        <f t="shared" si="0"/>
        <v>22</v>
      </c>
      <c r="T15" s="321">
        <f t="shared" ca="1" si="1"/>
        <v>62</v>
      </c>
      <c r="U15" s="377"/>
      <c r="V15" s="321" t="str">
        <f t="shared" si="16"/>
        <v>S. Candela</v>
      </c>
      <c r="W15" s="375">
        <v>5.4</v>
      </c>
      <c r="X15" s="321">
        <f t="shared" si="2"/>
        <v>22</v>
      </c>
      <c r="Y15" s="321">
        <f t="shared" ca="1" si="3"/>
        <v>62</v>
      </c>
      <c r="Z15" s="377"/>
    </row>
    <row r="16" spans="1:26" x14ac:dyDescent="0.25">
      <c r="A16" s="373">
        <f t="shared" si="4"/>
        <v>43769</v>
      </c>
      <c r="B16" s="374">
        <v>14</v>
      </c>
      <c r="C16" s="321" t="str">
        <f t="shared" si="5"/>
        <v>E. Tarrida</v>
      </c>
      <c r="D16" s="375">
        <v>9.5</v>
      </c>
      <c r="E16" s="321">
        <f t="shared" si="19"/>
        <v>19</v>
      </c>
      <c r="F16" s="376">
        <f t="shared" ca="1" si="7"/>
        <v>78</v>
      </c>
      <c r="G16" s="321" t="str">
        <f t="shared" si="8"/>
        <v>J. Poblet</v>
      </c>
      <c r="H16" s="375">
        <v>10.4</v>
      </c>
      <c r="I16" s="321">
        <f t="shared" si="9"/>
        <v>28</v>
      </c>
      <c r="J16" s="321">
        <f t="shared" ca="1" si="10"/>
        <v>57</v>
      </c>
      <c r="K16" s="377"/>
      <c r="L16" s="321" t="str">
        <f t="shared" si="11"/>
        <v>S. Candela</v>
      </c>
      <c r="M16" s="375">
        <v>9.5</v>
      </c>
      <c r="N16" s="321">
        <f t="shared" si="12"/>
        <v>22</v>
      </c>
      <c r="O16" s="321">
        <f t="shared" ca="1" si="13"/>
        <v>69</v>
      </c>
      <c r="P16" s="377"/>
      <c r="Q16" s="321" t="str">
        <f t="shared" si="14"/>
        <v>S. Candela</v>
      </c>
      <c r="R16" s="375">
        <v>7.66</v>
      </c>
      <c r="S16" s="321">
        <f t="shared" si="0"/>
        <v>22</v>
      </c>
      <c r="T16" s="321">
        <f t="shared" ca="1" si="1"/>
        <v>69</v>
      </c>
      <c r="U16" s="377"/>
      <c r="V16" s="321" t="str">
        <f t="shared" si="16"/>
        <v>S. Candela</v>
      </c>
      <c r="W16" s="375">
        <v>5.75</v>
      </c>
      <c r="X16" s="321">
        <f t="shared" si="2"/>
        <v>22</v>
      </c>
      <c r="Y16" s="321">
        <f t="shared" ca="1" si="3"/>
        <v>69</v>
      </c>
      <c r="Z16" s="377"/>
    </row>
    <row r="17" spans="1:26" x14ac:dyDescent="0.25">
      <c r="A17" s="373">
        <f t="shared" si="4"/>
        <v>43776</v>
      </c>
      <c r="B17" s="374">
        <v>15</v>
      </c>
      <c r="C17" s="321" t="str">
        <f t="shared" si="5"/>
        <v>E. Tarrida</v>
      </c>
      <c r="D17" s="375">
        <v>9.75</v>
      </c>
      <c r="E17" s="321">
        <f t="shared" si="19"/>
        <v>19</v>
      </c>
      <c r="F17" s="376">
        <f t="shared" ca="1" si="7"/>
        <v>85</v>
      </c>
      <c r="G17" s="321" t="str">
        <f t="shared" si="8"/>
        <v>J. Poblet</v>
      </c>
      <c r="H17" s="375">
        <v>10.6</v>
      </c>
      <c r="I17" s="321">
        <f t="shared" si="9"/>
        <v>28</v>
      </c>
      <c r="J17" s="321">
        <f t="shared" ca="1" si="10"/>
        <v>64</v>
      </c>
      <c r="K17" s="377"/>
      <c r="L17" s="321" t="str">
        <f t="shared" si="11"/>
        <v>S. Candela</v>
      </c>
      <c r="M17" s="375">
        <v>9.75</v>
      </c>
      <c r="N17" s="321">
        <f t="shared" si="12"/>
        <v>22</v>
      </c>
      <c r="O17" s="321">
        <f t="shared" ca="1" si="13"/>
        <v>76</v>
      </c>
      <c r="P17" s="377"/>
      <c r="Q17" s="321" t="str">
        <f t="shared" si="14"/>
        <v>S. Candela</v>
      </c>
      <c r="R17" s="375">
        <v>8</v>
      </c>
      <c r="S17" s="321">
        <f t="shared" si="0"/>
        <v>22</v>
      </c>
      <c r="T17" s="321">
        <f t="shared" ca="1" si="1"/>
        <v>76</v>
      </c>
      <c r="U17" s="377">
        <v>875000</v>
      </c>
      <c r="V17" s="321" t="str">
        <f t="shared" si="16"/>
        <v>S. Candela</v>
      </c>
      <c r="W17" s="375">
        <v>6</v>
      </c>
      <c r="X17" s="321">
        <f t="shared" si="2"/>
        <v>22</v>
      </c>
      <c r="Y17" s="321">
        <f t="shared" ca="1" si="3"/>
        <v>76</v>
      </c>
      <c r="Z17" s="377">
        <v>35000</v>
      </c>
    </row>
    <row r="18" spans="1:26" x14ac:dyDescent="0.25">
      <c r="A18" s="373">
        <f t="shared" ref="A18:A28" si="24">A17+7</f>
        <v>43783</v>
      </c>
      <c r="B18" s="374">
        <v>16</v>
      </c>
      <c r="C18" s="321" t="str">
        <f t="shared" si="5"/>
        <v>E. Tarrida</v>
      </c>
      <c r="D18" s="375">
        <v>10</v>
      </c>
      <c r="E18" s="321">
        <f t="shared" si="19"/>
        <v>19</v>
      </c>
      <c r="F18" s="376">
        <f t="shared" ca="1" si="7"/>
        <v>92</v>
      </c>
      <c r="G18" s="321" t="str">
        <f t="shared" si="8"/>
        <v>J. Poblet</v>
      </c>
      <c r="H18" s="375">
        <v>10.8</v>
      </c>
      <c r="I18" s="321">
        <f t="shared" si="9"/>
        <v>28</v>
      </c>
      <c r="J18" s="321">
        <f t="shared" ca="1" si="10"/>
        <v>71</v>
      </c>
      <c r="K18" s="377"/>
      <c r="L18" s="321" t="str">
        <f t="shared" si="11"/>
        <v>S. Candela</v>
      </c>
      <c r="M18" s="375">
        <v>10</v>
      </c>
      <c r="N18" s="321">
        <f t="shared" si="12"/>
        <v>22</v>
      </c>
      <c r="O18" s="321">
        <f t="shared" ca="1" si="13"/>
        <v>83</v>
      </c>
      <c r="P18" s="377">
        <v>2200000</v>
      </c>
      <c r="Q18" s="321" t="str">
        <f t="shared" si="14"/>
        <v>S. Candela</v>
      </c>
      <c r="R18" s="375">
        <v>8.25</v>
      </c>
      <c r="S18" s="321">
        <f t="shared" si="0"/>
        <v>22</v>
      </c>
      <c r="T18" s="321">
        <f t="shared" ca="1" si="1"/>
        <v>83</v>
      </c>
      <c r="U18" s="377"/>
      <c r="V18" s="321" t="str">
        <f t="shared" si="16"/>
        <v>S. Candela</v>
      </c>
      <c r="W18" s="375">
        <v>6.5</v>
      </c>
      <c r="X18" s="321">
        <f t="shared" si="2"/>
        <v>22</v>
      </c>
      <c r="Y18" s="321">
        <f t="shared" ca="1" si="3"/>
        <v>83</v>
      </c>
      <c r="Z18" s="377"/>
    </row>
    <row r="19" spans="1:26" x14ac:dyDescent="0.25">
      <c r="A19" s="373">
        <f t="shared" si="24"/>
        <v>43790</v>
      </c>
      <c r="B19" s="374">
        <v>17</v>
      </c>
      <c r="C19" s="321" t="str">
        <f t="shared" si="5"/>
        <v>E. Tarrida</v>
      </c>
      <c r="D19" s="375">
        <v>10.199999999999999</v>
      </c>
      <c r="E19" s="321">
        <f t="shared" si="19"/>
        <v>19</v>
      </c>
      <c r="F19" s="376">
        <f t="shared" ca="1" si="7"/>
        <v>99</v>
      </c>
      <c r="G19" s="321" t="str">
        <f t="shared" si="8"/>
        <v>J. Poblet</v>
      </c>
      <c r="H19" s="375">
        <v>11</v>
      </c>
      <c r="I19" s="321">
        <f t="shared" si="9"/>
        <v>28</v>
      </c>
      <c r="J19" s="321">
        <f t="shared" ca="1" si="10"/>
        <v>78</v>
      </c>
      <c r="K19" s="377">
        <v>2050000</v>
      </c>
      <c r="L19" s="321" t="str">
        <f t="shared" si="11"/>
        <v>S. Candela</v>
      </c>
      <c r="M19" s="375">
        <v>10.25</v>
      </c>
      <c r="N19" s="321">
        <f t="shared" si="12"/>
        <v>22</v>
      </c>
      <c r="O19" s="321">
        <f t="shared" ca="1" si="13"/>
        <v>90</v>
      </c>
      <c r="P19" s="377"/>
      <c r="Q19" s="321" t="str">
        <f t="shared" si="14"/>
        <v>S. Candela</v>
      </c>
      <c r="R19" s="375">
        <v>8.5</v>
      </c>
      <c r="S19" s="321">
        <f t="shared" si="0"/>
        <v>22</v>
      </c>
      <c r="T19" s="321">
        <f t="shared" ca="1" si="1"/>
        <v>90</v>
      </c>
      <c r="U19" s="377"/>
      <c r="V19" s="321" t="str">
        <f t="shared" si="16"/>
        <v>S. Candela</v>
      </c>
      <c r="W19" s="375">
        <v>7</v>
      </c>
      <c r="X19" s="321">
        <f t="shared" si="2"/>
        <v>22</v>
      </c>
      <c r="Y19" s="321">
        <f t="shared" ca="1" si="3"/>
        <v>90</v>
      </c>
      <c r="Z19" s="377">
        <v>380000</v>
      </c>
    </row>
    <row r="20" spans="1:26" x14ac:dyDescent="0.25">
      <c r="A20" s="373">
        <f t="shared" si="24"/>
        <v>43797</v>
      </c>
      <c r="B20" s="374">
        <v>18</v>
      </c>
      <c r="C20" s="321" t="str">
        <f t="shared" si="5"/>
        <v>E. Tarrida</v>
      </c>
      <c r="D20" s="375">
        <v>10.4</v>
      </c>
      <c r="E20" s="321">
        <f t="shared" si="19"/>
        <v>19</v>
      </c>
      <c r="F20" s="376">
        <f t="shared" ca="1" si="7"/>
        <v>106</v>
      </c>
      <c r="G20" s="321" t="str">
        <f t="shared" si="8"/>
        <v>J. Poblet</v>
      </c>
      <c r="H20" s="375">
        <f>11+1/6</f>
        <v>11.166666666666666</v>
      </c>
      <c r="I20" s="321">
        <f t="shared" si="9"/>
        <v>28</v>
      </c>
      <c r="J20" s="321">
        <f t="shared" ca="1" si="10"/>
        <v>85</v>
      </c>
      <c r="K20" s="377"/>
      <c r="L20" s="321" t="str">
        <f t="shared" si="11"/>
        <v>S. Candela</v>
      </c>
      <c r="M20" s="375">
        <v>10.5</v>
      </c>
      <c r="N20" s="321">
        <f t="shared" si="12"/>
        <v>22</v>
      </c>
      <c r="O20" s="321">
        <f t="shared" ca="1" si="13"/>
        <v>97</v>
      </c>
      <c r="P20" s="377"/>
      <c r="Q20" s="321" t="str">
        <f t="shared" si="14"/>
        <v>S. Candela</v>
      </c>
      <c r="R20" s="375">
        <v>8.75</v>
      </c>
      <c r="S20" s="321">
        <f t="shared" si="0"/>
        <v>22</v>
      </c>
      <c r="T20" s="321">
        <f t="shared" ca="1" si="1"/>
        <v>97</v>
      </c>
      <c r="U20" s="377"/>
      <c r="V20" s="321" t="str">
        <f t="shared" ref="V20:V28" si="25">V19</f>
        <v>S. Candela</v>
      </c>
      <c r="W20" s="375">
        <v>7.33</v>
      </c>
      <c r="X20" s="321">
        <f t="shared" si="2"/>
        <v>22</v>
      </c>
      <c r="Y20" s="321">
        <f t="shared" ca="1" si="3"/>
        <v>97</v>
      </c>
      <c r="Z20" s="377"/>
    </row>
    <row r="21" spans="1:26" x14ac:dyDescent="0.25">
      <c r="A21" s="373">
        <f t="shared" si="24"/>
        <v>43804</v>
      </c>
      <c r="B21" s="374">
        <v>19</v>
      </c>
      <c r="C21" s="321" t="str">
        <f t="shared" si="5"/>
        <v>E. Tarrida</v>
      </c>
      <c r="D21" s="375">
        <v>10.6</v>
      </c>
      <c r="E21" s="321">
        <f t="shared" si="19"/>
        <v>19</v>
      </c>
      <c r="F21" s="376">
        <f t="shared" ca="1" si="7"/>
        <v>113</v>
      </c>
      <c r="G21" s="321" t="str">
        <f t="shared" si="8"/>
        <v>J. Poblet</v>
      </c>
      <c r="H21" s="375">
        <f>11+2/6</f>
        <v>11.333333333333334</v>
      </c>
      <c r="I21" s="321">
        <f t="shared" si="9"/>
        <v>28</v>
      </c>
      <c r="J21" s="321">
        <f t="shared" ca="1" si="10"/>
        <v>92</v>
      </c>
      <c r="K21" s="377"/>
      <c r="L21" s="321" t="str">
        <f t="shared" si="11"/>
        <v>S. Candela</v>
      </c>
      <c r="M21" s="375">
        <v>10.75</v>
      </c>
      <c r="N21" s="321">
        <f t="shared" si="12"/>
        <v>22</v>
      </c>
      <c r="O21" s="321">
        <f t="shared" ca="1" si="13"/>
        <v>104</v>
      </c>
      <c r="P21" s="377"/>
      <c r="Q21" s="321" t="str">
        <f t="shared" si="14"/>
        <v>S. Candela</v>
      </c>
      <c r="R21" s="375">
        <v>9</v>
      </c>
      <c r="S21" s="321">
        <f t="shared" si="0"/>
        <v>22</v>
      </c>
      <c r="T21" s="321">
        <f t="shared" ca="1" si="1"/>
        <v>104</v>
      </c>
      <c r="U21" s="377">
        <v>1775000</v>
      </c>
      <c r="V21" s="321" t="str">
        <f t="shared" si="25"/>
        <v>S. Candela</v>
      </c>
      <c r="W21" s="375">
        <v>7.66</v>
      </c>
      <c r="X21" s="321">
        <f t="shared" si="2"/>
        <v>22</v>
      </c>
      <c r="Y21" s="321">
        <f t="shared" ca="1" si="3"/>
        <v>104</v>
      </c>
      <c r="Z21" s="377"/>
    </row>
    <row r="22" spans="1:26" x14ac:dyDescent="0.25">
      <c r="A22" s="373">
        <f t="shared" si="24"/>
        <v>43811</v>
      </c>
      <c r="B22" s="374">
        <v>20</v>
      </c>
      <c r="C22" s="321" t="str">
        <f t="shared" si="5"/>
        <v>E. Tarrida</v>
      </c>
      <c r="D22" s="375">
        <v>10.8</v>
      </c>
      <c r="E22" s="321">
        <f t="shared" si="19"/>
        <v>19</v>
      </c>
      <c r="F22" s="376">
        <f t="shared" ca="1" si="7"/>
        <v>120</v>
      </c>
      <c r="G22" s="321" t="str">
        <f t="shared" si="8"/>
        <v>J. Poblet</v>
      </c>
      <c r="H22" s="375">
        <f>11+3/6</f>
        <v>11.5</v>
      </c>
      <c r="I22" s="321">
        <f t="shared" si="9"/>
        <v>28</v>
      </c>
      <c r="J22" s="321">
        <f t="shared" ca="1" si="10"/>
        <v>99</v>
      </c>
      <c r="K22" s="377"/>
      <c r="L22" s="321" t="str">
        <f t="shared" si="11"/>
        <v>S. Candela</v>
      </c>
      <c r="M22" s="375">
        <v>11</v>
      </c>
      <c r="N22" s="321">
        <f t="shared" si="12"/>
        <v>22</v>
      </c>
      <c r="O22" s="321">
        <f t="shared" ca="1" si="13"/>
        <v>111</v>
      </c>
      <c r="P22" s="377">
        <v>3200000</v>
      </c>
      <c r="Q22" s="321" t="str">
        <f t="shared" si="14"/>
        <v>S. Candela</v>
      </c>
      <c r="R22" s="375">
        <v>9.25</v>
      </c>
      <c r="S22" s="321">
        <f t="shared" si="0"/>
        <v>22</v>
      </c>
      <c r="T22" s="321">
        <f t="shared" ca="1" si="1"/>
        <v>111</v>
      </c>
      <c r="U22" s="377"/>
      <c r="V22" s="321" t="str">
        <f t="shared" si="25"/>
        <v>S. Candela</v>
      </c>
      <c r="W22" s="375">
        <v>8</v>
      </c>
      <c r="X22" s="321">
        <f t="shared" si="2"/>
        <v>22</v>
      </c>
      <c r="Y22" s="321">
        <f t="shared" ca="1" si="3"/>
        <v>111</v>
      </c>
      <c r="Z22" s="377">
        <v>875000</v>
      </c>
    </row>
    <row r="23" spans="1:26" x14ac:dyDescent="0.25">
      <c r="A23" s="373">
        <f t="shared" si="24"/>
        <v>43818</v>
      </c>
      <c r="B23" s="374">
        <v>21</v>
      </c>
      <c r="C23" s="321" t="str">
        <f t="shared" si="5"/>
        <v>E. Tarrida</v>
      </c>
      <c r="D23" s="375">
        <v>11</v>
      </c>
      <c r="E23" s="321">
        <f t="shared" si="19"/>
        <v>19</v>
      </c>
      <c r="F23" s="376">
        <f t="shared" ca="1" si="7"/>
        <v>127</v>
      </c>
      <c r="G23" s="321" t="str">
        <f t="shared" si="8"/>
        <v>J. Poblet</v>
      </c>
      <c r="H23" s="375">
        <f>11+4/6</f>
        <v>11.666666666666666</v>
      </c>
      <c r="I23" s="321">
        <f t="shared" si="9"/>
        <v>28</v>
      </c>
      <c r="J23" s="321">
        <f t="shared" ca="1" si="10"/>
        <v>106</v>
      </c>
      <c r="K23" s="377"/>
      <c r="L23" s="321" t="str">
        <f t="shared" si="11"/>
        <v>S. Candela</v>
      </c>
      <c r="M23" s="375">
        <f>11+1/6</f>
        <v>11.166666666666666</v>
      </c>
      <c r="N23" s="321">
        <f t="shared" si="12"/>
        <v>22</v>
      </c>
      <c r="O23" s="321">
        <f t="shared" ca="1" si="13"/>
        <v>118</v>
      </c>
      <c r="P23" s="377"/>
      <c r="Q23" s="321" t="str">
        <f t="shared" si="14"/>
        <v>S. Candela</v>
      </c>
      <c r="R23" s="375">
        <v>9.5</v>
      </c>
      <c r="S23" s="321">
        <f t="shared" si="0"/>
        <v>22</v>
      </c>
      <c r="T23" s="321">
        <f t="shared" ca="1" si="1"/>
        <v>118</v>
      </c>
      <c r="U23" s="377"/>
      <c r="V23" s="321" t="str">
        <f t="shared" si="25"/>
        <v>S. Candela</v>
      </c>
      <c r="W23" s="375">
        <v>8.25</v>
      </c>
      <c r="X23" s="321">
        <f t="shared" si="2"/>
        <v>22</v>
      </c>
      <c r="Y23" s="321">
        <f t="shared" ca="1" si="3"/>
        <v>118</v>
      </c>
      <c r="Z23" s="377"/>
    </row>
    <row r="24" spans="1:26" x14ac:dyDescent="0.25">
      <c r="A24" s="373">
        <f t="shared" si="24"/>
        <v>43825</v>
      </c>
      <c r="B24" s="374">
        <v>22</v>
      </c>
      <c r="C24" s="321" t="str">
        <f t="shared" si="5"/>
        <v>E. Tarrida</v>
      </c>
      <c r="D24" s="375">
        <v>11.2</v>
      </c>
      <c r="E24" s="321">
        <f t="shared" si="19"/>
        <v>19</v>
      </c>
      <c r="F24" s="376">
        <f t="shared" ca="1" si="7"/>
        <v>134</v>
      </c>
      <c r="G24" s="321" t="str">
        <f t="shared" si="8"/>
        <v>J. Poblet</v>
      </c>
      <c r="H24" s="375">
        <f>11+5/6</f>
        <v>11.833333333333334</v>
      </c>
      <c r="I24" s="321">
        <f t="shared" si="9"/>
        <v>28</v>
      </c>
      <c r="J24" s="321">
        <f t="shared" ca="1" si="10"/>
        <v>113</v>
      </c>
      <c r="K24" s="377"/>
      <c r="L24" s="321" t="str">
        <f t="shared" si="11"/>
        <v>S. Candela</v>
      </c>
      <c r="M24" s="375">
        <f>11+2/6</f>
        <v>11.333333333333334</v>
      </c>
      <c r="N24" s="321">
        <f t="shared" si="12"/>
        <v>22</v>
      </c>
      <c r="O24" s="321">
        <f t="shared" ca="1" si="13"/>
        <v>125</v>
      </c>
      <c r="P24" s="377"/>
      <c r="Q24" s="321" t="str">
        <f t="shared" si="14"/>
        <v>S. Candela</v>
      </c>
      <c r="R24" s="375">
        <v>9.75</v>
      </c>
      <c r="S24" s="321">
        <f t="shared" si="0"/>
        <v>22</v>
      </c>
      <c r="T24" s="321">
        <f t="shared" ca="1" si="1"/>
        <v>125</v>
      </c>
      <c r="U24" s="377"/>
      <c r="V24" s="321" t="str">
        <f t="shared" si="25"/>
        <v>S. Candela</v>
      </c>
      <c r="W24" s="375">
        <v>8.5</v>
      </c>
      <c r="X24" s="321">
        <f t="shared" si="2"/>
        <v>22</v>
      </c>
      <c r="Y24" s="321">
        <f t="shared" ca="1" si="3"/>
        <v>125</v>
      </c>
      <c r="Z24" s="377"/>
    </row>
    <row r="25" spans="1:26" x14ac:dyDescent="0.25">
      <c r="A25" s="373">
        <f t="shared" si="24"/>
        <v>43832</v>
      </c>
      <c r="B25" s="374">
        <v>23</v>
      </c>
      <c r="C25" s="321" t="str">
        <f t="shared" si="5"/>
        <v>E. Tarrida</v>
      </c>
      <c r="D25" s="375">
        <v>11.4</v>
      </c>
      <c r="E25" s="321">
        <v>20</v>
      </c>
      <c r="F25" s="376">
        <f ca="1">F24+7-112</f>
        <v>29</v>
      </c>
      <c r="G25" s="321" t="str">
        <f t="shared" si="8"/>
        <v>J. Poblet</v>
      </c>
      <c r="H25" s="375">
        <v>12</v>
      </c>
      <c r="I25" s="321">
        <f t="shared" si="9"/>
        <v>28</v>
      </c>
      <c r="J25" s="321">
        <f t="shared" ca="1" si="10"/>
        <v>120</v>
      </c>
      <c r="K25" s="377">
        <v>2300000</v>
      </c>
      <c r="L25" s="321" t="str">
        <f t="shared" si="11"/>
        <v>S. Candela</v>
      </c>
      <c r="M25" s="375">
        <f>11+3/6</f>
        <v>11.5</v>
      </c>
      <c r="N25" s="321">
        <f t="shared" si="12"/>
        <v>22</v>
      </c>
      <c r="O25" s="321">
        <f t="shared" ca="1" si="13"/>
        <v>132</v>
      </c>
      <c r="P25" s="377"/>
      <c r="Q25" s="321" t="str">
        <f t="shared" si="14"/>
        <v>S. Candela</v>
      </c>
      <c r="R25" s="375">
        <v>10</v>
      </c>
      <c r="S25" s="321">
        <f t="shared" si="0"/>
        <v>22</v>
      </c>
      <c r="T25" s="321">
        <f t="shared" ca="1" si="1"/>
        <v>132</v>
      </c>
      <c r="U25" s="377">
        <v>2200000</v>
      </c>
      <c r="V25" s="321" t="str">
        <f t="shared" si="25"/>
        <v>S. Candela</v>
      </c>
      <c r="W25" s="375">
        <v>8.75</v>
      </c>
      <c r="X25" s="321">
        <f t="shared" si="2"/>
        <v>22</v>
      </c>
      <c r="Y25" s="321">
        <f t="shared" ca="1" si="3"/>
        <v>132</v>
      </c>
      <c r="Z25" s="377"/>
    </row>
    <row r="26" spans="1:26" x14ac:dyDescent="0.25">
      <c r="A26" s="373">
        <f t="shared" si="24"/>
        <v>43839</v>
      </c>
      <c r="B26" s="374">
        <v>24</v>
      </c>
      <c r="C26" s="321" t="str">
        <f t="shared" si="5"/>
        <v>E. Tarrida</v>
      </c>
      <c r="D26" s="375">
        <v>11.6</v>
      </c>
      <c r="E26" s="321">
        <f t="shared" si="19"/>
        <v>20</v>
      </c>
      <c r="F26" s="376">
        <f t="shared" ca="1" si="7"/>
        <v>36</v>
      </c>
      <c r="G26" s="321" t="str">
        <f t="shared" si="8"/>
        <v>J. Poblet</v>
      </c>
      <c r="H26" s="375"/>
      <c r="I26" s="321">
        <f t="shared" si="9"/>
        <v>28</v>
      </c>
      <c r="J26" s="321">
        <f t="shared" ca="1" si="10"/>
        <v>127</v>
      </c>
      <c r="K26" s="377"/>
      <c r="L26" s="321" t="str">
        <f t="shared" si="11"/>
        <v>S. Candela</v>
      </c>
      <c r="M26" s="375">
        <f>11+4/6</f>
        <v>11.666666666666666</v>
      </c>
      <c r="N26" s="321">
        <v>23</v>
      </c>
      <c r="O26" s="321">
        <f ca="1">O25+7-112</f>
        <v>27</v>
      </c>
      <c r="P26" s="377"/>
      <c r="Q26" s="321" t="str">
        <f t="shared" si="14"/>
        <v>S. Candela</v>
      </c>
      <c r="R26" s="375">
        <v>10.25</v>
      </c>
      <c r="S26" s="321">
        <f t="shared" si="0"/>
        <v>23</v>
      </c>
      <c r="T26" s="321">
        <f t="shared" ca="1" si="1"/>
        <v>27</v>
      </c>
      <c r="U26" s="377"/>
      <c r="V26" s="321" t="str">
        <f t="shared" si="25"/>
        <v>S. Candela</v>
      </c>
      <c r="W26" s="375">
        <v>9</v>
      </c>
      <c r="X26" s="321">
        <f t="shared" si="2"/>
        <v>23</v>
      </c>
      <c r="Y26" s="321">
        <f t="shared" ca="1" si="3"/>
        <v>27</v>
      </c>
      <c r="Z26" s="377">
        <v>1800000</v>
      </c>
    </row>
    <row r="27" spans="1:26" x14ac:dyDescent="0.25">
      <c r="A27" s="373">
        <f t="shared" si="24"/>
        <v>43846</v>
      </c>
      <c r="B27" s="374">
        <v>25</v>
      </c>
      <c r="C27" s="321" t="str">
        <f t="shared" si="5"/>
        <v>E. Tarrida</v>
      </c>
      <c r="D27" s="375">
        <v>11.8</v>
      </c>
      <c r="E27" s="321">
        <f t="shared" si="19"/>
        <v>20</v>
      </c>
      <c r="F27" s="376">
        <f t="shared" ca="1" si="7"/>
        <v>43</v>
      </c>
      <c r="G27" s="321" t="str">
        <f t="shared" si="8"/>
        <v>J. Poblet</v>
      </c>
      <c r="H27" s="375"/>
      <c r="I27" s="321">
        <f t="shared" si="9"/>
        <v>28</v>
      </c>
      <c r="J27" s="321">
        <f t="shared" ca="1" si="10"/>
        <v>134</v>
      </c>
      <c r="K27" s="377"/>
      <c r="L27" s="321" t="str">
        <f t="shared" si="11"/>
        <v>S. Candela</v>
      </c>
      <c r="M27" s="375">
        <f>11+5/6</f>
        <v>11.833333333333334</v>
      </c>
      <c r="N27" s="321">
        <f t="shared" si="12"/>
        <v>23</v>
      </c>
      <c r="O27" s="321">
        <f t="shared" ca="1" si="13"/>
        <v>34</v>
      </c>
      <c r="P27" s="377"/>
      <c r="Q27" s="321" t="str">
        <f t="shared" si="14"/>
        <v>S. Candela</v>
      </c>
      <c r="R27" s="375">
        <v>10.5</v>
      </c>
      <c r="S27" s="321">
        <f t="shared" si="0"/>
        <v>23</v>
      </c>
      <c r="T27" s="321">
        <f t="shared" ca="1" si="1"/>
        <v>34</v>
      </c>
      <c r="U27" s="377"/>
      <c r="V27" s="321" t="str">
        <f t="shared" si="25"/>
        <v>S. Candela</v>
      </c>
      <c r="W27" s="375">
        <v>9.25</v>
      </c>
      <c r="X27" s="321">
        <f t="shared" si="2"/>
        <v>23</v>
      </c>
      <c r="Y27" s="321">
        <f t="shared" ca="1" si="3"/>
        <v>34</v>
      </c>
      <c r="Z27" s="377"/>
    </row>
    <row r="28" spans="1:26" x14ac:dyDescent="0.25">
      <c r="A28" s="373">
        <f t="shared" si="24"/>
        <v>43853</v>
      </c>
      <c r="B28" s="374">
        <v>26</v>
      </c>
      <c r="C28" s="321" t="str">
        <f t="shared" si="5"/>
        <v>E. Tarrida</v>
      </c>
      <c r="D28" s="375">
        <v>12</v>
      </c>
      <c r="E28" s="321">
        <f>E27</f>
        <v>20</v>
      </c>
      <c r="F28" s="376">
        <f t="shared" ca="1" si="7"/>
        <v>50</v>
      </c>
      <c r="G28" s="321" t="str">
        <f t="shared" si="8"/>
        <v>J. Poblet</v>
      </c>
      <c r="H28" s="375"/>
      <c r="I28" s="321">
        <v>29</v>
      </c>
      <c r="J28" s="321">
        <f ca="1">J27+7-112</f>
        <v>29</v>
      </c>
      <c r="K28" s="377"/>
      <c r="L28" s="321" t="str">
        <f t="shared" si="11"/>
        <v>S. Candela</v>
      </c>
      <c r="M28" s="375">
        <v>12</v>
      </c>
      <c r="N28" s="321">
        <f t="shared" si="12"/>
        <v>23</v>
      </c>
      <c r="O28" s="321">
        <f t="shared" ca="1" si="13"/>
        <v>41</v>
      </c>
      <c r="P28" s="377">
        <v>3600000</v>
      </c>
      <c r="Q28" s="321" t="str">
        <f t="shared" si="14"/>
        <v>S. Candela</v>
      </c>
      <c r="R28" s="375">
        <v>10.75</v>
      </c>
      <c r="S28" s="321">
        <f t="shared" si="0"/>
        <v>23</v>
      </c>
      <c r="T28" s="321">
        <f t="shared" ca="1" si="1"/>
        <v>41</v>
      </c>
      <c r="U28" s="377"/>
      <c r="V28" s="321" t="str">
        <f t="shared" si="25"/>
        <v>S. Candela</v>
      </c>
      <c r="W28" s="375">
        <v>9.5</v>
      </c>
      <c r="X28" s="321">
        <f t="shared" si="2"/>
        <v>23</v>
      </c>
      <c r="Y28" s="321">
        <f t="shared" ca="1" si="3"/>
        <v>41</v>
      </c>
      <c r="Z28" s="377"/>
    </row>
  </sheetData>
  <conditionalFormatting sqref="H26:H28">
    <cfRule type="colorScale" priority="5">
      <colorScale>
        <cfvo type="min"/>
        <cfvo type="max"/>
        <color rgb="FFFFEF9C"/>
        <color rgb="FF63BE7B"/>
      </colorScale>
    </cfRule>
  </conditionalFormatting>
  <conditionalFormatting sqref="R2:R28 M2:M28 H2:H25 D2:D28">
    <cfRule type="colorScale" priority="2">
      <colorScale>
        <cfvo type="min"/>
        <cfvo type="max"/>
        <color rgb="FFFFEF9C"/>
        <color rgb="FF63BE7B"/>
      </colorScale>
    </cfRule>
  </conditionalFormatting>
  <conditionalFormatting sqref="W2:W2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AI81"/>
  <sheetViews>
    <sheetView zoomScale="80" zoomScaleNormal="80" workbookViewId="0">
      <pane xSplit="13" ySplit="4" topLeftCell="S5" activePane="bottomRight" state="frozen"/>
      <selection pane="topRight" activeCell="N1" sqref="N1"/>
      <selection pane="bottomLeft" activeCell="A5" sqref="A5"/>
      <selection pane="bottomRight" activeCell="W17" sqref="W17"/>
    </sheetView>
  </sheetViews>
  <sheetFormatPr baseColWidth="10" defaultColWidth="11.42578125" defaultRowHeight="15" x14ac:dyDescent="0.25"/>
  <cols>
    <col min="1" max="1" width="15.42578125" bestFit="1" customWidth="1"/>
    <col min="2" max="2" width="9.7109375" bestFit="1" customWidth="1"/>
    <col min="3" max="3" width="7.710937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6.28515625" customWidth="1"/>
    <col min="11" max="11" width="23" bestFit="1" customWidth="1"/>
    <col min="12" max="12" width="17.42578125" customWidth="1"/>
    <col min="13" max="13" width="18" bestFit="1" customWidth="1"/>
    <col min="14" max="14" width="18" customWidth="1"/>
    <col min="15" max="31" width="18" bestFit="1" customWidth="1"/>
  </cols>
  <sheetData>
    <row r="1" spans="1:35" ht="21" x14ac:dyDescent="0.35">
      <c r="A1" s="75"/>
      <c r="B1" s="75"/>
      <c r="C1" s="75"/>
      <c r="D1" s="428" t="s">
        <v>260</v>
      </c>
      <c r="E1" s="429"/>
      <c r="F1" s="429"/>
      <c r="G1" s="429"/>
      <c r="H1" s="429"/>
      <c r="I1" s="430"/>
      <c r="K1" s="75"/>
      <c r="L1" s="76"/>
      <c r="M1" s="76"/>
      <c r="N1" s="77">
        <f>O1-7</f>
        <v>43630</v>
      </c>
      <c r="O1" s="77">
        <v>43637</v>
      </c>
      <c r="P1" s="77">
        <f t="shared" ref="P1:AE1" si="0">O1+7</f>
        <v>43644</v>
      </c>
      <c r="Q1" s="77">
        <f t="shared" si="0"/>
        <v>43651</v>
      </c>
      <c r="R1" s="77">
        <f t="shared" si="0"/>
        <v>43658</v>
      </c>
      <c r="S1" s="77">
        <f t="shared" si="0"/>
        <v>43665</v>
      </c>
      <c r="T1" s="77">
        <f t="shared" si="0"/>
        <v>43672</v>
      </c>
      <c r="U1" s="77">
        <f t="shared" si="0"/>
        <v>43679</v>
      </c>
      <c r="V1" s="77">
        <f t="shared" si="0"/>
        <v>43686</v>
      </c>
      <c r="W1" s="246">
        <f t="shared" si="0"/>
        <v>43693</v>
      </c>
      <c r="X1" s="77">
        <f t="shared" si="0"/>
        <v>43700</v>
      </c>
      <c r="Y1" s="77">
        <f t="shared" si="0"/>
        <v>43707</v>
      </c>
      <c r="Z1" s="77">
        <f t="shared" si="0"/>
        <v>43714</v>
      </c>
      <c r="AA1" s="77">
        <f t="shared" si="0"/>
        <v>43721</v>
      </c>
      <c r="AB1" s="77">
        <f t="shared" si="0"/>
        <v>43728</v>
      </c>
      <c r="AC1" s="77">
        <f t="shared" si="0"/>
        <v>43735</v>
      </c>
      <c r="AD1" s="77">
        <f t="shared" si="0"/>
        <v>43742</v>
      </c>
      <c r="AE1" s="77">
        <f t="shared" si="0"/>
        <v>43749</v>
      </c>
    </row>
    <row r="2" spans="1:35" x14ac:dyDescent="0.25">
      <c r="A2" s="7"/>
      <c r="B2" s="7"/>
      <c r="C2" s="7"/>
      <c r="D2" s="431" t="s">
        <v>234</v>
      </c>
      <c r="E2" s="432"/>
      <c r="F2" s="432"/>
      <c r="G2" s="432"/>
      <c r="H2" s="432"/>
      <c r="I2" s="433"/>
      <c r="K2" s="78"/>
      <c r="L2" s="78"/>
      <c r="M2" s="78" t="s">
        <v>97</v>
      </c>
      <c r="N2" s="79" t="s">
        <v>98</v>
      </c>
      <c r="O2" s="79" t="s">
        <v>99</v>
      </c>
      <c r="P2" s="79" t="s">
        <v>100</v>
      </c>
      <c r="Q2" s="79" t="s">
        <v>101</v>
      </c>
      <c r="R2" s="79" t="s">
        <v>102</v>
      </c>
      <c r="S2" s="79" t="s">
        <v>103</v>
      </c>
      <c r="T2" s="79" t="s">
        <v>104</v>
      </c>
      <c r="U2" s="79" t="s">
        <v>105</v>
      </c>
      <c r="V2" s="79" t="s">
        <v>106</v>
      </c>
      <c r="W2" s="247" t="s">
        <v>107</v>
      </c>
      <c r="X2" s="79" t="s">
        <v>108</v>
      </c>
      <c r="Y2" s="79" t="s">
        <v>109</v>
      </c>
      <c r="Z2" s="79" t="s">
        <v>110</v>
      </c>
      <c r="AA2" s="79" t="s">
        <v>111</v>
      </c>
      <c r="AB2" s="79" t="s">
        <v>112</v>
      </c>
      <c r="AC2" s="79" t="s">
        <v>113</v>
      </c>
      <c r="AD2" s="79" t="s">
        <v>98</v>
      </c>
      <c r="AE2" s="79" t="s">
        <v>99</v>
      </c>
    </row>
    <row r="3" spans="1:35" ht="18.75" x14ac:dyDescent="0.3">
      <c r="A3" s="61"/>
      <c r="B3" s="61"/>
      <c r="C3" s="61"/>
      <c r="D3" s="434" t="s">
        <v>235</v>
      </c>
      <c r="E3" s="435"/>
      <c r="F3" s="201"/>
      <c r="G3" s="436" t="s">
        <v>236</v>
      </c>
      <c r="H3" s="437"/>
      <c r="I3" s="201"/>
      <c r="K3" s="73"/>
      <c r="L3" s="80"/>
      <c r="M3" s="80" t="s">
        <v>114</v>
      </c>
      <c r="N3" s="81">
        <v>100</v>
      </c>
      <c r="O3" s="81">
        <v>100</v>
      </c>
      <c r="P3" s="81">
        <v>140</v>
      </c>
      <c r="Q3" s="81">
        <f>P3+P11/30</f>
        <v>184</v>
      </c>
      <c r="R3" s="81">
        <f t="shared" ref="R3:AE3" si="1">Q3+Q11/30</f>
        <v>235</v>
      </c>
      <c r="S3" s="81">
        <f t="shared" si="1"/>
        <v>285</v>
      </c>
      <c r="T3" s="81">
        <f t="shared" si="1"/>
        <v>335</v>
      </c>
      <c r="U3" s="81">
        <f t="shared" si="1"/>
        <v>383</v>
      </c>
      <c r="V3" s="81">
        <f t="shared" si="1"/>
        <v>431</v>
      </c>
      <c r="W3" s="248">
        <f t="shared" si="1"/>
        <v>477</v>
      </c>
      <c r="X3" s="81">
        <f t="shared" si="1"/>
        <v>500</v>
      </c>
      <c r="Y3" s="81">
        <f t="shared" si="1"/>
        <v>523</v>
      </c>
      <c r="Z3" s="81">
        <f t="shared" si="1"/>
        <v>546</v>
      </c>
      <c r="AA3" s="81">
        <f t="shared" si="1"/>
        <v>569</v>
      </c>
      <c r="AB3" s="81">
        <f t="shared" si="1"/>
        <v>592</v>
      </c>
      <c r="AC3" s="81">
        <f t="shared" si="1"/>
        <v>615</v>
      </c>
      <c r="AD3" s="81">
        <f t="shared" si="1"/>
        <v>638</v>
      </c>
      <c r="AE3" s="81">
        <f t="shared" si="1"/>
        <v>661</v>
      </c>
    </row>
    <row r="4" spans="1:35" ht="18.75" x14ac:dyDescent="0.3">
      <c r="A4" s="61"/>
      <c r="B4" s="61"/>
      <c r="C4" s="61"/>
      <c r="D4" s="202"/>
      <c r="E4" s="203"/>
      <c r="F4" s="228"/>
      <c r="G4" s="202"/>
      <c r="H4" s="228"/>
      <c r="I4" s="204"/>
      <c r="K4" s="249" t="s">
        <v>261</v>
      </c>
      <c r="L4" s="249"/>
      <c r="M4" s="250">
        <v>0</v>
      </c>
      <c r="N4" s="250">
        <f>M4</f>
        <v>0</v>
      </c>
      <c r="O4" s="250">
        <f>N4-N13+N23</f>
        <v>0</v>
      </c>
      <c r="P4" s="250">
        <f>O4-O13+O23</f>
        <v>0</v>
      </c>
      <c r="Q4" s="250">
        <f t="shared" ref="Q4:AE4" si="2">P4-P13+P23</f>
        <v>0</v>
      </c>
      <c r="R4" s="250">
        <f t="shared" si="2"/>
        <v>0</v>
      </c>
      <c r="S4" s="250">
        <f t="shared" si="2"/>
        <v>0</v>
      </c>
      <c r="T4" s="250">
        <f t="shared" si="2"/>
        <v>0</v>
      </c>
      <c r="U4" s="251">
        <f t="shared" si="2"/>
        <v>0</v>
      </c>
      <c r="V4" s="250">
        <f t="shared" si="2"/>
        <v>0</v>
      </c>
      <c r="W4" s="251">
        <f t="shared" si="2"/>
        <v>0</v>
      </c>
      <c r="X4" s="251">
        <f t="shared" si="2"/>
        <v>0</v>
      </c>
      <c r="Y4" s="251">
        <f t="shared" si="2"/>
        <v>0</v>
      </c>
      <c r="Z4" s="251">
        <f t="shared" si="2"/>
        <v>0</v>
      </c>
      <c r="AA4" s="251">
        <f t="shared" si="2"/>
        <v>0</v>
      </c>
      <c r="AB4" s="251">
        <f t="shared" si="2"/>
        <v>0</v>
      </c>
      <c r="AC4" s="251">
        <f t="shared" si="2"/>
        <v>0</v>
      </c>
      <c r="AD4" s="251">
        <f t="shared" si="2"/>
        <v>0</v>
      </c>
      <c r="AE4" s="251">
        <f t="shared" si="2"/>
        <v>0</v>
      </c>
    </row>
    <row r="5" spans="1:35" ht="18.75" x14ac:dyDescent="0.3">
      <c r="A5" s="85"/>
      <c r="B5" s="85"/>
      <c r="C5" s="85"/>
      <c r="D5" s="205" t="s">
        <v>237</v>
      </c>
      <c r="E5" s="206">
        <f>SUM(E6:E8)</f>
        <v>539470</v>
      </c>
      <c r="F5" s="252">
        <f>E5/E35</f>
        <v>0.14517249712195329</v>
      </c>
      <c r="G5" s="205" t="s">
        <v>238</v>
      </c>
      <c r="H5" s="253">
        <f>H6+H7</f>
        <v>300000</v>
      </c>
      <c r="I5" s="207">
        <f>H5/$H$35</f>
        <v>8.0730622901340185E-2</v>
      </c>
      <c r="K5" s="82" t="s">
        <v>115</v>
      </c>
      <c r="L5" s="82"/>
      <c r="M5" s="83">
        <v>300000</v>
      </c>
      <c r="N5" s="83">
        <f>M5</f>
        <v>300000</v>
      </c>
      <c r="O5" s="83">
        <f t="shared" ref="O5:AE5" si="3">N26</f>
        <v>185000</v>
      </c>
      <c r="P5" s="83">
        <f t="shared" si="3"/>
        <v>925753</v>
      </c>
      <c r="Q5" s="83">
        <f t="shared" si="3"/>
        <v>909316</v>
      </c>
      <c r="R5" s="83">
        <f t="shared" si="3"/>
        <v>1149086</v>
      </c>
      <c r="S5" s="83">
        <f t="shared" si="3"/>
        <v>1120308</v>
      </c>
      <c r="T5" s="83">
        <f t="shared" si="3"/>
        <v>1173000</v>
      </c>
      <c r="U5" s="84">
        <f t="shared" si="3"/>
        <v>1242342</v>
      </c>
      <c r="V5" s="83">
        <f t="shared" si="3"/>
        <v>1216730</v>
      </c>
      <c r="W5" s="84">
        <f t="shared" si="3"/>
        <v>1180102</v>
      </c>
      <c r="X5" s="84">
        <f t="shared" si="3"/>
        <v>1072822</v>
      </c>
      <c r="Y5" s="84">
        <f t="shared" si="3"/>
        <v>1098262</v>
      </c>
      <c r="Z5" s="84">
        <f t="shared" si="3"/>
        <v>1062952</v>
      </c>
      <c r="AA5" s="84">
        <f t="shared" si="3"/>
        <v>1089892</v>
      </c>
      <c r="AB5" s="84">
        <f t="shared" si="3"/>
        <v>1056082</v>
      </c>
      <c r="AC5" s="84">
        <f t="shared" si="3"/>
        <v>1084522</v>
      </c>
      <c r="AD5" s="84">
        <f t="shared" si="3"/>
        <v>1113712</v>
      </c>
      <c r="AE5" s="84">
        <f t="shared" si="3"/>
        <v>1082152</v>
      </c>
    </row>
    <row r="6" spans="1:35" x14ac:dyDescent="0.25">
      <c r="A6" s="238" t="str">
        <f t="shared" ref="A6:A13" si="4">L6</f>
        <v>Taquillas</v>
      </c>
      <c r="B6" s="292">
        <f t="shared" ref="B6:B13" si="5">M6/$M$14</f>
        <v>0.34034684098405338</v>
      </c>
      <c r="D6" s="208" t="s">
        <v>129</v>
      </c>
      <c r="E6" s="209">
        <f>M17</f>
        <v>270770</v>
      </c>
      <c r="F6" s="254">
        <f>E6/E35</f>
        <v>7.2864769209986274E-2</v>
      </c>
      <c r="G6" s="210" t="s">
        <v>239</v>
      </c>
      <c r="H6" s="255">
        <v>300000</v>
      </c>
      <c r="I6" s="256">
        <f>H6/$H$35</f>
        <v>8.0730622901340185E-2</v>
      </c>
      <c r="K6" s="238" t="s">
        <v>116</v>
      </c>
      <c r="L6" s="238" t="s">
        <v>116</v>
      </c>
      <c r="M6" s="257">
        <f>SUM(N6:AE6)</f>
        <v>979039</v>
      </c>
      <c r="N6" s="287">
        <v>0</v>
      </c>
      <c r="O6" s="287">
        <f>140449+2239</f>
        <v>142688</v>
      </c>
      <c r="P6" s="287">
        <f>2819+39724</f>
        <v>42543</v>
      </c>
      <c r="Q6" s="287">
        <f>81809+54656</f>
        <v>136465</v>
      </c>
      <c r="R6" s="287">
        <v>24227</v>
      </c>
      <c r="S6" s="287">
        <f>85603+17134</f>
        <v>102737</v>
      </c>
      <c r="T6" s="287">
        <f>112814+3673</f>
        <v>116487</v>
      </c>
      <c r="U6" s="235">
        <f>18695</f>
        <v>18695</v>
      </c>
      <c r="V6" s="287">
        <v>5397</v>
      </c>
      <c r="W6" s="235">
        <v>115800</v>
      </c>
      <c r="X6" s="235">
        <v>65000</v>
      </c>
      <c r="Y6" s="235">
        <v>3500</v>
      </c>
      <c r="Z6" s="235">
        <v>65000</v>
      </c>
      <c r="AA6" s="235">
        <v>3500</v>
      </c>
      <c r="AB6" s="235">
        <v>65000</v>
      </c>
      <c r="AC6" s="235">
        <v>65000</v>
      </c>
      <c r="AD6" s="236">
        <v>3500</v>
      </c>
      <c r="AE6" s="236">
        <v>3500</v>
      </c>
    </row>
    <row r="7" spans="1:35" x14ac:dyDescent="0.25">
      <c r="A7" s="238" t="str">
        <f t="shared" si="4"/>
        <v>Patrocinadores</v>
      </c>
      <c r="B7" s="292">
        <f t="shared" si="5"/>
        <v>0.28402811382358012</v>
      </c>
      <c r="D7" s="208" t="s">
        <v>134</v>
      </c>
      <c r="E7" s="209">
        <f>M21</f>
        <v>268700</v>
      </c>
      <c r="F7" s="254">
        <f>E7/E35</f>
        <v>7.2307727911967018E-2</v>
      </c>
      <c r="G7" s="210" t="s">
        <v>240</v>
      </c>
      <c r="H7" s="255">
        <v>0</v>
      </c>
      <c r="I7" s="256">
        <f>H7/$H$35</f>
        <v>0</v>
      </c>
      <c r="K7" s="238" t="s">
        <v>117</v>
      </c>
      <c r="L7" s="238" t="s">
        <v>117</v>
      </c>
      <c r="M7" s="257">
        <f t="shared" ref="M7:M13" si="6">SUM(N7:AE7)</f>
        <v>817033</v>
      </c>
      <c r="N7" s="287">
        <v>0</v>
      </c>
      <c r="O7" s="287">
        <v>30345</v>
      </c>
      <c r="P7" s="287">
        <v>32010</v>
      </c>
      <c r="Q7" s="287">
        <v>34785</v>
      </c>
      <c r="R7" s="287">
        <v>38115</v>
      </c>
      <c r="S7" s="287">
        <v>41075</v>
      </c>
      <c r="T7" s="287">
        <v>44035</v>
      </c>
      <c r="U7" s="237">
        <f>45000+1873</f>
        <v>46873</v>
      </c>
      <c r="V7" s="287">
        <v>49215</v>
      </c>
      <c r="W7" s="237">
        <v>51620</v>
      </c>
      <c r="X7" s="237">
        <f t="shared" ref="X7:AE7" si="7">W7+1000</f>
        <v>52620</v>
      </c>
      <c r="Y7" s="237">
        <f t="shared" si="7"/>
        <v>53620</v>
      </c>
      <c r="Z7" s="237">
        <f t="shared" si="7"/>
        <v>54620</v>
      </c>
      <c r="AA7" s="237">
        <f t="shared" si="7"/>
        <v>55620</v>
      </c>
      <c r="AB7" s="237">
        <f t="shared" si="7"/>
        <v>56620</v>
      </c>
      <c r="AC7" s="237">
        <f t="shared" si="7"/>
        <v>57620</v>
      </c>
      <c r="AD7" s="237">
        <f t="shared" si="7"/>
        <v>58620</v>
      </c>
      <c r="AE7" s="237">
        <f t="shared" si="7"/>
        <v>59620</v>
      </c>
    </row>
    <row r="8" spans="1:35" x14ac:dyDescent="0.25">
      <c r="A8" s="238" t="str">
        <f t="shared" si="4"/>
        <v>Ventas</v>
      </c>
      <c r="B8" s="292">
        <f t="shared" si="5"/>
        <v>0</v>
      </c>
      <c r="D8" s="211" t="s">
        <v>241</v>
      </c>
      <c r="E8" s="212">
        <v>0</v>
      </c>
      <c r="F8" s="254">
        <f>E8/E35</f>
        <v>0</v>
      </c>
      <c r="G8" s="215"/>
      <c r="H8" s="258"/>
      <c r="I8" s="207"/>
      <c r="K8" s="238" t="s">
        <v>118</v>
      </c>
      <c r="L8" s="238" t="s">
        <v>119</v>
      </c>
      <c r="M8" s="257">
        <f t="shared" si="6"/>
        <v>0</v>
      </c>
      <c r="N8" s="287">
        <v>0</v>
      </c>
      <c r="O8" s="287">
        <v>0</v>
      </c>
      <c r="P8" s="287">
        <v>0</v>
      </c>
      <c r="Q8" s="287">
        <v>0</v>
      </c>
      <c r="R8" s="287">
        <v>0</v>
      </c>
      <c r="S8" s="287">
        <v>0</v>
      </c>
      <c r="T8" s="287">
        <v>0</v>
      </c>
      <c r="U8" s="235">
        <v>0</v>
      </c>
      <c r="V8" s="287">
        <v>0</v>
      </c>
      <c r="W8" s="235">
        <v>0</v>
      </c>
      <c r="X8" s="235">
        <v>0</v>
      </c>
      <c r="Y8" s="235">
        <v>0</v>
      </c>
      <c r="Z8" s="235">
        <v>0</v>
      </c>
      <c r="AA8" s="235">
        <v>0</v>
      </c>
      <c r="AB8" s="235">
        <v>0</v>
      </c>
      <c r="AC8" s="235">
        <v>0</v>
      </c>
      <c r="AD8" s="235">
        <v>0</v>
      </c>
      <c r="AE8" s="235">
        <v>0</v>
      </c>
      <c r="AG8" s="200"/>
      <c r="AH8" s="200"/>
    </row>
    <row r="9" spans="1:35" x14ac:dyDescent="0.25">
      <c r="A9" s="238" t="str">
        <f t="shared" si="4"/>
        <v>VentasCantera</v>
      </c>
      <c r="B9" s="292">
        <f t="shared" si="5"/>
        <v>0</v>
      </c>
      <c r="D9" s="213"/>
      <c r="E9" s="214"/>
      <c r="F9" s="252"/>
      <c r="G9" s="215"/>
      <c r="H9" s="258"/>
      <c r="I9" s="207"/>
      <c r="K9" s="238"/>
      <c r="L9" s="238" t="s">
        <v>120</v>
      </c>
      <c r="M9" s="257">
        <f t="shared" si="6"/>
        <v>0</v>
      </c>
      <c r="N9" s="287">
        <v>0</v>
      </c>
      <c r="O9" s="287">
        <v>0</v>
      </c>
      <c r="P9" s="287">
        <v>0</v>
      </c>
      <c r="Q9" s="287">
        <v>0</v>
      </c>
      <c r="R9" s="287">
        <v>0</v>
      </c>
      <c r="S9" s="287">
        <v>0</v>
      </c>
      <c r="T9" s="287">
        <v>0</v>
      </c>
      <c r="U9" s="235">
        <v>0</v>
      </c>
      <c r="V9" s="287">
        <v>0</v>
      </c>
      <c r="W9" s="235">
        <v>0</v>
      </c>
      <c r="X9" s="235">
        <v>0</v>
      </c>
      <c r="Y9" s="235">
        <v>0</v>
      </c>
      <c r="Z9" s="235">
        <v>0</v>
      </c>
      <c r="AA9" s="235">
        <v>0</v>
      </c>
      <c r="AB9" s="235">
        <v>0</v>
      </c>
      <c r="AC9" s="235">
        <v>0</v>
      </c>
      <c r="AD9" s="235">
        <v>0</v>
      </c>
      <c r="AE9" s="235">
        <v>0</v>
      </c>
    </row>
    <row r="10" spans="1:35" x14ac:dyDescent="0.25">
      <c r="A10" s="238" t="str">
        <f t="shared" si="4"/>
        <v>Comisiones</v>
      </c>
      <c r="B10" s="292">
        <f t="shared" si="5"/>
        <v>0</v>
      </c>
      <c r="D10" s="205" t="s">
        <v>262</v>
      </c>
      <c r="E10" s="206">
        <f>E11+E12+E13</f>
        <v>0</v>
      </c>
      <c r="F10" s="252">
        <f>E10/E35</f>
        <v>0</v>
      </c>
      <c r="G10" s="205" t="s">
        <v>242</v>
      </c>
      <c r="H10" s="253">
        <f>SUM(H11:H16)</f>
        <v>1290812</v>
      </c>
      <c r="I10" s="207">
        <f t="shared" ref="I10:I16" si="8">H10/$H$35</f>
        <v>0.34736018936174906</v>
      </c>
      <c r="K10" s="238" t="s">
        <v>121</v>
      </c>
      <c r="L10" s="238" t="s">
        <v>121</v>
      </c>
      <c r="M10" s="257">
        <f t="shared" si="6"/>
        <v>0</v>
      </c>
      <c r="N10" s="287">
        <v>0</v>
      </c>
      <c r="O10" s="287">
        <v>0</v>
      </c>
      <c r="P10" s="287">
        <v>0</v>
      </c>
      <c r="Q10" s="287">
        <f>P10</f>
        <v>0</v>
      </c>
      <c r="R10" s="287">
        <f t="shared" ref="R10:AE11" si="9">Q10</f>
        <v>0</v>
      </c>
      <c r="S10" s="287">
        <f t="shared" si="9"/>
        <v>0</v>
      </c>
      <c r="T10" s="287">
        <f t="shared" si="9"/>
        <v>0</v>
      </c>
      <c r="U10" s="237">
        <v>0</v>
      </c>
      <c r="V10" s="287">
        <v>0</v>
      </c>
      <c r="W10" s="237">
        <v>0</v>
      </c>
      <c r="X10" s="237">
        <f t="shared" si="9"/>
        <v>0</v>
      </c>
      <c r="Y10" s="237">
        <f t="shared" si="9"/>
        <v>0</v>
      </c>
      <c r="Z10" s="237">
        <f t="shared" si="9"/>
        <v>0</v>
      </c>
      <c r="AA10" s="237">
        <f t="shared" si="9"/>
        <v>0</v>
      </c>
      <c r="AB10" s="237">
        <f t="shared" si="9"/>
        <v>0</v>
      </c>
      <c r="AC10" s="237">
        <f t="shared" si="9"/>
        <v>0</v>
      </c>
      <c r="AD10" s="237">
        <f t="shared" si="9"/>
        <v>0</v>
      </c>
      <c r="AE10" s="237">
        <f t="shared" si="9"/>
        <v>0</v>
      </c>
    </row>
    <row r="11" spans="1:35" x14ac:dyDescent="0.25">
      <c r="A11" s="238" t="str">
        <f t="shared" si="4"/>
        <v>Nuevos Socios</v>
      </c>
      <c r="B11" s="292">
        <f t="shared" si="5"/>
        <v>6.0905404728929229E-3</v>
      </c>
      <c r="D11" s="216" t="s">
        <v>263</v>
      </c>
      <c r="E11" s="217">
        <f>N4</f>
        <v>0</v>
      </c>
      <c r="F11" s="254">
        <f>E11/E35</f>
        <v>0</v>
      </c>
      <c r="G11" s="225" t="s">
        <v>244</v>
      </c>
      <c r="H11" s="259">
        <v>0</v>
      </c>
      <c r="I11" s="256">
        <f t="shared" si="8"/>
        <v>0</v>
      </c>
      <c r="K11" s="439" t="s">
        <v>122</v>
      </c>
      <c r="L11" s="238" t="s">
        <v>123</v>
      </c>
      <c r="M11" s="257">
        <f t="shared" si="6"/>
        <v>17520</v>
      </c>
      <c r="N11" s="287">
        <v>0</v>
      </c>
      <c r="O11" s="287">
        <v>1200</v>
      </c>
      <c r="P11" s="287">
        <v>1320</v>
      </c>
      <c r="Q11" s="287">
        <f>780+750</f>
        <v>1530</v>
      </c>
      <c r="R11" s="287">
        <f>750*2</f>
        <v>1500</v>
      </c>
      <c r="S11" s="287">
        <f t="shared" si="9"/>
        <v>1500</v>
      </c>
      <c r="T11" s="287">
        <f>720+720</f>
        <v>1440</v>
      </c>
      <c r="U11" s="237">
        <v>1440</v>
      </c>
      <c r="V11" s="287">
        <v>1380</v>
      </c>
      <c r="W11" s="237">
        <v>690</v>
      </c>
      <c r="X11" s="237">
        <v>690</v>
      </c>
      <c r="Y11" s="237">
        <f t="shared" si="9"/>
        <v>690</v>
      </c>
      <c r="Z11" s="237">
        <f t="shared" si="9"/>
        <v>690</v>
      </c>
      <c r="AA11" s="237">
        <f t="shared" si="9"/>
        <v>690</v>
      </c>
      <c r="AB11" s="237">
        <f t="shared" si="9"/>
        <v>690</v>
      </c>
      <c r="AC11" s="237">
        <f t="shared" si="9"/>
        <v>690</v>
      </c>
      <c r="AD11" s="237">
        <f t="shared" si="9"/>
        <v>690</v>
      </c>
      <c r="AE11" s="237">
        <f t="shared" si="9"/>
        <v>690</v>
      </c>
    </row>
    <row r="12" spans="1:35" x14ac:dyDescent="0.25">
      <c r="A12" s="238" t="str">
        <f t="shared" si="4"/>
        <v>Premios</v>
      </c>
      <c r="B12" s="292">
        <f t="shared" si="5"/>
        <v>0.36953450471947358</v>
      </c>
      <c r="D12" s="216" t="str">
        <f>L13</f>
        <v>Ing Reservas</v>
      </c>
      <c r="E12" s="217">
        <f>M13*-1</f>
        <v>0</v>
      </c>
      <c r="F12" s="254">
        <f>E12/E35</f>
        <v>0</v>
      </c>
      <c r="G12" s="260" t="s">
        <v>245</v>
      </c>
      <c r="H12" s="261">
        <v>0</v>
      </c>
      <c r="I12" s="262">
        <f t="shared" si="8"/>
        <v>0</v>
      </c>
      <c r="K12" s="440"/>
      <c r="L12" s="238" t="s">
        <v>124</v>
      </c>
      <c r="M12" s="257">
        <f t="shared" si="6"/>
        <v>1063000</v>
      </c>
      <c r="N12" s="287">
        <v>0</v>
      </c>
      <c r="O12" s="287">
        <v>903000</v>
      </c>
      <c r="P12" s="287">
        <v>0</v>
      </c>
      <c r="Q12" s="287">
        <v>160000</v>
      </c>
      <c r="R12" s="287">
        <v>0</v>
      </c>
      <c r="S12" s="287">
        <v>0</v>
      </c>
      <c r="T12" s="287">
        <v>0</v>
      </c>
      <c r="U12" s="237">
        <v>0</v>
      </c>
      <c r="V12" s="287">
        <v>0</v>
      </c>
      <c r="W12" s="237">
        <v>0</v>
      </c>
      <c r="X12" s="237">
        <v>0</v>
      </c>
      <c r="Y12" s="237">
        <v>0</v>
      </c>
      <c r="Z12" s="237">
        <v>0</v>
      </c>
      <c r="AA12" s="237">
        <v>0</v>
      </c>
      <c r="AB12" s="237">
        <v>0</v>
      </c>
      <c r="AC12" s="237">
        <v>0</v>
      </c>
      <c r="AD12" s="237">
        <v>0</v>
      </c>
      <c r="AE12" s="237">
        <v>0</v>
      </c>
    </row>
    <row r="13" spans="1:35" ht="18.75" x14ac:dyDescent="0.3">
      <c r="A13" s="238" t="str">
        <f t="shared" si="4"/>
        <v>Ing Reservas</v>
      </c>
      <c r="B13" s="292">
        <f t="shared" si="5"/>
        <v>0</v>
      </c>
      <c r="C13" s="263"/>
      <c r="D13" s="216" t="str">
        <f>L23</f>
        <v>Pago Reservas</v>
      </c>
      <c r="E13" s="217">
        <f>M23</f>
        <v>0</v>
      </c>
      <c r="F13" s="254">
        <f>E13/E35</f>
        <v>0</v>
      </c>
      <c r="G13" s="225" t="s">
        <v>247</v>
      </c>
      <c r="H13" s="259">
        <v>0</v>
      </c>
      <c r="I13" s="256">
        <f t="shared" si="8"/>
        <v>0</v>
      </c>
      <c r="J13" s="264"/>
      <c r="K13" s="441"/>
      <c r="L13" s="238" t="s">
        <v>264</v>
      </c>
      <c r="M13" s="257">
        <f t="shared" si="6"/>
        <v>0</v>
      </c>
      <c r="N13" s="287">
        <v>0</v>
      </c>
      <c r="O13" s="287">
        <v>0</v>
      </c>
      <c r="P13" s="287">
        <f>O13</f>
        <v>0</v>
      </c>
      <c r="Q13" s="287">
        <f t="shared" ref="Q13:AE13" si="10">P13</f>
        <v>0</v>
      </c>
      <c r="R13" s="287">
        <f t="shared" si="10"/>
        <v>0</v>
      </c>
      <c r="S13" s="287">
        <f t="shared" si="10"/>
        <v>0</v>
      </c>
      <c r="T13" s="287">
        <f t="shared" si="10"/>
        <v>0</v>
      </c>
      <c r="U13" s="237">
        <f t="shared" si="10"/>
        <v>0</v>
      </c>
      <c r="V13" s="287">
        <f t="shared" ref="V13" si="11">U13</f>
        <v>0</v>
      </c>
      <c r="W13" s="237">
        <f t="shared" ref="W13" si="12">V13</f>
        <v>0</v>
      </c>
      <c r="X13" s="237">
        <f t="shared" si="10"/>
        <v>0</v>
      </c>
      <c r="Y13" s="237">
        <f t="shared" si="10"/>
        <v>0</v>
      </c>
      <c r="Z13" s="237">
        <f t="shared" si="10"/>
        <v>0</v>
      </c>
      <c r="AA13" s="237">
        <f t="shared" si="10"/>
        <v>0</v>
      </c>
      <c r="AB13" s="237">
        <f t="shared" si="10"/>
        <v>0</v>
      </c>
      <c r="AC13" s="237">
        <f t="shared" si="10"/>
        <v>0</v>
      </c>
      <c r="AD13" s="237">
        <f t="shared" si="10"/>
        <v>0</v>
      </c>
      <c r="AE13" s="237">
        <f t="shared" si="10"/>
        <v>0</v>
      </c>
      <c r="AF13" s="264"/>
      <c r="AG13" s="264"/>
      <c r="AH13" s="264"/>
      <c r="AI13" s="264"/>
    </row>
    <row r="14" spans="1:35" ht="18.75" x14ac:dyDescent="0.3">
      <c r="A14" s="263"/>
      <c r="B14" s="265">
        <f>SUM(B6:B13)</f>
        <v>1</v>
      </c>
      <c r="D14" s="213"/>
      <c r="E14" s="266"/>
      <c r="G14" s="225" t="s">
        <v>249</v>
      </c>
      <c r="H14" s="259">
        <v>0</v>
      </c>
      <c r="I14" s="256">
        <f t="shared" si="8"/>
        <v>0</v>
      </c>
      <c r="K14" s="290" t="s">
        <v>125</v>
      </c>
      <c r="L14" s="291"/>
      <c r="M14" s="267">
        <f>SUM(N14:AE14)</f>
        <v>2876592</v>
      </c>
      <c r="N14" s="288">
        <f>SUM(N6:N13)</f>
        <v>0</v>
      </c>
      <c r="O14" s="288">
        <f>SUM(O6:O13)</f>
        <v>1077233</v>
      </c>
      <c r="P14" s="288">
        <f t="shared" ref="P14:AE14" si="13">SUM(P6:P13)</f>
        <v>75873</v>
      </c>
      <c r="Q14" s="288">
        <f t="shared" si="13"/>
        <v>332780</v>
      </c>
      <c r="R14" s="288">
        <f t="shared" si="13"/>
        <v>63842</v>
      </c>
      <c r="S14" s="288">
        <f t="shared" si="13"/>
        <v>145312</v>
      </c>
      <c r="T14" s="288">
        <f t="shared" si="13"/>
        <v>161962</v>
      </c>
      <c r="U14" s="288">
        <f t="shared" si="13"/>
        <v>67008</v>
      </c>
      <c r="V14" s="288">
        <f t="shared" si="13"/>
        <v>55992</v>
      </c>
      <c r="W14" s="288">
        <f t="shared" si="13"/>
        <v>168110</v>
      </c>
      <c r="X14" s="288">
        <f t="shared" si="13"/>
        <v>118310</v>
      </c>
      <c r="Y14" s="288">
        <f t="shared" si="13"/>
        <v>57810</v>
      </c>
      <c r="Z14" s="288">
        <f t="shared" si="13"/>
        <v>120310</v>
      </c>
      <c r="AA14" s="288">
        <f t="shared" si="13"/>
        <v>59810</v>
      </c>
      <c r="AB14" s="288">
        <f t="shared" si="13"/>
        <v>122310</v>
      </c>
      <c r="AC14" s="288">
        <f t="shared" si="13"/>
        <v>123310</v>
      </c>
      <c r="AD14" s="288">
        <f t="shared" si="13"/>
        <v>62810</v>
      </c>
      <c r="AE14" s="288">
        <f t="shared" si="13"/>
        <v>63810</v>
      </c>
    </row>
    <row r="15" spans="1:35" ht="18.75" x14ac:dyDescent="0.3">
      <c r="A15" s="446">
        <f>M14</f>
        <v>2876592</v>
      </c>
      <c r="B15" s="446"/>
      <c r="D15" s="205" t="s">
        <v>139</v>
      </c>
      <c r="E15" s="206">
        <f>SUM(E16:E19)</f>
        <v>0</v>
      </c>
      <c r="F15" s="252">
        <f>E15/E35</f>
        <v>0</v>
      </c>
      <c r="G15" s="225" t="s">
        <v>250</v>
      </c>
      <c r="H15" s="259">
        <v>0</v>
      </c>
      <c r="I15" s="256">
        <f t="shared" si="8"/>
        <v>0</v>
      </c>
      <c r="K15" s="239" t="s">
        <v>126</v>
      </c>
      <c r="L15" s="240" t="str">
        <f>K15</f>
        <v>Sueldos</v>
      </c>
      <c r="M15" s="86">
        <f>SUM(N15:AE15)</f>
        <v>141020</v>
      </c>
      <c r="N15" s="289">
        <v>0</v>
      </c>
      <c r="O15" s="289">
        <v>8040</v>
      </c>
      <c r="P15" s="289">
        <v>8090</v>
      </c>
      <c r="Q15" s="289">
        <v>8090</v>
      </c>
      <c r="R15" s="289">
        <v>7700</v>
      </c>
      <c r="S15" s="289">
        <v>7700</v>
      </c>
      <c r="T15" s="289">
        <v>7700</v>
      </c>
      <c r="U15" s="243">
        <v>7700</v>
      </c>
      <c r="V15" s="289">
        <v>7700</v>
      </c>
      <c r="W15" s="243">
        <v>7700</v>
      </c>
      <c r="X15" s="243">
        <f t="shared" ref="X15:AE15" si="14">W15+250</f>
        <v>7950</v>
      </c>
      <c r="Y15" s="243">
        <f t="shared" si="14"/>
        <v>8200</v>
      </c>
      <c r="Z15" s="243">
        <f t="shared" si="14"/>
        <v>8450</v>
      </c>
      <c r="AA15" s="243">
        <f t="shared" si="14"/>
        <v>8700</v>
      </c>
      <c r="AB15" s="243">
        <f t="shared" si="14"/>
        <v>8950</v>
      </c>
      <c r="AC15" s="243">
        <f t="shared" si="14"/>
        <v>9200</v>
      </c>
      <c r="AD15" s="243">
        <f t="shared" si="14"/>
        <v>9450</v>
      </c>
      <c r="AE15" s="243">
        <f t="shared" si="14"/>
        <v>9700</v>
      </c>
    </row>
    <row r="16" spans="1:35" x14ac:dyDescent="0.25">
      <c r="D16" s="216" t="s">
        <v>243</v>
      </c>
      <c r="E16" s="217">
        <v>0</v>
      </c>
      <c r="F16" s="254">
        <f>E16/E35</f>
        <v>0</v>
      </c>
      <c r="G16" s="268" t="s">
        <v>251</v>
      </c>
      <c r="H16" s="269">
        <f>E29-H26</f>
        <v>1290812</v>
      </c>
      <c r="I16" s="256">
        <f t="shared" si="8"/>
        <v>0.34736018936174906</v>
      </c>
      <c r="K16" s="239" t="s">
        <v>127</v>
      </c>
      <c r="L16" s="240" t="str">
        <f>K16</f>
        <v xml:space="preserve">Mantenimiento </v>
      </c>
      <c r="M16" s="86">
        <f t="shared" ref="M16:M24" si="15">SUM(N16:AE16)</f>
        <v>131200</v>
      </c>
      <c r="N16" s="289">
        <v>0</v>
      </c>
      <c r="O16" s="289">
        <v>7100</v>
      </c>
      <c r="P16" s="289">
        <v>7100</v>
      </c>
      <c r="Q16" s="289">
        <v>7800</v>
      </c>
      <c r="R16" s="289">
        <f>Q16</f>
        <v>7800</v>
      </c>
      <c r="S16" s="289">
        <f t="shared" ref="S16:AE16" si="16">R16</f>
        <v>7800</v>
      </c>
      <c r="T16" s="289">
        <f t="shared" si="16"/>
        <v>7800</v>
      </c>
      <c r="U16" s="243">
        <f t="shared" si="16"/>
        <v>7800</v>
      </c>
      <c r="V16" s="289">
        <f t="shared" si="16"/>
        <v>7800</v>
      </c>
      <c r="W16" s="243">
        <f t="shared" si="16"/>
        <v>7800</v>
      </c>
      <c r="X16" s="243">
        <f t="shared" si="16"/>
        <v>7800</v>
      </c>
      <c r="Y16" s="243">
        <f t="shared" si="16"/>
        <v>7800</v>
      </c>
      <c r="Z16" s="243">
        <f t="shared" si="16"/>
        <v>7800</v>
      </c>
      <c r="AA16" s="243">
        <f t="shared" si="16"/>
        <v>7800</v>
      </c>
      <c r="AB16" s="243">
        <f t="shared" si="16"/>
        <v>7800</v>
      </c>
      <c r="AC16" s="243">
        <f t="shared" si="16"/>
        <v>7800</v>
      </c>
      <c r="AD16" s="243">
        <f t="shared" si="16"/>
        <v>7800</v>
      </c>
      <c r="AE16" s="243">
        <f t="shared" si="16"/>
        <v>7800</v>
      </c>
    </row>
    <row r="17" spans="1:31" ht="20.25" customHeight="1" x14ac:dyDescent="0.25">
      <c r="D17" s="270" t="s">
        <v>139</v>
      </c>
      <c r="E17" s="271">
        <v>0</v>
      </c>
      <c r="F17" s="272">
        <f>E17/E35</f>
        <v>0</v>
      </c>
      <c r="G17" s="213"/>
      <c r="H17" s="258"/>
      <c r="I17" s="221"/>
      <c r="K17" s="239" t="s">
        <v>128</v>
      </c>
      <c r="L17" s="240" t="s">
        <v>129</v>
      </c>
      <c r="M17" s="86">
        <f t="shared" si="15"/>
        <v>270770</v>
      </c>
      <c r="N17" s="289">
        <v>88000</v>
      </c>
      <c r="O17" s="289">
        <v>0</v>
      </c>
      <c r="P17" s="289">
        <v>0</v>
      </c>
      <c r="Q17" s="289">
        <v>0</v>
      </c>
      <c r="R17" s="289">
        <v>0</v>
      </c>
      <c r="S17" s="289">
        <v>0</v>
      </c>
      <c r="T17" s="289">
        <v>0</v>
      </c>
      <c r="U17" s="243">
        <v>0</v>
      </c>
      <c r="V17" s="289">
        <v>0</v>
      </c>
      <c r="W17" s="243">
        <v>182770</v>
      </c>
      <c r="X17" s="243">
        <v>0</v>
      </c>
      <c r="Y17" s="243">
        <v>0</v>
      </c>
      <c r="Z17" s="243">
        <v>0</v>
      </c>
      <c r="AA17" s="243">
        <v>0</v>
      </c>
      <c r="AB17" s="243">
        <v>0</v>
      </c>
      <c r="AC17" s="243">
        <v>0</v>
      </c>
      <c r="AD17" s="243">
        <v>0</v>
      </c>
      <c r="AE17" s="243">
        <v>0</v>
      </c>
    </row>
    <row r="18" spans="1:31" x14ac:dyDescent="0.25">
      <c r="D18" s="216" t="s">
        <v>246</v>
      </c>
      <c r="E18" s="217">
        <v>0</v>
      </c>
      <c r="F18" s="254">
        <f>E18/E35</f>
        <v>0</v>
      </c>
      <c r="G18" s="205" t="s">
        <v>252</v>
      </c>
      <c r="H18" s="273">
        <f>H19</f>
        <v>0</v>
      </c>
      <c r="I18" s="207">
        <f>H18/$H$35</f>
        <v>0</v>
      </c>
      <c r="K18" s="239" t="s">
        <v>130</v>
      </c>
      <c r="L18" s="240" t="str">
        <f>K18</f>
        <v>Empleados</v>
      </c>
      <c r="M18" s="86">
        <f t="shared" si="15"/>
        <v>946560</v>
      </c>
      <c r="N18" s="289">
        <v>0</v>
      </c>
      <c r="O18" s="289">
        <v>32640</v>
      </c>
      <c r="P18" s="289">
        <v>57120</v>
      </c>
      <c r="Q18" s="289">
        <f>P18</f>
        <v>57120</v>
      </c>
      <c r="R18" s="289">
        <f t="shared" ref="R18:AE18" si="17">Q18</f>
        <v>57120</v>
      </c>
      <c r="S18" s="289">
        <f t="shared" si="17"/>
        <v>57120</v>
      </c>
      <c r="T18" s="289">
        <f t="shared" si="17"/>
        <v>57120</v>
      </c>
      <c r="U18" s="243">
        <f t="shared" si="17"/>
        <v>57120</v>
      </c>
      <c r="V18" s="289">
        <f t="shared" si="17"/>
        <v>57120</v>
      </c>
      <c r="W18" s="243">
        <f t="shared" si="17"/>
        <v>57120</v>
      </c>
      <c r="X18" s="243">
        <f t="shared" si="17"/>
        <v>57120</v>
      </c>
      <c r="Y18" s="243">
        <f t="shared" si="17"/>
        <v>57120</v>
      </c>
      <c r="Z18" s="243">
        <f t="shared" si="17"/>
        <v>57120</v>
      </c>
      <c r="AA18" s="243">
        <f t="shared" si="17"/>
        <v>57120</v>
      </c>
      <c r="AB18" s="243">
        <f t="shared" si="17"/>
        <v>57120</v>
      </c>
      <c r="AC18" s="243">
        <f t="shared" si="17"/>
        <v>57120</v>
      </c>
      <c r="AD18" s="243">
        <f t="shared" si="17"/>
        <v>57120</v>
      </c>
      <c r="AE18" s="243">
        <f t="shared" si="17"/>
        <v>57120</v>
      </c>
    </row>
    <row r="19" spans="1:31" x14ac:dyDescent="0.25">
      <c r="D19" s="216" t="s">
        <v>248</v>
      </c>
      <c r="E19" s="217">
        <v>0</v>
      </c>
      <c r="F19" s="254">
        <f>E19/E35</f>
        <v>0</v>
      </c>
      <c r="G19" s="222" t="s">
        <v>133</v>
      </c>
      <c r="H19" s="274">
        <f>M20</f>
        <v>0</v>
      </c>
      <c r="I19" s="256">
        <f>H19/$H$35</f>
        <v>0</v>
      </c>
      <c r="K19" s="239" t="s">
        <v>131</v>
      </c>
      <c r="L19" s="240" t="str">
        <f>K19</f>
        <v>Juveniles</v>
      </c>
      <c r="M19" s="86">
        <f t="shared" si="15"/>
        <v>360000</v>
      </c>
      <c r="N19" s="289">
        <v>20000</v>
      </c>
      <c r="O19" s="289">
        <v>20000</v>
      </c>
      <c r="P19" s="289">
        <v>20000</v>
      </c>
      <c r="Q19" s="289">
        <v>20000</v>
      </c>
      <c r="R19" s="289">
        <v>20000</v>
      </c>
      <c r="S19" s="289">
        <v>20000</v>
      </c>
      <c r="T19" s="289">
        <v>20000</v>
      </c>
      <c r="U19" s="243">
        <v>20000</v>
      </c>
      <c r="V19" s="289">
        <v>20000</v>
      </c>
      <c r="W19" s="243">
        <v>20000</v>
      </c>
      <c r="X19" s="243">
        <v>20000</v>
      </c>
      <c r="Y19" s="243">
        <v>20000</v>
      </c>
      <c r="Z19" s="243">
        <v>20000</v>
      </c>
      <c r="AA19" s="243">
        <v>20000</v>
      </c>
      <c r="AB19" s="243">
        <v>20000</v>
      </c>
      <c r="AC19" s="243">
        <v>20000</v>
      </c>
      <c r="AD19" s="243">
        <v>20000</v>
      </c>
      <c r="AE19" s="243">
        <v>20000</v>
      </c>
    </row>
    <row r="20" spans="1:31" ht="18.75" customHeight="1" x14ac:dyDescent="0.25">
      <c r="D20" s="213"/>
      <c r="E20" s="266"/>
      <c r="F20" s="186"/>
      <c r="G20" s="218"/>
      <c r="H20" s="275"/>
      <c r="I20" s="276"/>
      <c r="K20" s="239" t="s">
        <v>132</v>
      </c>
      <c r="L20" s="240" t="s">
        <v>133</v>
      </c>
      <c r="M20" s="86">
        <f t="shared" si="15"/>
        <v>0</v>
      </c>
      <c r="N20" s="289">
        <v>0</v>
      </c>
      <c r="O20" s="289">
        <v>0</v>
      </c>
      <c r="P20" s="289">
        <v>0</v>
      </c>
      <c r="Q20" s="289">
        <v>0</v>
      </c>
      <c r="R20" s="289">
        <v>0</v>
      </c>
      <c r="S20" s="289">
        <v>0</v>
      </c>
      <c r="T20" s="289">
        <v>0</v>
      </c>
      <c r="U20" s="243">
        <v>0</v>
      </c>
      <c r="V20" s="289">
        <v>0</v>
      </c>
      <c r="W20" s="243">
        <v>0</v>
      </c>
      <c r="X20" s="243">
        <v>0</v>
      </c>
      <c r="Y20" s="243">
        <v>0</v>
      </c>
      <c r="Z20" s="243">
        <v>0</v>
      </c>
      <c r="AA20" s="243">
        <v>0</v>
      </c>
      <c r="AB20" s="243">
        <v>0</v>
      </c>
      <c r="AC20" s="243">
        <v>0</v>
      </c>
      <c r="AD20" s="243">
        <v>0</v>
      </c>
      <c r="AE20" s="243">
        <v>0</v>
      </c>
    </row>
    <row r="21" spans="1:31" x14ac:dyDescent="0.25">
      <c r="D21" s="205" t="s">
        <v>119</v>
      </c>
      <c r="E21" s="220">
        <f>E22</f>
        <v>0</v>
      </c>
      <c r="F21" s="252">
        <f>E21/E35</f>
        <v>0</v>
      </c>
      <c r="G21" s="218"/>
      <c r="H21" s="275"/>
      <c r="I21" s="276"/>
      <c r="K21" s="442" t="s">
        <v>122</v>
      </c>
      <c r="L21" s="240" t="s">
        <v>134</v>
      </c>
      <c r="M21" s="86">
        <f t="shared" si="15"/>
        <v>268700</v>
      </c>
      <c r="N21" s="289">
        <v>0</v>
      </c>
      <c r="O21" s="289">
        <v>268700</v>
      </c>
      <c r="P21" s="289">
        <v>0</v>
      </c>
      <c r="Q21" s="289">
        <v>0</v>
      </c>
      <c r="R21" s="289">
        <v>0</v>
      </c>
      <c r="S21" s="289">
        <v>0</v>
      </c>
      <c r="T21" s="289">
        <v>0</v>
      </c>
      <c r="U21" s="243">
        <v>0</v>
      </c>
      <c r="V21" s="289">
        <v>0</v>
      </c>
      <c r="W21" s="243">
        <v>0</v>
      </c>
      <c r="X21" s="243">
        <v>0</v>
      </c>
      <c r="Y21" s="243">
        <v>0</v>
      </c>
      <c r="Z21" s="243">
        <v>0</v>
      </c>
      <c r="AA21" s="243">
        <v>0</v>
      </c>
      <c r="AB21" s="243">
        <v>0</v>
      </c>
      <c r="AC21" s="243">
        <v>0</v>
      </c>
      <c r="AD21" s="243">
        <v>0</v>
      </c>
      <c r="AE21" s="243">
        <v>0</v>
      </c>
    </row>
    <row r="22" spans="1:31" x14ac:dyDescent="0.25">
      <c r="D22" s="216" t="s">
        <v>119</v>
      </c>
      <c r="E22" s="217">
        <f>M8+M9</f>
        <v>0</v>
      </c>
      <c r="F22" s="254">
        <f>E22/E35</f>
        <v>0</v>
      </c>
      <c r="G22" s="205" t="s">
        <v>253</v>
      </c>
      <c r="H22" s="253">
        <f>SUM(H23:H24)</f>
        <v>539470</v>
      </c>
      <c r="I22" s="207">
        <f>H22/$H$35</f>
        <v>0.14517249712195329</v>
      </c>
      <c r="K22" s="443"/>
      <c r="L22" s="240" t="s">
        <v>135</v>
      </c>
      <c r="M22" s="86">
        <f t="shared" si="15"/>
        <v>7000</v>
      </c>
      <c r="N22" s="289">
        <v>7000</v>
      </c>
      <c r="O22" s="289">
        <v>0</v>
      </c>
      <c r="P22" s="289">
        <v>0</v>
      </c>
      <c r="Q22" s="289">
        <v>0</v>
      </c>
      <c r="R22" s="289">
        <v>0</v>
      </c>
      <c r="S22" s="289">
        <v>0</v>
      </c>
      <c r="T22" s="289">
        <v>0</v>
      </c>
      <c r="U22" s="243">
        <v>0</v>
      </c>
      <c r="V22" s="289">
        <v>0</v>
      </c>
      <c r="W22" s="243">
        <v>0</v>
      </c>
      <c r="X22" s="243">
        <v>0</v>
      </c>
      <c r="Y22" s="243">
        <v>0</v>
      </c>
      <c r="Z22" s="243">
        <v>0</v>
      </c>
      <c r="AA22" s="243">
        <v>0</v>
      </c>
      <c r="AB22" s="243">
        <v>0</v>
      </c>
      <c r="AC22" s="243">
        <v>0</v>
      </c>
      <c r="AD22" s="243">
        <v>0</v>
      </c>
      <c r="AE22" s="243">
        <v>0</v>
      </c>
    </row>
    <row r="23" spans="1:31" ht="15.75" customHeight="1" x14ac:dyDescent="0.3">
      <c r="C23" s="88"/>
      <c r="D23" s="213"/>
      <c r="E23" s="266"/>
      <c r="F23" s="186"/>
      <c r="G23" s="222" t="s">
        <v>129</v>
      </c>
      <c r="H23" s="277">
        <f>M17</f>
        <v>270770</v>
      </c>
      <c r="I23" s="256">
        <f>H23/$H$35</f>
        <v>7.2864769209986274E-2</v>
      </c>
      <c r="K23" s="444"/>
      <c r="L23" s="240" t="s">
        <v>265</v>
      </c>
      <c r="M23" s="86">
        <f t="shared" si="15"/>
        <v>0</v>
      </c>
      <c r="N23" s="289">
        <v>0</v>
      </c>
      <c r="O23" s="289">
        <v>0</v>
      </c>
      <c r="P23" s="289">
        <v>0</v>
      </c>
      <c r="Q23" s="289">
        <v>0</v>
      </c>
      <c r="R23" s="289">
        <v>0</v>
      </c>
      <c r="S23" s="289">
        <v>0</v>
      </c>
      <c r="T23" s="289">
        <v>0</v>
      </c>
      <c r="U23" s="243">
        <v>0</v>
      </c>
      <c r="V23" s="289">
        <v>0</v>
      </c>
      <c r="W23" s="243">
        <v>0</v>
      </c>
      <c r="X23" s="243">
        <v>0</v>
      </c>
      <c r="Y23" s="243">
        <v>0</v>
      </c>
      <c r="Z23" s="243">
        <v>0</v>
      </c>
      <c r="AA23" s="243">
        <v>0</v>
      </c>
      <c r="AB23" s="243">
        <v>0</v>
      </c>
      <c r="AC23" s="243">
        <v>0</v>
      </c>
      <c r="AD23" s="243">
        <v>0</v>
      </c>
      <c r="AE23" s="243">
        <v>0</v>
      </c>
    </row>
    <row r="24" spans="1:31" ht="18.75" x14ac:dyDescent="0.3">
      <c r="A24" s="240" t="str">
        <f t="shared" ref="A24:A31" si="18">L15</f>
        <v>Sueldos</v>
      </c>
      <c r="B24" s="293">
        <f t="shared" ref="B24:B31" si="19">M15/$M$25</f>
        <v>6.6354546523938365E-2</v>
      </c>
      <c r="C24" s="85"/>
      <c r="D24" s="205" t="s">
        <v>266</v>
      </c>
      <c r="E24" s="206">
        <f>E25+E26-E27</f>
        <v>300000</v>
      </c>
      <c r="F24" s="252">
        <f>E24/E35</f>
        <v>8.0730622901340185E-2</v>
      </c>
      <c r="G24" s="222" t="s">
        <v>134</v>
      </c>
      <c r="H24" s="277">
        <f>M21</f>
        <v>268700</v>
      </c>
      <c r="I24" s="256">
        <f>H24/$H$35</f>
        <v>7.2307727911967018E-2</v>
      </c>
      <c r="K24" s="239" t="s">
        <v>136</v>
      </c>
      <c r="L24" s="240" t="str">
        <f>K24</f>
        <v>Intereses</v>
      </c>
      <c r="M24" s="86">
        <f t="shared" si="15"/>
        <v>0</v>
      </c>
      <c r="N24" s="289">
        <v>0</v>
      </c>
      <c r="O24" s="289">
        <v>0</v>
      </c>
      <c r="P24" s="289">
        <v>0</v>
      </c>
      <c r="Q24" s="289">
        <v>0</v>
      </c>
      <c r="R24" s="289">
        <v>0</v>
      </c>
      <c r="S24" s="289">
        <v>0</v>
      </c>
      <c r="T24" s="289">
        <v>0</v>
      </c>
      <c r="U24" s="243">
        <v>0</v>
      </c>
      <c r="V24" s="289">
        <v>0</v>
      </c>
      <c r="W24" s="243">
        <v>0</v>
      </c>
      <c r="X24" s="243">
        <v>0</v>
      </c>
      <c r="Y24" s="243">
        <v>0</v>
      </c>
      <c r="Z24" s="243">
        <v>0</v>
      </c>
      <c r="AA24" s="243">
        <v>0</v>
      </c>
      <c r="AB24" s="243">
        <v>0</v>
      </c>
      <c r="AC24" s="243">
        <v>0</v>
      </c>
      <c r="AD24" s="243">
        <v>0</v>
      </c>
      <c r="AE24" s="243">
        <v>0</v>
      </c>
    </row>
    <row r="25" spans="1:31" ht="18.75" x14ac:dyDescent="0.3">
      <c r="A25" s="240" t="str">
        <f t="shared" si="18"/>
        <v xml:space="preserve">Mantenimiento </v>
      </c>
      <c r="B25" s="293">
        <f t="shared" si="19"/>
        <v>6.1733913657216796E-2</v>
      </c>
      <c r="C25" s="75"/>
      <c r="D25" s="225" t="s">
        <v>267</v>
      </c>
      <c r="E25" s="226">
        <f>N5</f>
        <v>300000</v>
      </c>
      <c r="F25" s="254">
        <f>E25/E35</f>
        <v>8.0730622901340185E-2</v>
      </c>
      <c r="G25" s="223"/>
      <c r="H25" s="278"/>
      <c r="I25" s="224"/>
      <c r="K25" s="241" t="s">
        <v>137</v>
      </c>
      <c r="L25" s="242"/>
      <c r="M25" s="87">
        <f>SUM(N25:AE25)</f>
        <v>2125250</v>
      </c>
      <c r="N25" s="244">
        <f>SUM(N15:N24)</f>
        <v>115000</v>
      </c>
      <c r="O25" s="244">
        <f>SUM(O15:O24)</f>
        <v>336480</v>
      </c>
      <c r="P25" s="244">
        <f t="shared" ref="P25:AE25" si="20">SUM(P15:P24)</f>
        <v>92310</v>
      </c>
      <c r="Q25" s="244">
        <f t="shared" si="20"/>
        <v>93010</v>
      </c>
      <c r="R25" s="244">
        <f t="shared" si="20"/>
        <v>92620</v>
      </c>
      <c r="S25" s="244">
        <f t="shared" si="20"/>
        <v>92620</v>
      </c>
      <c r="T25" s="244">
        <f t="shared" si="20"/>
        <v>92620</v>
      </c>
      <c r="U25" s="244">
        <f t="shared" si="20"/>
        <v>92620</v>
      </c>
      <c r="V25" s="244">
        <f t="shared" si="20"/>
        <v>92620</v>
      </c>
      <c r="W25" s="244">
        <f t="shared" si="20"/>
        <v>275390</v>
      </c>
      <c r="X25" s="244">
        <f t="shared" si="20"/>
        <v>92870</v>
      </c>
      <c r="Y25" s="244">
        <f t="shared" si="20"/>
        <v>93120</v>
      </c>
      <c r="Z25" s="244">
        <f t="shared" si="20"/>
        <v>93370</v>
      </c>
      <c r="AA25" s="244">
        <f t="shared" si="20"/>
        <v>93620</v>
      </c>
      <c r="AB25" s="244">
        <f t="shared" si="20"/>
        <v>93870</v>
      </c>
      <c r="AC25" s="244">
        <f t="shared" si="20"/>
        <v>94120</v>
      </c>
      <c r="AD25" s="244">
        <f t="shared" si="20"/>
        <v>94370</v>
      </c>
      <c r="AE25" s="244">
        <f t="shared" si="20"/>
        <v>94620</v>
      </c>
    </row>
    <row r="26" spans="1:31" ht="18.75" x14ac:dyDescent="0.3">
      <c r="A26" s="240" t="str">
        <f t="shared" si="18"/>
        <v>Estadio</v>
      </c>
      <c r="B26" s="293">
        <f t="shared" si="19"/>
        <v>0.12740618750735208</v>
      </c>
      <c r="C26" s="61"/>
      <c r="D26" s="225" t="str">
        <f>D12</f>
        <v>Ing Reservas</v>
      </c>
      <c r="E26" s="226">
        <f>M13</f>
        <v>0</v>
      </c>
      <c r="F26" s="254">
        <f>E26/E35</f>
        <v>0</v>
      </c>
      <c r="G26" s="205" t="s">
        <v>255</v>
      </c>
      <c r="H26" s="253">
        <f>SUM(H27:H32)</f>
        <v>1585780</v>
      </c>
      <c r="I26" s="207">
        <f t="shared" ref="I26:I32" si="21">H26/$H$35</f>
        <v>0.42673669061495745</v>
      </c>
      <c r="K26" s="89" t="s">
        <v>138</v>
      </c>
      <c r="L26" s="89"/>
      <c r="M26" s="84">
        <f t="shared" ref="M26:AE26" si="22">M5+M14-M25</f>
        <v>1051342</v>
      </c>
      <c r="N26" s="84">
        <f t="shared" si="22"/>
        <v>185000</v>
      </c>
      <c r="O26" s="84">
        <f t="shared" si="22"/>
        <v>925753</v>
      </c>
      <c r="P26" s="84">
        <f t="shared" si="22"/>
        <v>909316</v>
      </c>
      <c r="Q26" s="84">
        <f t="shared" si="22"/>
        <v>1149086</v>
      </c>
      <c r="R26" s="84">
        <f t="shared" si="22"/>
        <v>1120308</v>
      </c>
      <c r="S26" s="84">
        <f t="shared" si="22"/>
        <v>1173000</v>
      </c>
      <c r="T26" s="84">
        <f t="shared" si="22"/>
        <v>1242342</v>
      </c>
      <c r="U26" s="84">
        <f t="shared" si="22"/>
        <v>1216730</v>
      </c>
      <c r="V26" s="84">
        <f t="shared" si="22"/>
        <v>1180102</v>
      </c>
      <c r="W26" s="84">
        <f t="shared" si="22"/>
        <v>1072822</v>
      </c>
      <c r="X26" s="84">
        <f t="shared" si="22"/>
        <v>1098262</v>
      </c>
      <c r="Y26" s="84">
        <f t="shared" si="22"/>
        <v>1062952</v>
      </c>
      <c r="Z26" s="84">
        <f t="shared" si="22"/>
        <v>1089892</v>
      </c>
      <c r="AA26" s="84">
        <f t="shared" si="22"/>
        <v>1056082</v>
      </c>
      <c r="AB26" s="84">
        <f t="shared" si="22"/>
        <v>1084522</v>
      </c>
      <c r="AC26" s="84">
        <f t="shared" si="22"/>
        <v>1113712</v>
      </c>
      <c r="AD26" s="84">
        <f t="shared" si="22"/>
        <v>1082152</v>
      </c>
      <c r="AE26" s="84">
        <f t="shared" si="22"/>
        <v>1051342</v>
      </c>
    </row>
    <row r="27" spans="1:31" x14ac:dyDescent="0.25">
      <c r="A27" s="240" t="str">
        <f t="shared" si="18"/>
        <v>Empleados</v>
      </c>
      <c r="B27" s="293">
        <f t="shared" si="19"/>
        <v>0.44538760145865192</v>
      </c>
      <c r="C27" s="7"/>
      <c r="D27" s="225" t="str">
        <f>D13</f>
        <v>Pago Reservas</v>
      </c>
      <c r="E27" s="226">
        <f>M23*-1</f>
        <v>0</v>
      </c>
      <c r="F27" s="254">
        <f>E27/E35</f>
        <v>0</v>
      </c>
      <c r="G27" s="222" t="s">
        <v>256</v>
      </c>
      <c r="H27" s="277">
        <f>M15</f>
        <v>141020</v>
      </c>
      <c r="I27" s="256">
        <f t="shared" si="21"/>
        <v>3.794877480515664E-2</v>
      </c>
      <c r="K27" s="90"/>
      <c r="L27" s="90"/>
      <c r="M27" s="90"/>
      <c r="N27" s="91">
        <f>N1+7</f>
        <v>43637</v>
      </c>
      <c r="O27" s="91">
        <f>O1+7</f>
        <v>43644</v>
      </c>
      <c r="P27" s="91">
        <f t="shared" ref="P27:AE27" si="23">O27+7</f>
        <v>43651</v>
      </c>
      <c r="Q27" s="91">
        <f t="shared" si="23"/>
        <v>43658</v>
      </c>
      <c r="R27" s="91">
        <f t="shared" si="23"/>
        <v>43665</v>
      </c>
      <c r="S27" s="91">
        <f t="shared" si="23"/>
        <v>43672</v>
      </c>
      <c r="T27" s="91">
        <f t="shared" si="23"/>
        <v>43679</v>
      </c>
      <c r="U27" s="91">
        <f t="shared" si="23"/>
        <v>43686</v>
      </c>
      <c r="V27" s="91">
        <f t="shared" si="23"/>
        <v>43693</v>
      </c>
      <c r="W27" s="91">
        <f t="shared" si="23"/>
        <v>43700</v>
      </c>
      <c r="X27" s="91">
        <f t="shared" si="23"/>
        <v>43707</v>
      </c>
      <c r="Y27" s="91">
        <f t="shared" si="23"/>
        <v>43714</v>
      </c>
      <c r="Z27" s="91">
        <f t="shared" si="23"/>
        <v>43721</v>
      </c>
      <c r="AA27" s="91">
        <f t="shared" si="23"/>
        <v>43728</v>
      </c>
      <c r="AB27" s="91">
        <f t="shared" si="23"/>
        <v>43735</v>
      </c>
      <c r="AC27" s="91">
        <f t="shared" si="23"/>
        <v>43742</v>
      </c>
      <c r="AD27" s="91">
        <f t="shared" si="23"/>
        <v>43749</v>
      </c>
      <c r="AE27" s="91">
        <f t="shared" si="23"/>
        <v>43756</v>
      </c>
    </row>
    <row r="28" spans="1:31" x14ac:dyDescent="0.25">
      <c r="A28" s="240" t="str">
        <f t="shared" si="18"/>
        <v>Juveniles</v>
      </c>
      <c r="B28" s="293">
        <f t="shared" si="19"/>
        <v>0.16939183625455828</v>
      </c>
      <c r="C28" s="61"/>
      <c r="D28" s="218"/>
      <c r="E28" s="219"/>
      <c r="F28" s="254"/>
      <c r="G28" s="222" t="s">
        <v>127</v>
      </c>
      <c r="H28" s="277">
        <f>M16</f>
        <v>131200</v>
      </c>
      <c r="I28" s="256">
        <f t="shared" si="21"/>
        <v>3.5306192415519438E-2</v>
      </c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</row>
    <row r="29" spans="1:31" x14ac:dyDescent="0.25">
      <c r="A29" s="240" t="str">
        <f t="shared" si="18"/>
        <v>Compra</v>
      </c>
      <c r="B29" s="293">
        <f t="shared" si="19"/>
        <v>0</v>
      </c>
      <c r="D29" s="205" t="s">
        <v>254</v>
      </c>
      <c r="E29" s="206">
        <f>SUM(E30:E34)</f>
        <v>2876592</v>
      </c>
      <c r="F29" s="252">
        <f>E29/E35</f>
        <v>0.77409687997670651</v>
      </c>
      <c r="G29" s="222" t="s">
        <v>130</v>
      </c>
      <c r="H29" s="277">
        <f>M18</f>
        <v>946560</v>
      </c>
      <c r="I29" s="256">
        <f t="shared" si="21"/>
        <v>0.25472126137830853</v>
      </c>
      <c r="K29" s="94"/>
      <c r="L29" s="94"/>
      <c r="M29" s="95" t="s">
        <v>139</v>
      </c>
      <c r="N29" s="96">
        <v>19</v>
      </c>
      <c r="O29" s="96">
        <v>19</v>
      </c>
      <c r="P29" s="96">
        <v>19</v>
      </c>
      <c r="Q29" s="96">
        <v>18</v>
      </c>
      <c r="R29" s="96">
        <v>18</v>
      </c>
      <c r="S29" s="96">
        <v>18</v>
      </c>
      <c r="T29" s="96">
        <v>18</v>
      </c>
      <c r="U29" s="96"/>
      <c r="V29" s="96"/>
      <c r="W29" s="96">
        <v>18</v>
      </c>
      <c r="X29" s="96"/>
      <c r="Y29" s="96"/>
      <c r="Z29" s="96"/>
      <c r="AA29" s="96"/>
      <c r="AB29" s="96"/>
      <c r="AC29" s="96"/>
      <c r="AD29" s="96"/>
      <c r="AE29" s="96"/>
    </row>
    <row r="30" spans="1:31" x14ac:dyDescent="0.25">
      <c r="A30" s="240" t="str">
        <f t="shared" si="18"/>
        <v>Entrenador</v>
      </c>
      <c r="B30" s="293">
        <f t="shared" si="19"/>
        <v>0.12643218444888837</v>
      </c>
      <c r="D30" s="225" t="s">
        <v>114</v>
      </c>
      <c r="E30" s="226">
        <f>M11</f>
        <v>17520</v>
      </c>
      <c r="F30" s="254">
        <f>E30/E35</f>
        <v>4.7146683774382664E-3</v>
      </c>
      <c r="G30" s="222" t="s">
        <v>131</v>
      </c>
      <c r="H30" s="277">
        <f>M19</f>
        <v>360000</v>
      </c>
      <c r="I30" s="256">
        <f t="shared" si="21"/>
        <v>9.6876747481608225E-2</v>
      </c>
      <c r="K30" s="73"/>
      <c r="L30" s="445" t="s">
        <v>140</v>
      </c>
      <c r="M30" s="98" t="s">
        <v>21</v>
      </c>
      <c r="N30" s="96">
        <v>19270</v>
      </c>
      <c r="O30" s="96">
        <v>19090</v>
      </c>
      <c r="P30" s="96">
        <v>21290</v>
      </c>
      <c r="Q30" s="96">
        <v>21210</v>
      </c>
      <c r="R30" s="96">
        <v>22400</v>
      </c>
      <c r="S30" s="96">
        <v>23730</v>
      </c>
      <c r="T30" s="96">
        <v>25070</v>
      </c>
      <c r="U30" s="96"/>
      <c r="V30" s="96"/>
      <c r="W30" s="96">
        <v>28250</v>
      </c>
      <c r="X30" s="96"/>
      <c r="Y30" s="96"/>
      <c r="Z30" s="96"/>
      <c r="AA30" s="96"/>
      <c r="AB30" s="96"/>
      <c r="AC30" s="96"/>
      <c r="AD30" s="96"/>
      <c r="AE30" s="96"/>
    </row>
    <row r="31" spans="1:31" x14ac:dyDescent="0.25">
      <c r="A31" s="240" t="str">
        <f t="shared" si="18"/>
        <v>Viajes+Venta</v>
      </c>
      <c r="B31" s="293">
        <f t="shared" si="19"/>
        <v>3.2937301493941888E-3</v>
      </c>
      <c r="D31" s="225" t="s">
        <v>124</v>
      </c>
      <c r="E31" s="226">
        <f>M12</f>
        <v>1063000</v>
      </c>
      <c r="F31" s="254">
        <f>E31/E35</f>
        <v>0.28605550714708206</v>
      </c>
      <c r="G31" s="222" t="s">
        <v>135</v>
      </c>
      <c r="H31" s="277">
        <f>M22</f>
        <v>7000</v>
      </c>
      <c r="I31" s="256">
        <f t="shared" si="21"/>
        <v>1.8837145343646043E-3</v>
      </c>
      <c r="K31" s="73"/>
      <c r="L31" s="445"/>
      <c r="M31" s="98" t="s">
        <v>141</v>
      </c>
      <c r="N31" s="96">
        <v>7790</v>
      </c>
      <c r="O31" s="96">
        <v>7790</v>
      </c>
      <c r="P31" s="96">
        <v>7790</v>
      </c>
      <c r="Q31" s="96">
        <v>7400</v>
      </c>
      <c r="R31" s="96">
        <v>7400</v>
      </c>
      <c r="S31" s="96">
        <v>7400</v>
      </c>
      <c r="T31" s="96">
        <v>7400</v>
      </c>
      <c r="U31" s="96"/>
      <c r="V31" s="96"/>
      <c r="W31" s="96">
        <v>7400</v>
      </c>
      <c r="X31" s="96"/>
      <c r="Y31" s="96"/>
      <c r="Z31" s="96"/>
      <c r="AA31" s="96"/>
      <c r="AB31" s="96"/>
      <c r="AC31" s="96"/>
      <c r="AD31" s="96"/>
      <c r="AE31" s="96"/>
    </row>
    <row r="32" spans="1:31" x14ac:dyDescent="0.25">
      <c r="A32" s="240" t="str">
        <f>L24</f>
        <v>Intereses</v>
      </c>
      <c r="B32" s="293">
        <f>M24/$M$25</f>
        <v>0</v>
      </c>
      <c r="D32" s="225" t="s">
        <v>116</v>
      </c>
      <c r="E32" s="226">
        <f>M6</f>
        <v>979039</v>
      </c>
      <c r="F32" s="254">
        <f>E32/E35</f>
        <v>0.26346142771568398</v>
      </c>
      <c r="G32" s="222" t="s">
        <v>136</v>
      </c>
      <c r="H32" s="277">
        <f>M24</f>
        <v>0</v>
      </c>
      <c r="I32" s="256">
        <f t="shared" si="21"/>
        <v>0</v>
      </c>
      <c r="K32" s="73"/>
      <c r="L32" s="445"/>
      <c r="M32" s="98" t="s">
        <v>142</v>
      </c>
      <c r="N32" s="96">
        <v>14830</v>
      </c>
      <c r="O32" s="96">
        <v>14830</v>
      </c>
      <c r="P32" s="96">
        <v>17180</v>
      </c>
      <c r="Q32" s="96">
        <v>17260</v>
      </c>
      <c r="R32" s="96">
        <v>18430</v>
      </c>
      <c r="S32" s="96">
        <v>19740</v>
      </c>
      <c r="T32" s="96">
        <v>21040</v>
      </c>
      <c r="U32" s="96"/>
      <c r="V32" s="96"/>
      <c r="W32" s="96">
        <v>24450</v>
      </c>
      <c r="X32" s="96"/>
      <c r="Y32" s="96"/>
      <c r="Z32" s="96"/>
      <c r="AA32" s="96"/>
      <c r="AB32" s="96"/>
      <c r="AC32" s="96"/>
      <c r="AD32" s="96"/>
      <c r="AE32" s="96"/>
    </row>
    <row r="33" spans="1:31" ht="18.75" x14ac:dyDescent="0.3">
      <c r="A33" s="61"/>
      <c r="B33" s="93">
        <f>SUM(B24:B32)</f>
        <v>1</v>
      </c>
      <c r="D33" s="225" t="s">
        <v>117</v>
      </c>
      <c r="E33" s="226">
        <f>M7</f>
        <v>817033</v>
      </c>
      <c r="F33" s="254">
        <f>E33/E35</f>
        <v>0.21986527673650225</v>
      </c>
      <c r="G33" s="218"/>
      <c r="H33" s="275"/>
      <c r="I33" s="276"/>
      <c r="K33" s="73"/>
      <c r="L33" s="445"/>
      <c r="M33" s="98" t="s">
        <v>143</v>
      </c>
      <c r="N33" s="96">
        <v>5250</v>
      </c>
      <c r="O33" s="96">
        <v>5250</v>
      </c>
      <c r="P33" s="96">
        <v>5190</v>
      </c>
      <c r="Q33" s="96">
        <v>5190</v>
      </c>
      <c r="R33" s="96">
        <v>5190</v>
      </c>
      <c r="S33" s="96">
        <v>5190</v>
      </c>
      <c r="T33" s="96">
        <v>5190</v>
      </c>
      <c r="U33" s="96"/>
      <c r="V33" s="96"/>
      <c r="W33" s="96">
        <v>5210</v>
      </c>
      <c r="X33" s="96"/>
      <c r="Y33" s="96"/>
      <c r="Z33" s="96"/>
      <c r="AA33" s="96"/>
      <c r="AB33" s="96"/>
      <c r="AC33" s="96"/>
      <c r="AD33" s="96"/>
      <c r="AE33" s="96"/>
    </row>
    <row r="34" spans="1:31" ht="18.75" x14ac:dyDescent="0.3">
      <c r="A34" s="7"/>
      <c r="B34" s="97"/>
      <c r="D34" s="279" t="s">
        <v>121</v>
      </c>
      <c r="E34" s="280">
        <f>M10</f>
        <v>0</v>
      </c>
      <c r="F34" s="254">
        <f>E34/E35</f>
        <v>0</v>
      </c>
      <c r="G34" s="281"/>
      <c r="H34" s="282"/>
      <c r="I34" s="283"/>
      <c r="K34" s="73"/>
      <c r="L34" s="445"/>
      <c r="M34" s="98" t="s">
        <v>144</v>
      </c>
      <c r="N34" s="99" t="s">
        <v>145</v>
      </c>
      <c r="O34" s="99" t="s">
        <v>233</v>
      </c>
      <c r="P34" s="99" t="s">
        <v>271</v>
      </c>
      <c r="Q34" s="99" t="s">
        <v>275</v>
      </c>
      <c r="R34" s="99" t="s">
        <v>315</v>
      </c>
      <c r="S34" s="99" t="s">
        <v>319</v>
      </c>
      <c r="T34" s="99" t="s">
        <v>320</v>
      </c>
      <c r="U34" s="99"/>
      <c r="V34" s="99"/>
      <c r="W34" s="99" t="s">
        <v>341</v>
      </c>
      <c r="X34" s="99"/>
      <c r="Y34" s="99"/>
      <c r="Z34" s="99"/>
      <c r="AA34" s="99"/>
      <c r="AB34" s="99"/>
      <c r="AC34" s="99"/>
      <c r="AD34" s="99"/>
      <c r="AE34" s="99"/>
    </row>
    <row r="35" spans="1:31" ht="18.75" x14ac:dyDescent="0.3">
      <c r="A35" s="447">
        <f>M25</f>
        <v>2125250</v>
      </c>
      <c r="B35" s="447"/>
      <c r="D35" s="284" t="s">
        <v>212</v>
      </c>
      <c r="E35" s="285">
        <f>E29+E21+E15+E5+E10+E24</f>
        <v>3716062</v>
      </c>
      <c r="F35" s="227">
        <f>F29+F21+F15+F5+F10+F24</f>
        <v>0.99999999999999989</v>
      </c>
      <c r="G35" s="284" t="s">
        <v>212</v>
      </c>
      <c r="H35" s="285">
        <f>H26+H18+H10+H5+H22</f>
        <v>3716062</v>
      </c>
      <c r="I35" s="286">
        <f>H35/$H$35</f>
        <v>1</v>
      </c>
      <c r="K35" s="73"/>
      <c r="L35" s="445"/>
      <c r="M35" s="98" t="s">
        <v>146</v>
      </c>
      <c r="N35" s="100">
        <v>5.25</v>
      </c>
      <c r="O35" s="100">
        <v>5.25</v>
      </c>
      <c r="P35" s="100">
        <v>5.25</v>
      </c>
      <c r="Q35" s="100">
        <v>5.25</v>
      </c>
      <c r="R35" s="100">
        <v>5.5</v>
      </c>
      <c r="S35" s="100">
        <v>5.5</v>
      </c>
      <c r="T35" s="100">
        <v>5.5</v>
      </c>
      <c r="U35" s="100"/>
      <c r="V35" s="100"/>
      <c r="W35" s="100">
        <v>5.5</v>
      </c>
      <c r="X35" s="100"/>
      <c r="Y35" s="100"/>
      <c r="Z35" s="100"/>
      <c r="AA35" s="100"/>
      <c r="AB35" s="100"/>
      <c r="AC35" s="100"/>
      <c r="AD35" s="100"/>
      <c r="AE35" s="100"/>
    </row>
    <row r="36" spans="1:31" x14ac:dyDescent="0.25">
      <c r="E36" s="200"/>
      <c r="F36" s="228"/>
      <c r="G36" s="229"/>
      <c r="H36" s="230">
        <f>E35-H35</f>
        <v>0</v>
      </c>
      <c r="I36" s="200"/>
      <c r="K36" s="61"/>
      <c r="L36" s="445"/>
      <c r="M36" s="98" t="s">
        <v>147</v>
      </c>
      <c r="N36" s="100">
        <v>4.75</v>
      </c>
      <c r="O36" s="100">
        <v>4.75</v>
      </c>
      <c r="P36" s="100">
        <v>5.25</v>
      </c>
      <c r="Q36" s="100">
        <v>5.25</v>
      </c>
      <c r="R36" s="100">
        <v>5.5</v>
      </c>
      <c r="S36" s="100">
        <v>5.75</v>
      </c>
      <c r="T36" s="100">
        <v>6</v>
      </c>
      <c r="U36" s="100"/>
      <c r="V36" s="100"/>
      <c r="W36" s="100">
        <v>6</v>
      </c>
      <c r="X36" s="100"/>
      <c r="Y36" s="100"/>
      <c r="Z36" s="100"/>
      <c r="AA36" s="100"/>
      <c r="AB36" s="100"/>
      <c r="AC36" s="100"/>
      <c r="AD36" s="100"/>
      <c r="AE36" s="100"/>
    </row>
    <row r="37" spans="1:31" x14ac:dyDescent="0.25">
      <c r="E37" s="200"/>
      <c r="F37" s="200"/>
      <c r="H37" s="200"/>
      <c r="I37" s="200"/>
      <c r="K37" s="61"/>
      <c r="L37" s="445"/>
      <c r="M37" s="98" t="s">
        <v>148</v>
      </c>
      <c r="N37" s="100">
        <v>2.25</v>
      </c>
      <c r="O37" s="100">
        <v>2.5</v>
      </c>
      <c r="P37" s="100">
        <v>2.75</v>
      </c>
      <c r="Q37" s="100">
        <v>2.75</v>
      </c>
      <c r="R37" s="100">
        <v>2.75</v>
      </c>
      <c r="S37" s="100">
        <v>3</v>
      </c>
      <c r="T37" s="100">
        <v>3</v>
      </c>
      <c r="U37" s="100"/>
      <c r="V37" s="100"/>
      <c r="W37" s="100">
        <v>2.75</v>
      </c>
      <c r="X37" s="100"/>
      <c r="Y37" s="100"/>
      <c r="Z37" s="100"/>
      <c r="AA37" s="100"/>
      <c r="AB37" s="100"/>
      <c r="AC37" s="100"/>
      <c r="AD37" s="100"/>
      <c r="AE37" s="100"/>
    </row>
    <row r="38" spans="1:31" ht="15.75" x14ac:dyDescent="0.25">
      <c r="D38" s="231"/>
      <c r="E38" s="232"/>
      <c r="F38" s="200"/>
      <c r="G38" s="233"/>
      <c r="H38" s="234"/>
      <c r="I38" s="234"/>
      <c r="K38" s="61"/>
      <c r="L38" s="61"/>
      <c r="M38" s="101" t="s">
        <v>149</v>
      </c>
      <c r="N38" s="102">
        <f t="shared" ref="N38:O38" si="24">N30/N31</f>
        <v>2.4736842105263159</v>
      </c>
      <c r="O38" s="102">
        <f t="shared" si="24"/>
        <v>2.4505776636713734</v>
      </c>
      <c r="P38" s="102">
        <f t="shared" ref="P38:AE38" si="25">P30/P31</f>
        <v>2.7329910141206675</v>
      </c>
      <c r="Q38" s="102">
        <f t="shared" si="25"/>
        <v>2.8662162162162161</v>
      </c>
      <c r="R38" s="102">
        <f t="shared" si="25"/>
        <v>3.0270270270270272</v>
      </c>
      <c r="S38" s="102">
        <f t="shared" si="25"/>
        <v>3.2067567567567568</v>
      </c>
      <c r="T38" s="102">
        <f t="shared" si="25"/>
        <v>3.387837837837838</v>
      </c>
      <c r="U38" s="102"/>
      <c r="V38" s="102"/>
      <c r="W38" s="102">
        <f t="shared" si="25"/>
        <v>3.8175675675675675</v>
      </c>
      <c r="X38" s="102" t="e">
        <f t="shared" si="25"/>
        <v>#DIV/0!</v>
      </c>
      <c r="Y38" s="102" t="e">
        <f t="shared" si="25"/>
        <v>#DIV/0!</v>
      </c>
      <c r="Z38" s="102" t="e">
        <f t="shared" si="25"/>
        <v>#DIV/0!</v>
      </c>
      <c r="AA38" s="102" t="e">
        <f t="shared" si="25"/>
        <v>#DIV/0!</v>
      </c>
      <c r="AB38" s="102" t="e">
        <f t="shared" si="25"/>
        <v>#DIV/0!</v>
      </c>
      <c r="AC38" s="102" t="e">
        <f t="shared" si="25"/>
        <v>#DIV/0!</v>
      </c>
      <c r="AD38" s="102" t="e">
        <f t="shared" si="25"/>
        <v>#DIV/0!</v>
      </c>
      <c r="AE38" s="102" t="e">
        <f t="shared" si="25"/>
        <v>#DIV/0!</v>
      </c>
    </row>
    <row r="39" spans="1:31" x14ac:dyDescent="0.25">
      <c r="E39" s="234"/>
      <c r="F39" s="200"/>
      <c r="H39" s="200"/>
      <c r="I39" s="200"/>
      <c r="K39" s="61"/>
      <c r="L39" s="61"/>
      <c r="M39" s="61"/>
      <c r="N39" s="61"/>
      <c r="O39" s="62"/>
      <c r="P39" s="74"/>
      <c r="Q39" s="448"/>
      <c r="R39" s="448"/>
      <c r="S39" s="448"/>
      <c r="T39" s="448"/>
    </row>
    <row r="40" spans="1:31" x14ac:dyDescent="0.25">
      <c r="E40" s="200"/>
      <c r="F40" s="200"/>
      <c r="H40" s="200"/>
      <c r="I40" s="200"/>
      <c r="K40" s="61"/>
      <c r="L40" s="61"/>
      <c r="M40" s="61"/>
      <c r="N40" s="61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spans="1:31" x14ac:dyDescent="0.25">
      <c r="K41" s="61"/>
      <c r="L41" s="61"/>
      <c r="M41" s="61"/>
      <c r="N41" s="61"/>
      <c r="P41" s="74"/>
      <c r="Q41" s="74"/>
      <c r="R41" s="74"/>
      <c r="S41" s="74"/>
      <c r="T41" s="74"/>
      <c r="U41" s="74"/>
      <c r="V41" s="74"/>
      <c r="W41" s="416"/>
      <c r="X41" s="74"/>
      <c r="Y41" s="74"/>
      <c r="Z41" s="74"/>
      <c r="AA41" s="74"/>
      <c r="AB41" s="74"/>
      <c r="AC41" s="74"/>
      <c r="AD41" s="74"/>
      <c r="AE41" s="74"/>
    </row>
    <row r="42" spans="1:31" x14ac:dyDescent="0.25">
      <c r="K42" s="61"/>
      <c r="L42" s="61"/>
      <c r="M42" s="61"/>
      <c r="N42" s="61"/>
      <c r="P42" s="74"/>
      <c r="Q42" s="438"/>
      <c r="R42" s="438"/>
      <c r="S42" s="438"/>
      <c r="T42" s="438"/>
      <c r="W42" s="104"/>
    </row>
    <row r="43" spans="1:31" x14ac:dyDescent="0.25">
      <c r="K43" s="61"/>
      <c r="L43" s="61"/>
      <c r="M43" s="61"/>
      <c r="N43" s="61"/>
      <c r="O43" s="104"/>
      <c r="P43" s="74"/>
      <c r="Q43" s="105"/>
      <c r="R43" s="105"/>
      <c r="S43" s="105"/>
      <c r="T43" s="105"/>
    </row>
    <row r="44" spans="1:31" x14ac:dyDescent="0.25">
      <c r="K44" s="61"/>
      <c r="L44" s="61"/>
      <c r="M44" s="61"/>
      <c r="N44" s="61"/>
      <c r="P44" s="74"/>
      <c r="Q44" s="438"/>
      <c r="R44" s="438"/>
      <c r="S44" s="438"/>
      <c r="T44" s="438"/>
      <c r="Z44" s="104"/>
    </row>
    <row r="45" spans="1:31" x14ac:dyDescent="0.25">
      <c r="K45" s="61"/>
      <c r="L45" s="61"/>
      <c r="M45" s="61"/>
      <c r="N45" s="61"/>
      <c r="P45" s="74"/>
      <c r="Q45" s="438"/>
      <c r="R45" s="438"/>
      <c r="S45" s="438"/>
      <c r="T45" s="106"/>
    </row>
    <row r="46" spans="1:31" x14ac:dyDescent="0.25">
      <c r="K46" s="61"/>
      <c r="L46" s="61"/>
      <c r="M46" s="61"/>
      <c r="N46" s="61"/>
      <c r="P46" s="74"/>
    </row>
    <row r="47" spans="1:31" x14ac:dyDescent="0.25">
      <c r="K47" s="61"/>
      <c r="L47" s="61"/>
      <c r="M47" s="61"/>
      <c r="N47" s="61"/>
      <c r="P47" s="74"/>
    </row>
    <row r="48" spans="1:31" x14ac:dyDescent="0.25">
      <c r="K48" s="61"/>
      <c r="L48" s="61"/>
      <c r="M48" s="61"/>
      <c r="N48" s="61"/>
      <c r="P48" s="74"/>
    </row>
    <row r="49" spans="11:16" x14ac:dyDescent="0.25">
      <c r="K49" s="61"/>
      <c r="L49" s="61"/>
      <c r="M49" s="61"/>
      <c r="N49" s="61"/>
      <c r="P49" s="74"/>
    </row>
    <row r="50" spans="11:16" x14ac:dyDescent="0.25">
      <c r="K50" s="61"/>
      <c r="L50" s="61"/>
      <c r="M50" s="61"/>
      <c r="N50" s="61"/>
      <c r="P50" s="74"/>
    </row>
    <row r="51" spans="11:16" x14ac:dyDescent="0.25">
      <c r="K51" s="61"/>
      <c r="L51" s="61"/>
      <c r="M51" s="61"/>
      <c r="N51" s="61"/>
      <c r="P51" s="74"/>
    </row>
    <row r="52" spans="11:16" x14ac:dyDescent="0.25">
      <c r="K52" s="61"/>
      <c r="L52" s="61"/>
      <c r="M52" s="61"/>
      <c r="N52" s="61"/>
      <c r="P52" s="74"/>
    </row>
    <row r="53" spans="11:16" x14ac:dyDescent="0.25">
      <c r="K53" s="61"/>
      <c r="L53" s="61"/>
      <c r="M53" s="61"/>
      <c r="N53" s="61"/>
      <c r="P53" s="74"/>
    </row>
    <row r="54" spans="11:16" x14ac:dyDescent="0.25">
      <c r="K54" s="61"/>
      <c r="L54" s="61"/>
      <c r="M54" s="61"/>
      <c r="N54" s="61"/>
      <c r="P54" s="74"/>
    </row>
    <row r="55" spans="11:16" x14ac:dyDescent="0.25">
      <c r="K55" s="61"/>
      <c r="L55" s="61"/>
      <c r="M55" s="61"/>
      <c r="N55" s="61"/>
      <c r="P55" s="74"/>
    </row>
    <row r="56" spans="11:16" x14ac:dyDescent="0.25">
      <c r="K56" s="61"/>
      <c r="L56" s="61"/>
      <c r="M56" s="61"/>
      <c r="N56" s="61"/>
      <c r="P56" s="74"/>
    </row>
    <row r="57" spans="11:16" x14ac:dyDescent="0.25">
      <c r="K57" s="61"/>
      <c r="L57" s="61"/>
      <c r="M57" s="61"/>
      <c r="N57" s="61"/>
      <c r="P57" s="74"/>
    </row>
    <row r="58" spans="11:16" x14ac:dyDescent="0.25">
      <c r="K58" s="61"/>
      <c r="L58" s="61"/>
      <c r="M58" s="61"/>
      <c r="N58" s="61"/>
      <c r="P58" s="74"/>
    </row>
    <row r="59" spans="11:16" x14ac:dyDescent="0.25">
      <c r="K59" s="61"/>
      <c r="L59" s="61"/>
      <c r="M59" s="61"/>
      <c r="N59" s="61"/>
      <c r="P59" s="74"/>
    </row>
    <row r="60" spans="11:16" x14ac:dyDescent="0.25">
      <c r="K60" s="61"/>
      <c r="L60" s="61"/>
      <c r="M60" s="61"/>
      <c r="N60" s="61"/>
      <c r="P60" s="74"/>
    </row>
    <row r="61" spans="11:16" x14ac:dyDescent="0.25">
      <c r="K61" s="61"/>
      <c r="L61" s="61"/>
      <c r="M61" s="61"/>
      <c r="N61" s="61"/>
      <c r="P61" s="74"/>
    </row>
    <row r="62" spans="11:16" x14ac:dyDescent="0.25">
      <c r="K62" s="61"/>
      <c r="L62" s="61"/>
      <c r="M62" s="61"/>
      <c r="N62" s="61"/>
      <c r="P62" s="74"/>
    </row>
    <row r="63" spans="11:16" x14ac:dyDescent="0.25">
      <c r="K63" s="61"/>
      <c r="L63" s="61"/>
      <c r="M63" s="61"/>
      <c r="N63" s="61"/>
      <c r="P63" s="74"/>
    </row>
    <row r="64" spans="11:16" x14ac:dyDescent="0.25">
      <c r="K64" s="61"/>
      <c r="L64" s="61"/>
      <c r="M64" s="61"/>
      <c r="N64" s="61"/>
      <c r="P64" s="74"/>
    </row>
    <row r="65" spans="11:16" x14ac:dyDescent="0.25">
      <c r="K65" s="61"/>
      <c r="L65" s="61"/>
      <c r="M65" s="61"/>
      <c r="N65" s="61"/>
      <c r="P65" s="74"/>
    </row>
    <row r="66" spans="11:16" x14ac:dyDescent="0.25">
      <c r="K66" s="61"/>
      <c r="L66" s="61"/>
      <c r="M66" s="61"/>
      <c r="N66" s="61"/>
      <c r="P66" s="74"/>
    </row>
    <row r="67" spans="11:16" x14ac:dyDescent="0.25">
      <c r="K67" s="61"/>
      <c r="L67" s="61"/>
      <c r="M67" s="61"/>
      <c r="N67" s="61"/>
      <c r="P67" s="74"/>
    </row>
    <row r="68" spans="11:16" x14ac:dyDescent="0.25">
      <c r="K68" s="61"/>
      <c r="L68" s="61"/>
      <c r="M68" s="61"/>
      <c r="N68" s="61"/>
      <c r="P68" s="74"/>
    </row>
    <row r="69" spans="11:16" x14ac:dyDescent="0.25">
      <c r="K69" s="61"/>
      <c r="L69" s="61"/>
      <c r="M69" s="61"/>
      <c r="N69" s="61"/>
      <c r="P69" s="74"/>
    </row>
    <row r="70" spans="11:16" x14ac:dyDescent="0.25">
      <c r="K70" s="61"/>
      <c r="L70" s="61"/>
      <c r="M70" s="61"/>
      <c r="N70" s="61"/>
      <c r="P70" s="74"/>
    </row>
    <row r="71" spans="11:16" x14ac:dyDescent="0.25">
      <c r="K71" s="61"/>
      <c r="L71" s="61"/>
      <c r="M71" s="61"/>
      <c r="N71" s="61"/>
      <c r="P71" s="74"/>
    </row>
    <row r="72" spans="11:16" x14ac:dyDescent="0.25">
      <c r="K72" s="61"/>
      <c r="L72" s="61"/>
      <c r="M72" s="61"/>
      <c r="N72" s="61"/>
      <c r="P72" s="74"/>
    </row>
    <row r="73" spans="11:16" x14ac:dyDescent="0.25">
      <c r="K73" s="61"/>
      <c r="L73" s="61"/>
      <c r="M73" s="61"/>
      <c r="N73" s="61"/>
      <c r="P73" s="74"/>
    </row>
    <row r="74" spans="11:16" x14ac:dyDescent="0.25">
      <c r="K74" s="61"/>
      <c r="L74" s="61"/>
      <c r="M74" s="61"/>
      <c r="N74" s="61"/>
      <c r="P74" s="74"/>
    </row>
    <row r="75" spans="11:16" x14ac:dyDescent="0.25">
      <c r="K75" s="61"/>
      <c r="L75" s="61"/>
      <c r="M75" s="61"/>
      <c r="N75" s="61"/>
      <c r="P75" s="74"/>
    </row>
    <row r="76" spans="11:16" x14ac:dyDescent="0.25">
      <c r="K76" s="61"/>
      <c r="L76" s="61"/>
      <c r="M76" s="61"/>
      <c r="N76" s="61"/>
      <c r="P76" s="74"/>
    </row>
    <row r="77" spans="11:16" x14ac:dyDescent="0.25">
      <c r="K77" s="61"/>
      <c r="L77" s="61"/>
      <c r="M77" s="61"/>
      <c r="N77" s="61"/>
      <c r="P77" s="74"/>
    </row>
    <row r="78" spans="11:16" x14ac:dyDescent="0.25">
      <c r="K78" s="61"/>
      <c r="L78" s="61"/>
      <c r="M78" s="61"/>
      <c r="N78" s="61"/>
      <c r="P78" s="74"/>
    </row>
    <row r="79" spans="11:16" x14ac:dyDescent="0.25">
      <c r="K79" s="61"/>
      <c r="L79" s="61"/>
      <c r="M79" s="61"/>
      <c r="N79" s="61"/>
      <c r="P79" s="74"/>
    </row>
    <row r="80" spans="11:16" x14ac:dyDescent="0.25">
      <c r="K80" s="61"/>
      <c r="L80" s="61"/>
      <c r="M80" s="61"/>
      <c r="N80" s="61"/>
      <c r="P80" s="74"/>
    </row>
    <row r="81" spans="11:16" x14ac:dyDescent="0.25">
      <c r="K81" s="61"/>
      <c r="L81" s="61"/>
      <c r="M81" s="61"/>
      <c r="N81" s="61"/>
      <c r="P81" s="74"/>
    </row>
  </sheetData>
  <mergeCells count="14">
    <mergeCell ref="Q45:S45"/>
    <mergeCell ref="K21:K23"/>
    <mergeCell ref="L30:L37"/>
    <mergeCell ref="A15:B15"/>
    <mergeCell ref="A35:B35"/>
    <mergeCell ref="Q39:R39"/>
    <mergeCell ref="S39:T39"/>
    <mergeCell ref="Q42:T42"/>
    <mergeCell ref="D1:I1"/>
    <mergeCell ref="D2:I2"/>
    <mergeCell ref="D3:E3"/>
    <mergeCell ref="G3:H3"/>
    <mergeCell ref="Q44:T44"/>
    <mergeCell ref="K11:K13"/>
  </mergeCells>
  <conditionalFormatting sqref="H11:H16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H38">
    <cfRule type="cellIs" dxfId="4" priority="3" operator="lessThan">
      <formula>0</formula>
    </cfRule>
  </conditionalFormatting>
  <conditionalFormatting sqref="E39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AV39"/>
  <sheetViews>
    <sheetView zoomScaleNormal="100" workbookViewId="0">
      <selection activeCell="B17" sqref="B17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/>
    <col min="14" max="18" width="12" customWidth="1"/>
    <col min="19" max="19" width="11.42578125"/>
    <col min="20" max="20" width="12" customWidth="1"/>
    <col min="21" max="21" width="11.42578125"/>
    <col min="22" max="30" width="12.42578125" customWidth="1"/>
    <col min="31" max="37" width="6.5703125" customWidth="1"/>
    <col min="38" max="1025" width="9.140625" customWidth="1"/>
  </cols>
  <sheetData>
    <row r="1" spans="1:35" ht="32.25" x14ac:dyDescent="0.25">
      <c r="M1" s="148" t="s">
        <v>187</v>
      </c>
      <c r="N1" s="148" t="s">
        <v>188</v>
      </c>
      <c r="O1" s="148" t="s">
        <v>189</v>
      </c>
      <c r="P1" s="148" t="s">
        <v>190</v>
      </c>
      <c r="Q1" s="148" t="s">
        <v>191</v>
      </c>
      <c r="R1" s="148" t="s">
        <v>192</v>
      </c>
      <c r="S1" s="148" t="s">
        <v>193</v>
      </c>
      <c r="U1" s="148" t="s">
        <v>194</v>
      </c>
    </row>
    <row r="2" spans="1:35" x14ac:dyDescent="0.25">
      <c r="C2" s="149" t="s">
        <v>195</v>
      </c>
      <c r="D2" s="449" t="s">
        <v>196</v>
      </c>
      <c r="E2" s="449"/>
      <c r="F2" s="450" t="s">
        <v>197</v>
      </c>
      <c r="G2" s="450"/>
      <c r="H2" s="451" t="s">
        <v>198</v>
      </c>
      <c r="I2" s="451"/>
      <c r="K2" s="60"/>
      <c r="M2" s="150">
        <v>11</v>
      </c>
      <c r="N2" s="151">
        <v>14.98</v>
      </c>
      <c r="O2" s="151">
        <v>5.95</v>
      </c>
      <c r="P2" s="152">
        <f t="shared" ref="P2:P12" si="0">U2*0.97</f>
        <v>5.3253000000000004</v>
      </c>
      <c r="Q2" s="151">
        <v>0.68</v>
      </c>
      <c r="R2" s="153">
        <v>27.09</v>
      </c>
      <c r="U2" s="151">
        <v>5.49</v>
      </c>
    </row>
    <row r="3" spans="1:35" x14ac:dyDescent="0.25">
      <c r="A3" s="154" t="s">
        <v>199</v>
      </c>
      <c r="B3" s="155">
        <f>B4+B5+B6+B7</f>
        <v>12400</v>
      </c>
      <c r="C3" s="156">
        <f>C4+C5+C6+C7</f>
        <v>14287</v>
      </c>
      <c r="D3" s="25" t="s">
        <v>200</v>
      </c>
      <c r="E3" s="25" t="s">
        <v>201</v>
      </c>
      <c r="F3" s="25" t="s">
        <v>200</v>
      </c>
      <c r="G3" s="25" t="s">
        <v>202</v>
      </c>
      <c r="H3" s="25" t="s">
        <v>200</v>
      </c>
      <c r="I3" s="157" t="s">
        <v>203</v>
      </c>
      <c r="J3" s="25" t="s">
        <v>204</v>
      </c>
      <c r="K3" s="25" t="s">
        <v>205</v>
      </c>
      <c r="M3" s="150">
        <v>10</v>
      </c>
      <c r="N3" s="158">
        <v>14.23</v>
      </c>
      <c r="O3" s="158">
        <v>5.59</v>
      </c>
      <c r="P3" s="152">
        <f t="shared" si="0"/>
        <v>4.9179000000000004</v>
      </c>
      <c r="Q3" s="158">
        <v>0.62</v>
      </c>
      <c r="R3" s="159">
        <v>25.52</v>
      </c>
      <c r="U3" s="158">
        <v>5.07</v>
      </c>
    </row>
    <row r="4" spans="1:35" x14ac:dyDescent="0.25">
      <c r="A4" s="154" t="s">
        <v>206</v>
      </c>
      <c r="B4" s="155">
        <v>8000</v>
      </c>
      <c r="C4" s="160">
        <v>8389</v>
      </c>
      <c r="D4" s="161">
        <v>45</v>
      </c>
      <c r="E4" s="162">
        <f>D4*(C4-B4)</f>
        <v>17505</v>
      </c>
      <c r="F4" s="163">
        <v>0.5</v>
      </c>
      <c r="G4" s="162">
        <f>(C4-B4)*F4</f>
        <v>194.5</v>
      </c>
      <c r="H4" s="163">
        <v>7</v>
      </c>
      <c r="I4" s="164">
        <f>(C4-B4)*H4</f>
        <v>2723</v>
      </c>
      <c r="J4" s="162">
        <f>H4*C4</f>
        <v>58723</v>
      </c>
      <c r="K4" s="25">
        <f>B4*F4</f>
        <v>4000</v>
      </c>
      <c r="L4" s="68">
        <f>5000*N13*F4</f>
        <v>1382.4289405684756</v>
      </c>
      <c r="M4" s="150">
        <v>9</v>
      </c>
      <c r="N4" s="151">
        <v>13.49</v>
      </c>
      <c r="O4" s="151">
        <v>5.24</v>
      </c>
      <c r="P4" s="152">
        <f t="shared" si="0"/>
        <v>4.5202</v>
      </c>
      <c r="Q4" s="151">
        <v>0.56999999999999995</v>
      </c>
      <c r="R4" s="153">
        <v>23.95</v>
      </c>
      <c r="U4" s="151">
        <v>4.66</v>
      </c>
    </row>
    <row r="5" spans="1:35" x14ac:dyDescent="0.25">
      <c r="A5" s="154" t="s">
        <v>207</v>
      </c>
      <c r="B5" s="155">
        <v>3000</v>
      </c>
      <c r="C5" s="165">
        <v>3107</v>
      </c>
      <c r="D5" s="166">
        <v>75</v>
      </c>
      <c r="E5" s="162">
        <f>D5*(C5-B5)</f>
        <v>8025</v>
      </c>
      <c r="F5" s="167">
        <v>0.7</v>
      </c>
      <c r="G5" s="162">
        <f>(C5-B5)*F5</f>
        <v>74.899999999999991</v>
      </c>
      <c r="H5" s="167">
        <v>10</v>
      </c>
      <c r="I5" s="164">
        <f>(C5-B5)*H5</f>
        <v>1070</v>
      </c>
      <c r="J5" s="162">
        <f>H5*C5</f>
        <v>31070</v>
      </c>
      <c r="K5" s="25">
        <f>B5*F5</f>
        <v>2100</v>
      </c>
      <c r="L5" s="68">
        <f>5000*O13*F5</f>
        <v>768.73385012919903</v>
      </c>
      <c r="M5" s="150">
        <v>8</v>
      </c>
      <c r="N5" s="158">
        <v>12.74</v>
      </c>
      <c r="O5" s="158">
        <v>4.8899999999999997</v>
      </c>
      <c r="P5" s="152">
        <f t="shared" si="0"/>
        <v>4.1224999999999996</v>
      </c>
      <c r="Q5" s="158">
        <v>0.51</v>
      </c>
      <c r="R5" s="159">
        <v>22.39</v>
      </c>
      <c r="U5" s="158">
        <v>4.25</v>
      </c>
    </row>
    <row r="6" spans="1:35" x14ac:dyDescent="0.25">
      <c r="A6" s="154" t="s">
        <v>208</v>
      </c>
      <c r="B6" s="155">
        <v>1200</v>
      </c>
      <c r="C6" s="165">
        <v>2486</v>
      </c>
      <c r="D6" s="161">
        <v>90</v>
      </c>
      <c r="E6" s="162">
        <f>D6*(C6-B6)</f>
        <v>115740</v>
      </c>
      <c r="F6" s="163">
        <v>1</v>
      </c>
      <c r="G6" s="162">
        <f>(C6-B6)*F6</f>
        <v>1286</v>
      </c>
      <c r="H6" s="163">
        <v>19</v>
      </c>
      <c r="I6" s="164">
        <f>(C6-B6)*H6</f>
        <v>24434</v>
      </c>
      <c r="J6" s="162">
        <f>H6*C6</f>
        <v>47234</v>
      </c>
      <c r="K6" s="25">
        <f>B6*F6</f>
        <v>1200</v>
      </c>
      <c r="L6" s="68">
        <f>5000*P13*F6</f>
        <v>982.89036544850512</v>
      </c>
      <c r="M6" s="150">
        <v>7</v>
      </c>
      <c r="N6" s="151">
        <v>12</v>
      </c>
      <c r="O6" s="151">
        <v>4.53</v>
      </c>
      <c r="P6" s="152">
        <f t="shared" si="0"/>
        <v>3.7247999999999997</v>
      </c>
      <c r="Q6" s="151">
        <v>0.46</v>
      </c>
      <c r="R6" s="153">
        <v>20.83</v>
      </c>
      <c r="U6" s="151">
        <v>3.84</v>
      </c>
    </row>
    <row r="7" spans="1:35" x14ac:dyDescent="0.25">
      <c r="A7" s="154" t="s">
        <v>209</v>
      </c>
      <c r="B7" s="155">
        <v>200</v>
      </c>
      <c r="C7" s="168">
        <v>305</v>
      </c>
      <c r="D7" s="166">
        <v>300</v>
      </c>
      <c r="E7" s="162">
        <f>D7*(C7-B7)</f>
        <v>31500</v>
      </c>
      <c r="F7" s="167">
        <v>2.5</v>
      </c>
      <c r="G7" s="162">
        <f>(C7-B7)*F7</f>
        <v>262.5</v>
      </c>
      <c r="H7" s="167">
        <v>35</v>
      </c>
      <c r="I7" s="164">
        <f>(C7-B7)*H7</f>
        <v>3675</v>
      </c>
      <c r="J7" s="162">
        <f>H7*C7</f>
        <v>10675</v>
      </c>
      <c r="K7" s="25">
        <f>B7*F7</f>
        <v>500</v>
      </c>
      <c r="L7" s="68">
        <f>5000*Q13*F7</f>
        <v>313.76891842008126</v>
      </c>
      <c r="M7" s="150">
        <v>6</v>
      </c>
      <c r="N7" s="158">
        <v>11.26</v>
      </c>
      <c r="O7" s="158">
        <v>4.17</v>
      </c>
      <c r="P7" s="152">
        <f t="shared" si="0"/>
        <v>3.3367999999999998</v>
      </c>
      <c r="Q7" s="158">
        <v>0.41</v>
      </c>
      <c r="R7" s="159">
        <v>19.27</v>
      </c>
      <c r="U7" s="158">
        <v>3.44</v>
      </c>
    </row>
    <row r="8" spans="1:35" x14ac:dyDescent="0.25">
      <c r="C8" s="169">
        <f>C4/$C$3</f>
        <v>0.58717715405613491</v>
      </c>
      <c r="J8" s="162">
        <f>J7+J6+J5+J4</f>
        <v>147702</v>
      </c>
      <c r="K8" s="25">
        <f>K7+K6+K5+K4</f>
        <v>7800</v>
      </c>
      <c r="L8" s="25">
        <f>L7+L6+L5+L4</f>
        <v>3447.8220745662611</v>
      </c>
      <c r="M8" s="150">
        <v>5</v>
      </c>
      <c r="N8" s="151">
        <v>10.52</v>
      </c>
      <c r="O8" s="151">
        <v>3.81</v>
      </c>
      <c r="P8" s="152">
        <f t="shared" si="0"/>
        <v>2.9390999999999998</v>
      </c>
      <c r="Q8" s="151">
        <v>0.35</v>
      </c>
      <c r="R8" s="153">
        <v>17.72</v>
      </c>
      <c r="U8" s="151">
        <v>3.03</v>
      </c>
    </row>
    <row r="9" spans="1:35" x14ac:dyDescent="0.25">
      <c r="C9" s="170">
        <f>C5/$C$3</f>
        <v>0.21747042766151045</v>
      </c>
      <c r="E9" s="171">
        <f>C4-B4</f>
        <v>389</v>
      </c>
      <c r="H9">
        <f>H10+H11+H12+H13</f>
        <v>71304</v>
      </c>
      <c r="M9" s="150">
        <v>4</v>
      </c>
      <c r="N9" s="158">
        <v>9.8000000000000007</v>
      </c>
      <c r="O9" s="158">
        <v>3.46</v>
      </c>
      <c r="P9" s="152">
        <f t="shared" si="0"/>
        <v>2.5510999999999999</v>
      </c>
      <c r="Q9" s="158">
        <v>0.3</v>
      </c>
      <c r="R9" s="159">
        <v>16.170000000000002</v>
      </c>
      <c r="U9" s="158">
        <v>2.63</v>
      </c>
    </row>
    <row r="10" spans="1:35" x14ac:dyDescent="0.25">
      <c r="B10" s="172">
        <f>B11/B13</f>
        <v>5.4713574437818026E-2</v>
      </c>
      <c r="C10" s="170">
        <f>C6/$C$3</f>
        <v>0.17400433960943515</v>
      </c>
      <c r="E10" s="171">
        <f>C5-B5</f>
        <v>107</v>
      </c>
      <c r="H10">
        <v>40146</v>
      </c>
      <c r="I10" s="173">
        <f>H10/$H$9</f>
        <v>0.56302591719959605</v>
      </c>
      <c r="M10" s="150">
        <v>3</v>
      </c>
      <c r="N10" s="151">
        <v>9.09</v>
      </c>
      <c r="O10" s="151">
        <v>3.1</v>
      </c>
      <c r="P10" s="152">
        <f t="shared" si="0"/>
        <v>2.1436999999999999</v>
      </c>
      <c r="Q10" s="151">
        <v>0.24</v>
      </c>
      <c r="R10" s="153">
        <v>14.63</v>
      </c>
      <c r="U10" s="151">
        <v>2.21</v>
      </c>
    </row>
    <row r="11" spans="1:35" x14ac:dyDescent="0.25">
      <c r="A11" s="174" t="s">
        <v>210</v>
      </c>
      <c r="B11" s="175">
        <v>10000</v>
      </c>
      <c r="C11" s="170">
        <f>C7/$C$3</f>
        <v>2.1348078672919438E-2</v>
      </c>
      <c r="E11" s="171">
        <f>C6-B6</f>
        <v>1286</v>
      </c>
      <c r="H11">
        <v>15594</v>
      </c>
      <c r="I11" s="173">
        <f>H11/$H$9</f>
        <v>0.21869740828004039</v>
      </c>
      <c r="M11" s="150">
        <v>2</v>
      </c>
      <c r="N11" s="158">
        <v>8.42</v>
      </c>
      <c r="O11" s="158">
        <v>2.73</v>
      </c>
      <c r="P11" s="152">
        <f t="shared" si="0"/>
        <v>1.7168999999999999</v>
      </c>
      <c r="Q11" s="158">
        <v>0.18</v>
      </c>
      <c r="R11" s="159">
        <v>13.09</v>
      </c>
      <c r="U11" s="158">
        <v>1.77</v>
      </c>
    </row>
    <row r="12" spans="1:35" x14ac:dyDescent="0.25">
      <c r="A12" s="174" t="s">
        <v>211</v>
      </c>
      <c r="B12" s="176">
        <f>E7+E6+E5+E4</f>
        <v>172770</v>
      </c>
      <c r="E12" s="171">
        <f>C7-B7</f>
        <v>105</v>
      </c>
      <c r="H12">
        <v>13868</v>
      </c>
      <c r="I12" s="173">
        <f>H12/$H$9</f>
        <v>0.19449119263996409</v>
      </c>
      <c r="M12" s="150">
        <v>1</v>
      </c>
      <c r="N12" s="151">
        <v>7.85</v>
      </c>
      <c r="O12" s="151">
        <v>2.34</v>
      </c>
      <c r="P12" s="152">
        <f t="shared" si="0"/>
        <v>1.1931</v>
      </c>
      <c r="Q12" s="151">
        <v>0.1</v>
      </c>
      <c r="R12" s="153">
        <v>11.53</v>
      </c>
      <c r="U12" s="151">
        <v>1.23</v>
      </c>
    </row>
    <row r="13" spans="1:35" x14ac:dyDescent="0.25">
      <c r="A13" s="177" t="s">
        <v>212</v>
      </c>
      <c r="B13" s="178">
        <f>B11+B12</f>
        <v>182770</v>
      </c>
      <c r="H13">
        <v>1696</v>
      </c>
      <c r="I13" s="173">
        <f>H13/$H$9</f>
        <v>2.3785481880399417E-2</v>
      </c>
      <c r="N13">
        <f>N2/R2</f>
        <v>0.55297157622739024</v>
      </c>
      <c r="O13">
        <f>O2/R2</f>
        <v>0.21963824289405687</v>
      </c>
      <c r="P13" s="152">
        <f>P2/R2</f>
        <v>0.19657807308970102</v>
      </c>
      <c r="Q13">
        <f>Q2/R2</f>
        <v>2.51015134736065E-2</v>
      </c>
    </row>
    <row r="15" spans="1:35" x14ac:dyDescent="0.25">
      <c r="A15" s="7"/>
      <c r="B15" s="179" t="s">
        <v>100</v>
      </c>
      <c r="C15" s="179" t="s">
        <v>101</v>
      </c>
      <c r="D15" s="179" t="s">
        <v>102</v>
      </c>
      <c r="E15" s="179" t="s">
        <v>103</v>
      </c>
      <c r="F15" s="179" t="s">
        <v>104</v>
      </c>
      <c r="G15" s="179" t="s">
        <v>105</v>
      </c>
      <c r="H15" s="179" t="s">
        <v>106</v>
      </c>
      <c r="I15" s="179" t="s">
        <v>107</v>
      </c>
      <c r="J15" s="179" t="s">
        <v>108</v>
      </c>
      <c r="K15" s="179" t="s">
        <v>109</v>
      </c>
      <c r="L15" s="179" t="s">
        <v>110</v>
      </c>
      <c r="M15" s="179" t="s">
        <v>111</v>
      </c>
      <c r="N15" s="179" t="s">
        <v>112</v>
      </c>
      <c r="O15" s="179" t="s">
        <v>113</v>
      </c>
      <c r="P15" s="179" t="s">
        <v>98</v>
      </c>
      <c r="Q15" s="179" t="s">
        <v>99</v>
      </c>
      <c r="R15" s="179" t="s">
        <v>100</v>
      </c>
      <c r="S15" s="179" t="s">
        <v>101</v>
      </c>
      <c r="T15" s="179" t="s">
        <v>102</v>
      </c>
      <c r="U15" s="179" t="s">
        <v>103</v>
      </c>
      <c r="V15" s="179" t="s">
        <v>104</v>
      </c>
      <c r="W15" s="179" t="s">
        <v>105</v>
      </c>
      <c r="X15" s="179" t="s">
        <v>106</v>
      </c>
      <c r="Y15" s="179" t="s">
        <v>107</v>
      </c>
      <c r="Z15" s="179" t="s">
        <v>108</v>
      </c>
      <c r="AA15" s="179" t="s">
        <v>109</v>
      </c>
      <c r="AB15" s="179" t="s">
        <v>110</v>
      </c>
      <c r="AC15" s="179" t="s">
        <v>111</v>
      </c>
      <c r="AD15" s="179" t="s">
        <v>112</v>
      </c>
      <c r="AE15" s="179" t="s">
        <v>113</v>
      </c>
      <c r="AF15" s="179" t="s">
        <v>98</v>
      </c>
      <c r="AG15" s="179" t="s">
        <v>99</v>
      </c>
      <c r="AH15" s="179"/>
      <c r="AI15" s="179"/>
    </row>
    <row r="16" spans="1:35" x14ac:dyDescent="0.25">
      <c r="A16" s="180" t="s">
        <v>213</v>
      </c>
      <c r="B16" s="181">
        <v>500</v>
      </c>
      <c r="C16" s="181">
        <f>B16+35</f>
        <v>535</v>
      </c>
      <c r="D16" s="181">
        <f t="shared" ref="D16:AD16" si="1">C16+35</f>
        <v>570</v>
      </c>
      <c r="E16" s="181">
        <f t="shared" si="1"/>
        <v>605</v>
      </c>
      <c r="F16" s="181">
        <f t="shared" si="1"/>
        <v>640</v>
      </c>
      <c r="G16" s="181">
        <f t="shared" si="1"/>
        <v>675</v>
      </c>
      <c r="H16" s="181">
        <f t="shared" si="1"/>
        <v>710</v>
      </c>
      <c r="I16" s="181">
        <f t="shared" si="1"/>
        <v>745</v>
      </c>
      <c r="J16" s="181">
        <f t="shared" si="1"/>
        <v>780</v>
      </c>
      <c r="K16" s="181">
        <f t="shared" si="1"/>
        <v>815</v>
      </c>
      <c r="L16" s="181">
        <f t="shared" si="1"/>
        <v>850</v>
      </c>
      <c r="M16" s="181">
        <f t="shared" si="1"/>
        <v>885</v>
      </c>
      <c r="N16" s="181">
        <f t="shared" si="1"/>
        <v>920</v>
      </c>
      <c r="O16" s="181">
        <f t="shared" si="1"/>
        <v>955</v>
      </c>
      <c r="P16" s="181">
        <f t="shared" si="1"/>
        <v>990</v>
      </c>
      <c r="Q16" s="181">
        <f t="shared" si="1"/>
        <v>1025</v>
      </c>
      <c r="R16" s="181">
        <f t="shared" si="1"/>
        <v>1060</v>
      </c>
      <c r="S16" s="181">
        <f t="shared" si="1"/>
        <v>1095</v>
      </c>
      <c r="T16" s="181">
        <f t="shared" si="1"/>
        <v>1130</v>
      </c>
      <c r="U16" s="181">
        <f t="shared" si="1"/>
        <v>1165</v>
      </c>
      <c r="V16" s="181">
        <f t="shared" si="1"/>
        <v>1200</v>
      </c>
      <c r="W16" s="181">
        <f t="shared" si="1"/>
        <v>1235</v>
      </c>
      <c r="X16" s="181">
        <f t="shared" si="1"/>
        <v>1270</v>
      </c>
      <c r="Y16" s="181">
        <f t="shared" si="1"/>
        <v>1305</v>
      </c>
      <c r="Z16" s="181">
        <f t="shared" si="1"/>
        <v>1340</v>
      </c>
      <c r="AA16" s="181">
        <f t="shared" si="1"/>
        <v>1375</v>
      </c>
      <c r="AB16" s="181">
        <f t="shared" si="1"/>
        <v>1410</v>
      </c>
      <c r="AC16" s="181">
        <f t="shared" si="1"/>
        <v>1445</v>
      </c>
      <c r="AD16" s="181">
        <f t="shared" si="1"/>
        <v>1480</v>
      </c>
      <c r="AE16" s="181"/>
      <c r="AF16" s="180"/>
      <c r="AG16" s="180"/>
      <c r="AH16" s="180"/>
      <c r="AI16" s="180"/>
    </row>
    <row r="17" spans="1:48" x14ac:dyDescent="0.25">
      <c r="A17" s="180"/>
      <c r="B17" s="181">
        <f t="shared" ref="B17:AD17" si="2">B18+B19+B20+B21</f>
        <v>9588.4</v>
      </c>
      <c r="C17" s="181">
        <f t="shared" si="2"/>
        <v>10259.588</v>
      </c>
      <c r="D17" s="181">
        <f t="shared" si="2"/>
        <v>10930.776000000002</v>
      </c>
      <c r="E17" s="181">
        <f t="shared" si="2"/>
        <v>11601.963999999998</v>
      </c>
      <c r="F17" s="181">
        <f t="shared" si="2"/>
        <v>12273.152</v>
      </c>
      <c r="G17" s="181">
        <f t="shared" si="2"/>
        <v>12944.34</v>
      </c>
      <c r="H17" s="181">
        <f t="shared" si="2"/>
        <v>13615.528</v>
      </c>
      <c r="I17" s="181">
        <f t="shared" si="2"/>
        <v>14286.716</v>
      </c>
      <c r="J17" s="181">
        <f t="shared" si="2"/>
        <v>14957.903999999999</v>
      </c>
      <c r="K17" s="181">
        <f t="shared" si="2"/>
        <v>15629.091999999999</v>
      </c>
      <c r="L17" s="181">
        <f t="shared" si="2"/>
        <v>16300.279999999999</v>
      </c>
      <c r="M17" s="181">
        <f t="shared" si="2"/>
        <v>16971.467999999997</v>
      </c>
      <c r="N17" s="181">
        <f t="shared" si="2"/>
        <v>17642.655999999999</v>
      </c>
      <c r="O17" s="181">
        <f t="shared" si="2"/>
        <v>18313.843999999997</v>
      </c>
      <c r="P17" s="181">
        <f t="shared" si="2"/>
        <v>18985.032000000003</v>
      </c>
      <c r="Q17" s="181">
        <f t="shared" si="2"/>
        <v>19656.22</v>
      </c>
      <c r="R17" s="181">
        <f t="shared" si="2"/>
        <v>20327.407999999996</v>
      </c>
      <c r="S17" s="181">
        <f t="shared" si="2"/>
        <v>20998.595999999998</v>
      </c>
      <c r="T17" s="181">
        <f t="shared" si="2"/>
        <v>21669.784</v>
      </c>
      <c r="U17" s="181">
        <f t="shared" si="2"/>
        <v>22340.972000000002</v>
      </c>
      <c r="V17" s="181">
        <f t="shared" si="2"/>
        <v>23012.16</v>
      </c>
      <c r="W17" s="181">
        <f t="shared" si="2"/>
        <v>23683.347999999998</v>
      </c>
      <c r="X17" s="181">
        <f t="shared" si="2"/>
        <v>24354.536</v>
      </c>
      <c r="Y17" s="181">
        <f t="shared" si="2"/>
        <v>25025.723999999998</v>
      </c>
      <c r="Z17" s="181">
        <f t="shared" si="2"/>
        <v>25696.912000000004</v>
      </c>
      <c r="AA17" s="181">
        <f t="shared" si="2"/>
        <v>26368.1</v>
      </c>
      <c r="AB17" s="181">
        <f t="shared" si="2"/>
        <v>27039.287999999997</v>
      </c>
      <c r="AC17" s="181">
        <f t="shared" si="2"/>
        <v>27710.475999999999</v>
      </c>
      <c r="AD17" s="181">
        <f t="shared" si="2"/>
        <v>28381.663999999997</v>
      </c>
      <c r="AE17" s="181"/>
      <c r="AF17" s="181"/>
      <c r="AG17" s="181"/>
      <c r="AH17" s="181"/>
      <c r="AI17" s="181"/>
    </row>
    <row r="18" spans="1:48" x14ac:dyDescent="0.25">
      <c r="A18" s="182" t="s">
        <v>214</v>
      </c>
      <c r="B18" s="183">
        <f>B16*$N$7</f>
        <v>5630</v>
      </c>
      <c r="C18" s="183">
        <f t="shared" ref="C18:AD18" si="3">C16*$N$7</f>
        <v>6024.0999999999995</v>
      </c>
      <c r="D18" s="183">
        <f t="shared" si="3"/>
        <v>6418.2</v>
      </c>
      <c r="E18" s="183">
        <f t="shared" si="3"/>
        <v>6812.3</v>
      </c>
      <c r="F18" s="183">
        <f t="shared" si="3"/>
        <v>7206.4</v>
      </c>
      <c r="G18" s="183">
        <f t="shared" si="3"/>
        <v>7600.5</v>
      </c>
      <c r="H18" s="183">
        <f t="shared" si="3"/>
        <v>7994.5999999999995</v>
      </c>
      <c r="I18" s="183">
        <f t="shared" si="3"/>
        <v>8388.7000000000007</v>
      </c>
      <c r="J18" s="183">
        <f t="shared" si="3"/>
        <v>8782.7999999999993</v>
      </c>
      <c r="K18" s="183">
        <f t="shared" si="3"/>
        <v>9176.9</v>
      </c>
      <c r="L18" s="183">
        <f t="shared" si="3"/>
        <v>9571</v>
      </c>
      <c r="M18" s="183">
        <f t="shared" si="3"/>
        <v>9965.1</v>
      </c>
      <c r="N18" s="183">
        <f t="shared" si="3"/>
        <v>10359.199999999999</v>
      </c>
      <c r="O18" s="183">
        <f t="shared" si="3"/>
        <v>10753.3</v>
      </c>
      <c r="P18" s="183">
        <f t="shared" si="3"/>
        <v>11147.4</v>
      </c>
      <c r="Q18" s="183">
        <f t="shared" si="3"/>
        <v>11541.5</v>
      </c>
      <c r="R18" s="183">
        <f t="shared" si="3"/>
        <v>11935.6</v>
      </c>
      <c r="S18" s="183">
        <f t="shared" si="3"/>
        <v>12329.699999999999</v>
      </c>
      <c r="T18" s="183">
        <f t="shared" si="3"/>
        <v>12723.8</v>
      </c>
      <c r="U18" s="183">
        <f t="shared" si="3"/>
        <v>13117.9</v>
      </c>
      <c r="V18" s="183">
        <f t="shared" si="3"/>
        <v>13512</v>
      </c>
      <c r="W18" s="183">
        <f t="shared" si="3"/>
        <v>13906.1</v>
      </c>
      <c r="X18" s="183">
        <f t="shared" si="3"/>
        <v>14300.199999999999</v>
      </c>
      <c r="Y18" s="183">
        <f t="shared" si="3"/>
        <v>14694.3</v>
      </c>
      <c r="Z18" s="183">
        <f t="shared" si="3"/>
        <v>15088.4</v>
      </c>
      <c r="AA18" s="183">
        <f t="shared" si="3"/>
        <v>15482.5</v>
      </c>
      <c r="AB18" s="183">
        <f t="shared" si="3"/>
        <v>15876.6</v>
      </c>
      <c r="AC18" s="183">
        <f t="shared" si="3"/>
        <v>16270.699999999999</v>
      </c>
      <c r="AD18" s="183">
        <f t="shared" si="3"/>
        <v>16664.8</v>
      </c>
      <c r="AE18" s="183"/>
      <c r="AF18" s="183"/>
      <c r="AG18" s="183"/>
      <c r="AH18" s="183"/>
      <c r="AI18" s="183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5">
      <c r="A19" s="182" t="s">
        <v>215</v>
      </c>
      <c r="B19" s="183">
        <f>B16*$O$7</f>
        <v>2085</v>
      </c>
      <c r="C19" s="183">
        <f t="shared" ref="C19:AD19" si="4">C16*$O$7</f>
        <v>2230.9499999999998</v>
      </c>
      <c r="D19" s="183">
        <f t="shared" si="4"/>
        <v>2376.9</v>
      </c>
      <c r="E19" s="183">
        <f t="shared" si="4"/>
        <v>2522.85</v>
      </c>
      <c r="F19" s="183">
        <f t="shared" si="4"/>
        <v>2668.8</v>
      </c>
      <c r="G19" s="183">
        <f t="shared" si="4"/>
        <v>2814.75</v>
      </c>
      <c r="H19" s="183">
        <f t="shared" si="4"/>
        <v>2960.7</v>
      </c>
      <c r="I19" s="183">
        <f t="shared" si="4"/>
        <v>3106.65</v>
      </c>
      <c r="J19" s="183">
        <f t="shared" si="4"/>
        <v>3252.6</v>
      </c>
      <c r="K19" s="183">
        <f t="shared" si="4"/>
        <v>3398.5499999999997</v>
      </c>
      <c r="L19" s="183">
        <f t="shared" si="4"/>
        <v>3544.5</v>
      </c>
      <c r="M19" s="183">
        <f t="shared" si="4"/>
        <v>3690.45</v>
      </c>
      <c r="N19" s="183">
        <f t="shared" si="4"/>
        <v>3836.4</v>
      </c>
      <c r="O19" s="183">
        <f t="shared" si="4"/>
        <v>3982.35</v>
      </c>
      <c r="P19" s="183">
        <f t="shared" si="4"/>
        <v>4128.3</v>
      </c>
      <c r="Q19" s="183">
        <f t="shared" si="4"/>
        <v>4274.25</v>
      </c>
      <c r="R19" s="183">
        <f t="shared" si="4"/>
        <v>4420.2</v>
      </c>
      <c r="S19" s="183">
        <f t="shared" si="4"/>
        <v>4566.1499999999996</v>
      </c>
      <c r="T19" s="183">
        <f t="shared" si="4"/>
        <v>4712.1000000000004</v>
      </c>
      <c r="U19" s="183">
        <f t="shared" si="4"/>
        <v>4858.05</v>
      </c>
      <c r="V19" s="183">
        <f t="shared" si="4"/>
        <v>5004</v>
      </c>
      <c r="W19" s="183">
        <f t="shared" si="4"/>
        <v>5149.95</v>
      </c>
      <c r="X19" s="183">
        <f t="shared" si="4"/>
        <v>5295.9</v>
      </c>
      <c r="Y19" s="183">
        <f t="shared" si="4"/>
        <v>5441.8499999999995</v>
      </c>
      <c r="Z19" s="183">
        <f t="shared" si="4"/>
        <v>5587.8</v>
      </c>
      <c r="AA19" s="183">
        <f t="shared" si="4"/>
        <v>5733.75</v>
      </c>
      <c r="AB19" s="183">
        <f t="shared" si="4"/>
        <v>5879.7</v>
      </c>
      <c r="AC19" s="183">
        <f t="shared" si="4"/>
        <v>6025.65</v>
      </c>
      <c r="AD19" s="183">
        <f t="shared" si="4"/>
        <v>6171.5999999999995</v>
      </c>
      <c r="AE19" s="183"/>
      <c r="AF19" s="183"/>
      <c r="AG19" s="183"/>
      <c r="AH19" s="183"/>
      <c r="AI19" s="183"/>
    </row>
    <row r="20" spans="1:48" x14ac:dyDescent="0.25">
      <c r="A20" s="182" t="s">
        <v>216</v>
      </c>
      <c r="B20" s="183">
        <f>B16*$P$7</f>
        <v>1668.3999999999999</v>
      </c>
      <c r="C20" s="183">
        <f t="shared" ref="C20:AD20" si="5">C16*$P$7</f>
        <v>1785.1879999999999</v>
      </c>
      <c r="D20" s="183">
        <f t="shared" si="5"/>
        <v>1901.9759999999999</v>
      </c>
      <c r="E20" s="183">
        <f t="shared" si="5"/>
        <v>2018.7639999999999</v>
      </c>
      <c r="F20" s="183">
        <f t="shared" si="5"/>
        <v>2135.5519999999997</v>
      </c>
      <c r="G20" s="183">
        <f t="shared" si="5"/>
        <v>2252.3399999999997</v>
      </c>
      <c r="H20" s="183">
        <f t="shared" si="5"/>
        <v>2369.1279999999997</v>
      </c>
      <c r="I20" s="183">
        <f t="shared" si="5"/>
        <v>2485.9159999999997</v>
      </c>
      <c r="J20" s="183">
        <f t="shared" si="5"/>
        <v>2602.7039999999997</v>
      </c>
      <c r="K20" s="183">
        <f t="shared" si="5"/>
        <v>2719.4919999999997</v>
      </c>
      <c r="L20" s="183">
        <f t="shared" si="5"/>
        <v>2836.2799999999997</v>
      </c>
      <c r="M20" s="183">
        <f t="shared" si="5"/>
        <v>2953.0679999999998</v>
      </c>
      <c r="N20" s="183">
        <f t="shared" si="5"/>
        <v>3069.8559999999998</v>
      </c>
      <c r="O20" s="183">
        <f t="shared" si="5"/>
        <v>3186.6439999999998</v>
      </c>
      <c r="P20" s="183">
        <f t="shared" si="5"/>
        <v>3303.4319999999998</v>
      </c>
      <c r="Q20" s="183">
        <f t="shared" si="5"/>
        <v>3420.22</v>
      </c>
      <c r="R20" s="183">
        <f t="shared" si="5"/>
        <v>3537.0079999999998</v>
      </c>
      <c r="S20" s="183">
        <f t="shared" si="5"/>
        <v>3653.7959999999998</v>
      </c>
      <c r="T20" s="183">
        <f t="shared" si="5"/>
        <v>3770.5839999999998</v>
      </c>
      <c r="U20" s="183">
        <f t="shared" si="5"/>
        <v>3887.3719999999998</v>
      </c>
      <c r="V20" s="183">
        <f t="shared" si="5"/>
        <v>4004.16</v>
      </c>
      <c r="W20" s="183">
        <f t="shared" si="5"/>
        <v>4120.9479999999994</v>
      </c>
      <c r="X20" s="183">
        <f t="shared" si="5"/>
        <v>4237.7359999999999</v>
      </c>
      <c r="Y20" s="183">
        <f t="shared" si="5"/>
        <v>4354.5239999999994</v>
      </c>
      <c r="Z20" s="183">
        <f t="shared" si="5"/>
        <v>4471.3119999999999</v>
      </c>
      <c r="AA20" s="183">
        <f t="shared" si="5"/>
        <v>4588.0999999999995</v>
      </c>
      <c r="AB20" s="183">
        <f t="shared" si="5"/>
        <v>4704.8879999999999</v>
      </c>
      <c r="AC20" s="183">
        <f t="shared" si="5"/>
        <v>4821.6759999999995</v>
      </c>
      <c r="AD20" s="183">
        <f t="shared" si="5"/>
        <v>4938.4639999999999</v>
      </c>
      <c r="AE20" s="183"/>
      <c r="AF20" s="183"/>
      <c r="AG20" s="183"/>
      <c r="AH20" s="183"/>
      <c r="AI20" s="183"/>
    </row>
    <row r="21" spans="1:48" x14ac:dyDescent="0.25">
      <c r="A21" s="182" t="s">
        <v>217</v>
      </c>
      <c r="B21" s="183">
        <f>B16*$Q$7</f>
        <v>205</v>
      </c>
      <c r="C21" s="183">
        <f t="shared" ref="C21:AD21" si="6">C16*$Q$7</f>
        <v>219.35</v>
      </c>
      <c r="D21" s="183">
        <f t="shared" si="6"/>
        <v>233.7</v>
      </c>
      <c r="E21" s="183">
        <f t="shared" si="6"/>
        <v>248.04999999999998</v>
      </c>
      <c r="F21" s="183">
        <f t="shared" si="6"/>
        <v>262.39999999999998</v>
      </c>
      <c r="G21" s="183">
        <f t="shared" si="6"/>
        <v>276.75</v>
      </c>
      <c r="H21" s="183">
        <f t="shared" si="6"/>
        <v>291.09999999999997</v>
      </c>
      <c r="I21" s="183">
        <f t="shared" si="6"/>
        <v>305.45</v>
      </c>
      <c r="J21" s="183">
        <f t="shared" si="6"/>
        <v>319.79999999999995</v>
      </c>
      <c r="K21" s="183">
        <f t="shared" si="6"/>
        <v>334.15</v>
      </c>
      <c r="L21" s="183">
        <f t="shared" si="6"/>
        <v>348.5</v>
      </c>
      <c r="M21" s="183">
        <f t="shared" si="6"/>
        <v>362.84999999999997</v>
      </c>
      <c r="N21" s="183">
        <f t="shared" si="6"/>
        <v>377.2</v>
      </c>
      <c r="O21" s="183">
        <f t="shared" si="6"/>
        <v>391.54999999999995</v>
      </c>
      <c r="P21" s="183">
        <f t="shared" si="6"/>
        <v>405.9</v>
      </c>
      <c r="Q21" s="183">
        <f t="shared" si="6"/>
        <v>420.25</v>
      </c>
      <c r="R21" s="183">
        <f t="shared" si="6"/>
        <v>434.59999999999997</v>
      </c>
      <c r="S21" s="183">
        <f t="shared" si="6"/>
        <v>448.95</v>
      </c>
      <c r="T21" s="183">
        <f t="shared" si="6"/>
        <v>463.29999999999995</v>
      </c>
      <c r="U21" s="183">
        <f t="shared" si="6"/>
        <v>477.65</v>
      </c>
      <c r="V21" s="183">
        <f t="shared" si="6"/>
        <v>491.99999999999994</v>
      </c>
      <c r="W21" s="183">
        <f t="shared" si="6"/>
        <v>506.34999999999997</v>
      </c>
      <c r="X21" s="183">
        <f t="shared" si="6"/>
        <v>520.69999999999993</v>
      </c>
      <c r="Y21" s="183">
        <f t="shared" si="6"/>
        <v>535.04999999999995</v>
      </c>
      <c r="Z21" s="183">
        <f t="shared" si="6"/>
        <v>549.4</v>
      </c>
      <c r="AA21" s="183">
        <f t="shared" si="6"/>
        <v>563.75</v>
      </c>
      <c r="AB21" s="183">
        <f t="shared" si="6"/>
        <v>578.09999999999991</v>
      </c>
      <c r="AC21" s="183">
        <f t="shared" si="6"/>
        <v>592.44999999999993</v>
      </c>
      <c r="AD21" s="183">
        <f t="shared" si="6"/>
        <v>606.79999999999995</v>
      </c>
      <c r="AE21" s="183"/>
      <c r="AF21" s="183"/>
      <c r="AG21" s="183"/>
      <c r="AH21" s="183"/>
      <c r="AI21" s="183"/>
    </row>
    <row r="22" spans="1:48" x14ac:dyDescent="0.25">
      <c r="A22" s="182" t="s">
        <v>218</v>
      </c>
      <c r="B22" s="183">
        <f t="shared" ref="B22:AD22" si="7">MIN(B$18,$C$4)</f>
        <v>5630</v>
      </c>
      <c r="C22" s="183">
        <f t="shared" si="7"/>
        <v>6024.0999999999995</v>
      </c>
      <c r="D22" s="183">
        <f t="shared" si="7"/>
        <v>6418.2</v>
      </c>
      <c r="E22" s="183">
        <f t="shared" si="7"/>
        <v>6812.3</v>
      </c>
      <c r="F22" s="183">
        <f t="shared" si="7"/>
        <v>7206.4</v>
      </c>
      <c r="G22" s="183">
        <f t="shared" si="7"/>
        <v>7600.5</v>
      </c>
      <c r="H22" s="183">
        <f t="shared" si="7"/>
        <v>7994.5999999999995</v>
      </c>
      <c r="I22" s="183">
        <f t="shared" si="7"/>
        <v>8388.7000000000007</v>
      </c>
      <c r="J22" s="183">
        <f t="shared" si="7"/>
        <v>8389</v>
      </c>
      <c r="K22" s="183">
        <f t="shared" si="7"/>
        <v>8389</v>
      </c>
      <c r="L22" s="183">
        <f t="shared" si="7"/>
        <v>8389</v>
      </c>
      <c r="M22" s="183">
        <f t="shared" si="7"/>
        <v>8389</v>
      </c>
      <c r="N22" s="183">
        <f t="shared" si="7"/>
        <v>8389</v>
      </c>
      <c r="O22" s="183">
        <f t="shared" si="7"/>
        <v>8389</v>
      </c>
      <c r="P22" s="183">
        <f t="shared" si="7"/>
        <v>8389</v>
      </c>
      <c r="Q22" s="183">
        <f t="shared" si="7"/>
        <v>8389</v>
      </c>
      <c r="R22" s="183">
        <f t="shared" si="7"/>
        <v>8389</v>
      </c>
      <c r="S22" s="183">
        <f t="shared" si="7"/>
        <v>8389</v>
      </c>
      <c r="T22" s="183">
        <f t="shared" si="7"/>
        <v>8389</v>
      </c>
      <c r="U22" s="183">
        <f t="shared" si="7"/>
        <v>8389</v>
      </c>
      <c r="V22" s="183">
        <f t="shared" si="7"/>
        <v>8389</v>
      </c>
      <c r="W22" s="183">
        <f t="shared" si="7"/>
        <v>8389</v>
      </c>
      <c r="X22" s="183">
        <f t="shared" si="7"/>
        <v>8389</v>
      </c>
      <c r="Y22" s="183">
        <f t="shared" si="7"/>
        <v>8389</v>
      </c>
      <c r="Z22" s="183">
        <f t="shared" si="7"/>
        <v>8389</v>
      </c>
      <c r="AA22" s="183">
        <f t="shared" si="7"/>
        <v>8389</v>
      </c>
      <c r="AB22" s="183">
        <f t="shared" si="7"/>
        <v>8389</v>
      </c>
      <c r="AC22" s="183">
        <f t="shared" si="7"/>
        <v>8389</v>
      </c>
      <c r="AD22" s="183">
        <f t="shared" si="7"/>
        <v>8389</v>
      </c>
      <c r="AE22" s="183"/>
      <c r="AF22" s="183"/>
      <c r="AG22" s="183"/>
      <c r="AH22" s="183"/>
      <c r="AI22" s="183"/>
    </row>
    <row r="23" spans="1:48" x14ac:dyDescent="0.25">
      <c r="A23" s="182" t="s">
        <v>219</v>
      </c>
      <c r="B23" s="183">
        <f t="shared" ref="B23:AD23" si="8">MIN(B$19,$C$5)</f>
        <v>2085</v>
      </c>
      <c r="C23" s="183">
        <f t="shared" si="8"/>
        <v>2230.9499999999998</v>
      </c>
      <c r="D23" s="183">
        <f t="shared" si="8"/>
        <v>2376.9</v>
      </c>
      <c r="E23" s="183">
        <f t="shared" si="8"/>
        <v>2522.85</v>
      </c>
      <c r="F23" s="183">
        <f t="shared" si="8"/>
        <v>2668.8</v>
      </c>
      <c r="G23" s="183">
        <f t="shared" si="8"/>
        <v>2814.75</v>
      </c>
      <c r="H23" s="183">
        <f t="shared" si="8"/>
        <v>2960.7</v>
      </c>
      <c r="I23" s="183">
        <f t="shared" si="8"/>
        <v>3106.65</v>
      </c>
      <c r="J23" s="183">
        <f t="shared" si="8"/>
        <v>3107</v>
      </c>
      <c r="K23" s="183">
        <f t="shared" si="8"/>
        <v>3107</v>
      </c>
      <c r="L23" s="183">
        <f t="shared" si="8"/>
        <v>3107</v>
      </c>
      <c r="M23" s="183">
        <f t="shared" si="8"/>
        <v>3107</v>
      </c>
      <c r="N23" s="183">
        <f t="shared" si="8"/>
        <v>3107</v>
      </c>
      <c r="O23" s="183">
        <f t="shared" si="8"/>
        <v>3107</v>
      </c>
      <c r="P23" s="183">
        <f t="shared" si="8"/>
        <v>3107</v>
      </c>
      <c r="Q23" s="183">
        <f t="shared" si="8"/>
        <v>3107</v>
      </c>
      <c r="R23" s="183">
        <f t="shared" si="8"/>
        <v>3107</v>
      </c>
      <c r="S23" s="183">
        <f t="shared" si="8"/>
        <v>3107</v>
      </c>
      <c r="T23" s="183">
        <f t="shared" si="8"/>
        <v>3107</v>
      </c>
      <c r="U23" s="183">
        <f t="shared" si="8"/>
        <v>3107</v>
      </c>
      <c r="V23" s="183">
        <f t="shared" si="8"/>
        <v>3107</v>
      </c>
      <c r="W23" s="183">
        <f t="shared" si="8"/>
        <v>3107</v>
      </c>
      <c r="X23" s="183">
        <f t="shared" si="8"/>
        <v>3107</v>
      </c>
      <c r="Y23" s="183">
        <f t="shared" si="8"/>
        <v>3107</v>
      </c>
      <c r="Z23" s="183">
        <f t="shared" si="8"/>
        <v>3107</v>
      </c>
      <c r="AA23" s="183">
        <f t="shared" si="8"/>
        <v>3107</v>
      </c>
      <c r="AB23" s="183">
        <f t="shared" si="8"/>
        <v>3107</v>
      </c>
      <c r="AC23" s="183">
        <f t="shared" si="8"/>
        <v>3107</v>
      </c>
      <c r="AD23" s="183">
        <f t="shared" si="8"/>
        <v>3107</v>
      </c>
      <c r="AE23" s="183"/>
      <c r="AF23" s="183"/>
      <c r="AG23" s="183"/>
      <c r="AH23" s="183"/>
      <c r="AI23" s="183"/>
    </row>
    <row r="24" spans="1:48" x14ac:dyDescent="0.25">
      <c r="A24" s="182" t="s">
        <v>220</v>
      </c>
      <c r="B24" s="183">
        <f t="shared" ref="B24:AD24" si="9">MIN(B$20,$C$6)</f>
        <v>1668.3999999999999</v>
      </c>
      <c r="C24" s="183">
        <f t="shared" si="9"/>
        <v>1785.1879999999999</v>
      </c>
      <c r="D24" s="183">
        <f t="shared" si="9"/>
        <v>1901.9759999999999</v>
      </c>
      <c r="E24" s="183">
        <f t="shared" si="9"/>
        <v>2018.7639999999999</v>
      </c>
      <c r="F24" s="183">
        <f t="shared" si="9"/>
        <v>2135.5519999999997</v>
      </c>
      <c r="G24" s="183">
        <f t="shared" si="9"/>
        <v>2252.3399999999997</v>
      </c>
      <c r="H24" s="183">
        <f t="shared" si="9"/>
        <v>2369.1279999999997</v>
      </c>
      <c r="I24" s="183">
        <f t="shared" si="9"/>
        <v>2485.9159999999997</v>
      </c>
      <c r="J24" s="183">
        <f t="shared" si="9"/>
        <v>2486</v>
      </c>
      <c r="K24" s="183">
        <f t="shared" si="9"/>
        <v>2486</v>
      </c>
      <c r="L24" s="183">
        <f t="shared" si="9"/>
        <v>2486</v>
      </c>
      <c r="M24" s="183">
        <f t="shared" si="9"/>
        <v>2486</v>
      </c>
      <c r="N24" s="183">
        <f t="shared" si="9"/>
        <v>2486</v>
      </c>
      <c r="O24" s="183">
        <f t="shared" si="9"/>
        <v>2486</v>
      </c>
      <c r="P24" s="183">
        <f t="shared" si="9"/>
        <v>2486</v>
      </c>
      <c r="Q24" s="183">
        <f t="shared" si="9"/>
        <v>2486</v>
      </c>
      <c r="R24" s="183">
        <f t="shared" si="9"/>
        <v>2486</v>
      </c>
      <c r="S24" s="183">
        <f t="shared" si="9"/>
        <v>2486</v>
      </c>
      <c r="T24" s="183">
        <f t="shared" si="9"/>
        <v>2486</v>
      </c>
      <c r="U24" s="183">
        <f t="shared" si="9"/>
        <v>2486</v>
      </c>
      <c r="V24" s="183">
        <f t="shared" si="9"/>
        <v>2486</v>
      </c>
      <c r="W24" s="183">
        <f t="shared" si="9"/>
        <v>2486</v>
      </c>
      <c r="X24" s="183">
        <f t="shared" si="9"/>
        <v>2486</v>
      </c>
      <c r="Y24" s="183">
        <f t="shared" si="9"/>
        <v>2486</v>
      </c>
      <c r="Z24" s="183">
        <f t="shared" si="9"/>
        <v>2486</v>
      </c>
      <c r="AA24" s="183">
        <f t="shared" si="9"/>
        <v>2486</v>
      </c>
      <c r="AB24" s="183">
        <f t="shared" si="9"/>
        <v>2486</v>
      </c>
      <c r="AC24" s="183">
        <f t="shared" si="9"/>
        <v>2486</v>
      </c>
      <c r="AD24" s="183">
        <f t="shared" si="9"/>
        <v>2486</v>
      </c>
      <c r="AE24" s="183"/>
      <c r="AF24" s="183"/>
      <c r="AG24" s="183"/>
      <c r="AH24" s="183"/>
      <c r="AI24" s="183"/>
    </row>
    <row r="25" spans="1:48" x14ac:dyDescent="0.25">
      <c r="A25" s="182" t="s">
        <v>221</v>
      </c>
      <c r="B25" s="183">
        <f t="shared" ref="B25:AD25" si="10">MIN(B$21,$C$7)</f>
        <v>205</v>
      </c>
      <c r="C25" s="183">
        <f t="shared" si="10"/>
        <v>219.35</v>
      </c>
      <c r="D25" s="183">
        <f t="shared" si="10"/>
        <v>233.7</v>
      </c>
      <c r="E25" s="183">
        <f t="shared" si="10"/>
        <v>248.04999999999998</v>
      </c>
      <c r="F25" s="183">
        <f t="shared" si="10"/>
        <v>262.39999999999998</v>
      </c>
      <c r="G25" s="183">
        <f t="shared" si="10"/>
        <v>276.75</v>
      </c>
      <c r="H25" s="183">
        <f t="shared" si="10"/>
        <v>291.09999999999997</v>
      </c>
      <c r="I25" s="183">
        <f t="shared" si="10"/>
        <v>305</v>
      </c>
      <c r="J25" s="183">
        <f t="shared" si="10"/>
        <v>305</v>
      </c>
      <c r="K25" s="183">
        <f t="shared" si="10"/>
        <v>305</v>
      </c>
      <c r="L25" s="183">
        <f t="shared" si="10"/>
        <v>305</v>
      </c>
      <c r="M25" s="183">
        <f t="shared" si="10"/>
        <v>305</v>
      </c>
      <c r="N25" s="183">
        <f t="shared" si="10"/>
        <v>305</v>
      </c>
      <c r="O25" s="183">
        <f t="shared" si="10"/>
        <v>305</v>
      </c>
      <c r="P25" s="183">
        <f t="shared" si="10"/>
        <v>305</v>
      </c>
      <c r="Q25" s="183">
        <f t="shared" si="10"/>
        <v>305</v>
      </c>
      <c r="R25" s="183">
        <f t="shared" si="10"/>
        <v>305</v>
      </c>
      <c r="S25" s="183">
        <f t="shared" si="10"/>
        <v>305</v>
      </c>
      <c r="T25" s="183">
        <f t="shared" si="10"/>
        <v>305</v>
      </c>
      <c r="U25" s="183">
        <f t="shared" si="10"/>
        <v>305</v>
      </c>
      <c r="V25" s="183">
        <f t="shared" si="10"/>
        <v>305</v>
      </c>
      <c r="W25" s="183">
        <f t="shared" si="10"/>
        <v>305</v>
      </c>
      <c r="X25" s="183">
        <f t="shared" si="10"/>
        <v>305</v>
      </c>
      <c r="Y25" s="183">
        <f t="shared" si="10"/>
        <v>305</v>
      </c>
      <c r="Z25" s="183">
        <f t="shared" si="10"/>
        <v>305</v>
      </c>
      <c r="AA25" s="183">
        <f t="shared" si="10"/>
        <v>305</v>
      </c>
      <c r="AB25" s="183">
        <f t="shared" si="10"/>
        <v>305</v>
      </c>
      <c r="AC25" s="183">
        <f t="shared" si="10"/>
        <v>305</v>
      </c>
      <c r="AD25" s="183">
        <f t="shared" si="10"/>
        <v>305</v>
      </c>
      <c r="AE25" s="183"/>
      <c r="AF25" s="183"/>
      <c r="AG25" s="183"/>
      <c r="AH25" s="183"/>
      <c r="AI25" s="183"/>
    </row>
    <row r="26" spans="1:48" x14ac:dyDescent="0.25">
      <c r="A26" s="184" t="s">
        <v>222</v>
      </c>
      <c r="B26" s="185">
        <f>IF(B22&gt;$B$4,(B22-$B$4)*$H$4,0)</f>
        <v>0</v>
      </c>
      <c r="C26" s="185">
        <v>0</v>
      </c>
      <c r="D26" s="185">
        <f>IF(D22&gt;$B$4,(D22-$B$4)*$H$4,0)</f>
        <v>0</v>
      </c>
      <c r="E26" s="185">
        <v>0</v>
      </c>
      <c r="F26" s="185">
        <f>IF(F22&gt;$B$4,(F22-$B$4)*$H$4,0)</f>
        <v>0</v>
      </c>
      <c r="G26" s="185">
        <v>0</v>
      </c>
      <c r="H26" s="185">
        <f>IF(H22&gt;$B$4,(H22-$B$4)*$H$4,0)</f>
        <v>0</v>
      </c>
      <c r="I26" s="185">
        <v>0</v>
      </c>
      <c r="J26" s="185">
        <f>IF(J22&gt;$B$4,(J22-$B$4)*$H$4,0)</f>
        <v>2723</v>
      </c>
      <c r="K26" s="185">
        <v>0</v>
      </c>
      <c r="L26" s="185">
        <f>IF(L22&gt;$B$4,(L22-$B$4)*$H$4,0)</f>
        <v>2723</v>
      </c>
      <c r="M26" s="185">
        <v>0</v>
      </c>
      <c r="N26" s="185">
        <f>IF(N22&gt;$B$4,(N22-$B$4)*$H$4,0)</f>
        <v>2723</v>
      </c>
      <c r="O26" s="185">
        <v>0</v>
      </c>
      <c r="P26" s="185">
        <f>IF(P22&gt;$B$4,(P22-$B$4)*$H$4,0)</f>
        <v>2723</v>
      </c>
      <c r="Q26" s="185">
        <v>0</v>
      </c>
      <c r="R26" s="185">
        <f>IF(R22&gt;$B$4,(R22-$B$4)*$H$4,0)</f>
        <v>2723</v>
      </c>
      <c r="S26" s="185">
        <v>0</v>
      </c>
      <c r="T26" s="185">
        <f>IF(T22&gt;$B$4,(T22-$B$4)*$H$4,0)</f>
        <v>2723</v>
      </c>
      <c r="U26" s="185">
        <v>0</v>
      </c>
      <c r="V26" s="185">
        <f>IF(V22&gt;$B$4,(V22-$B$4)*$H$4,0)</f>
        <v>2723</v>
      </c>
      <c r="W26" s="185">
        <v>0</v>
      </c>
      <c r="X26" s="185">
        <f>IF(X22&gt;$B$4,(X22-$B$4)*$H$4,0)</f>
        <v>2723</v>
      </c>
      <c r="Y26" s="185">
        <v>0</v>
      </c>
      <c r="Z26" s="185">
        <f>IF(Z22&gt;$B$4,(Z22-$B$4)*$H$4,0)</f>
        <v>2723</v>
      </c>
      <c r="AA26" s="185">
        <v>0</v>
      </c>
      <c r="AB26" s="185">
        <f>IF(AB22&gt;$B$4,(AB22-$B$4)*$H$4,0)</f>
        <v>2723</v>
      </c>
      <c r="AC26" s="185">
        <v>0</v>
      </c>
      <c r="AD26" s="185">
        <f>IF(AD22&gt;$B$4,(AD22-$B$4)*$H$4,0)</f>
        <v>2723</v>
      </c>
      <c r="AE26" s="185">
        <v>0</v>
      </c>
      <c r="AF26" s="185">
        <f>IF(AF22&gt;$B$4,(AF22-$B$4)*$H$4,0)</f>
        <v>0</v>
      </c>
      <c r="AG26" s="185">
        <v>0</v>
      </c>
      <c r="AH26" s="185">
        <f>IF(AH22&gt;$B$4,(AH22-$B$4)*$H$4,0)</f>
        <v>0</v>
      </c>
      <c r="AI26" s="185">
        <v>0</v>
      </c>
      <c r="AJ26" s="185">
        <f>IF(AJ22&gt;$B$4,(AJ22-$B$4)*$H$4,0)</f>
        <v>0</v>
      </c>
      <c r="AK26" s="185">
        <v>0</v>
      </c>
    </row>
    <row r="27" spans="1:48" x14ac:dyDescent="0.25">
      <c r="A27" s="184" t="s">
        <v>223</v>
      </c>
      <c r="B27" s="185">
        <f>IF(B23&gt;$B$5,(B23-$B$5)*$H$5,0)</f>
        <v>0</v>
      </c>
      <c r="C27" s="185">
        <v>0</v>
      </c>
      <c r="D27" s="185">
        <f>IF(D23&gt;$B$5,(D23-$B$5)*$H$5,0)</f>
        <v>0</v>
      </c>
      <c r="E27" s="185">
        <v>0</v>
      </c>
      <c r="F27" s="185">
        <f>IF(F23&gt;$B$5,(F23-$B$5)*$H$5,0)</f>
        <v>0</v>
      </c>
      <c r="G27" s="185">
        <v>0</v>
      </c>
      <c r="H27" s="185">
        <f>IF(H23&gt;$B$5,(H23-$B$5)*$H$5,0)</f>
        <v>0</v>
      </c>
      <c r="I27" s="185">
        <v>0</v>
      </c>
      <c r="J27" s="185">
        <f>IF(J23&gt;$B$5,(J23-$B$5)*$H$5,0)</f>
        <v>1070</v>
      </c>
      <c r="K27" s="185">
        <v>0</v>
      </c>
      <c r="L27" s="185">
        <f>IF(L23&gt;$B$5,(L23-$B$5)*$H$5,0)</f>
        <v>1070</v>
      </c>
      <c r="M27" s="185">
        <v>0</v>
      </c>
      <c r="N27" s="185">
        <f>IF(N23&gt;$B$5,(N23-$B$5)*$H$5,0)</f>
        <v>1070</v>
      </c>
      <c r="O27" s="185">
        <v>0</v>
      </c>
      <c r="P27" s="185">
        <f>IF(P23&gt;$B$5,(P23-$B$5)*$H$5,0)</f>
        <v>1070</v>
      </c>
      <c r="Q27" s="185">
        <v>0</v>
      </c>
      <c r="R27" s="185">
        <f>IF(R23&gt;$B$5,(R23-$B$5)*$H$5,0)</f>
        <v>1070</v>
      </c>
      <c r="S27" s="185">
        <v>0</v>
      </c>
      <c r="T27" s="185">
        <f>IF(T23&gt;$B$5,(T23-$B$5)*$H$5,0)</f>
        <v>1070</v>
      </c>
      <c r="U27" s="185">
        <v>0</v>
      </c>
      <c r="V27" s="185">
        <f>IF(V23&gt;$B$5,(V23-$B$5)*$H$5,0)</f>
        <v>1070</v>
      </c>
      <c r="W27" s="185">
        <v>0</v>
      </c>
      <c r="X27" s="185">
        <f>IF(X23&gt;$B$5,(X23-$B$5)*$H$5,0)</f>
        <v>1070</v>
      </c>
      <c r="Y27" s="185">
        <v>0</v>
      </c>
      <c r="Z27" s="185">
        <f>IF(Z23&gt;$B$5,(Z23-$B$5)*$H$5,0)</f>
        <v>1070</v>
      </c>
      <c r="AA27" s="185">
        <v>0</v>
      </c>
      <c r="AB27" s="185">
        <f>IF(AB23&gt;$B$5,(AB23-$B$5)*$H$5,0)</f>
        <v>1070</v>
      </c>
      <c r="AC27" s="185">
        <v>0</v>
      </c>
      <c r="AD27" s="185">
        <f>IF(AD23&gt;$B$5,(AD23-$B$5)*$H$5,0)</f>
        <v>1070</v>
      </c>
      <c r="AE27" s="185">
        <v>0</v>
      </c>
      <c r="AF27" s="185">
        <f>IF(AF23&gt;$B$5,(AF23-$B$5)*$H$5,0)</f>
        <v>0</v>
      </c>
      <c r="AG27" s="185">
        <v>0</v>
      </c>
      <c r="AH27" s="185">
        <f>IF(AH23&gt;$B$5,(AH23-$B$5)*$H$5,0)</f>
        <v>0</v>
      </c>
      <c r="AI27" s="185">
        <v>0</v>
      </c>
      <c r="AJ27" s="185">
        <f>IF(AJ23&gt;$B$5,(AJ23-$B$5)*$H$5,0)</f>
        <v>0</v>
      </c>
      <c r="AK27" s="185">
        <v>0</v>
      </c>
    </row>
    <row r="28" spans="1:48" x14ac:dyDescent="0.25">
      <c r="A28" s="184" t="s">
        <v>224</v>
      </c>
      <c r="B28" s="185">
        <f>IF(B24&gt;$B$6,(B24-$B$6)*$H$6,0)</f>
        <v>8899.5999999999967</v>
      </c>
      <c r="C28" s="185">
        <v>0</v>
      </c>
      <c r="D28" s="185">
        <f>IF(D24&gt;$B$6,(D24-$B$6)*$H$6,0)</f>
        <v>13337.543999999998</v>
      </c>
      <c r="E28" s="185">
        <v>0</v>
      </c>
      <c r="F28" s="185">
        <f>IF(F24&gt;$B$6,(F24-$B$6)*$H$6,0)</f>
        <v>17775.487999999994</v>
      </c>
      <c r="G28" s="185">
        <v>0</v>
      </c>
      <c r="H28" s="185">
        <f>IF(H24&gt;$B$6,(H24-$B$6)*$H$6,0)</f>
        <v>22213.431999999993</v>
      </c>
      <c r="I28" s="185">
        <v>0</v>
      </c>
      <c r="J28" s="185">
        <f>IF(J24&gt;$B$6,(J24-$B$6)*$H$6,0)</f>
        <v>24434</v>
      </c>
      <c r="K28" s="185">
        <v>0</v>
      </c>
      <c r="L28" s="185">
        <f>IF(L24&gt;$B$6,(L24-$B$6)*$H$6,0)</f>
        <v>24434</v>
      </c>
      <c r="M28" s="185">
        <v>0</v>
      </c>
      <c r="N28" s="185">
        <f>IF(N24&gt;$B$6,(N24-$B$6)*$H$6,0)</f>
        <v>24434</v>
      </c>
      <c r="O28" s="185">
        <v>0</v>
      </c>
      <c r="P28" s="185">
        <f>IF(P24&gt;$B$6,(P24-$B$6)*$H$6,0)</f>
        <v>24434</v>
      </c>
      <c r="Q28" s="185">
        <v>0</v>
      </c>
      <c r="R28" s="185">
        <f>IF(R24&gt;$B$6,(R24-$B$6)*$H$6,0)</f>
        <v>24434</v>
      </c>
      <c r="S28" s="185">
        <v>0</v>
      </c>
      <c r="T28" s="185">
        <f>IF(T24&gt;$B$6,(T24-$B$6)*$H$6,0)</f>
        <v>24434</v>
      </c>
      <c r="U28" s="185">
        <v>0</v>
      </c>
      <c r="V28" s="185">
        <f>IF(V24&gt;$B$6,(V24-$B$6)*$H$6,0)</f>
        <v>24434</v>
      </c>
      <c r="W28" s="185">
        <v>0</v>
      </c>
      <c r="X28" s="185">
        <f>IF(X24&gt;$B$6,(X24-$B$6)*$H$6,0)</f>
        <v>24434</v>
      </c>
      <c r="Y28" s="185">
        <v>0</v>
      </c>
      <c r="Z28" s="185">
        <f>IF(Z24&gt;$B$6,(Z24-$B$6)*$H$6,0)</f>
        <v>24434</v>
      </c>
      <c r="AA28" s="185">
        <v>0</v>
      </c>
      <c r="AB28" s="185">
        <f>IF(AB24&gt;$B$6,(AB24-$B$6)*$H$6,0)</f>
        <v>24434</v>
      </c>
      <c r="AC28" s="185">
        <v>0</v>
      </c>
      <c r="AD28" s="185">
        <f>IF(AD24&gt;$B$6,(AD24-$B$6)*$H$6,0)</f>
        <v>24434</v>
      </c>
      <c r="AE28" s="185">
        <v>0</v>
      </c>
      <c r="AF28" s="185">
        <f>IF(AF24&gt;$B$6,(AF24-$B$6)*$H$6,0)</f>
        <v>0</v>
      </c>
      <c r="AG28" s="185">
        <v>0</v>
      </c>
      <c r="AH28" s="185">
        <f>IF(AH24&gt;$B$6,(AH24-$B$6)*$H$6,0)</f>
        <v>0</v>
      </c>
      <c r="AI28" s="185">
        <v>0</v>
      </c>
      <c r="AJ28" s="185">
        <f>IF(AJ24&gt;$B$6,(AJ24-$B$6)*$H$6,0)</f>
        <v>0</v>
      </c>
      <c r="AK28" s="185">
        <v>0</v>
      </c>
    </row>
    <row r="29" spans="1:48" x14ac:dyDescent="0.25">
      <c r="A29" s="184" t="s">
        <v>225</v>
      </c>
      <c r="B29" s="185">
        <f>IF(B25&gt;$B$7,(B25-$B$7)*$H$7,0)</f>
        <v>175</v>
      </c>
      <c r="C29" s="185">
        <v>0</v>
      </c>
      <c r="D29" s="185">
        <f>IF(D25&gt;$B$7,(D25-$B$7)*$H$7,0)</f>
        <v>1179.4999999999995</v>
      </c>
      <c r="E29" s="185">
        <v>0</v>
      </c>
      <c r="F29" s="185">
        <f>IF(F25&gt;$B$7,(F25-$B$7)*$H$7,0)</f>
        <v>2183.9999999999991</v>
      </c>
      <c r="G29" s="185">
        <v>0</v>
      </c>
      <c r="H29" s="185">
        <f>IF(H25&gt;$B$7,(H25-$B$7)*$H$7,0)</f>
        <v>3188.4999999999986</v>
      </c>
      <c r="I29" s="185">
        <v>0</v>
      </c>
      <c r="J29" s="185">
        <f>IF(J25&gt;$B$7,(J25-$B$7)*$H$7,0)</f>
        <v>3675</v>
      </c>
      <c r="K29" s="185">
        <v>0</v>
      </c>
      <c r="L29" s="185">
        <f>IF(L25&gt;$B$7,(L25-$B$7)*$H$7,0)</f>
        <v>3675</v>
      </c>
      <c r="M29" s="185">
        <v>0</v>
      </c>
      <c r="N29" s="185">
        <f>IF(N25&gt;$B$7,(N25-$B$7)*$H$7,0)</f>
        <v>3675</v>
      </c>
      <c r="O29" s="185">
        <v>0</v>
      </c>
      <c r="P29" s="185">
        <f>IF(P25&gt;$B$7,(P25-$B$7)*$H$7,0)</f>
        <v>3675</v>
      </c>
      <c r="Q29" s="185">
        <v>0</v>
      </c>
      <c r="R29" s="185">
        <f>IF(R25&gt;$B$7,(R25-$B$7)*$H$7,0)</f>
        <v>3675</v>
      </c>
      <c r="S29" s="185">
        <v>0</v>
      </c>
      <c r="T29" s="185">
        <f>IF(T25&gt;$B$7,(T25-$B$7)*$H$7,0)</f>
        <v>3675</v>
      </c>
      <c r="U29" s="185">
        <v>0</v>
      </c>
      <c r="V29" s="185">
        <f>IF(V25&gt;$B$7,(V25-$B$7)*$H$7,0)</f>
        <v>3675</v>
      </c>
      <c r="W29" s="185">
        <v>0</v>
      </c>
      <c r="X29" s="185">
        <f>IF(X25&gt;$B$7,(X25-$B$7)*$H$7,0)</f>
        <v>3675</v>
      </c>
      <c r="Y29" s="185">
        <v>0</v>
      </c>
      <c r="Z29" s="185">
        <f>IF(Z25&gt;$B$7,(Z25-$B$7)*$H$7,0)</f>
        <v>3675</v>
      </c>
      <c r="AA29" s="185">
        <v>0</v>
      </c>
      <c r="AB29" s="185">
        <f>IF(AB25&gt;$B$7,(AB25-$B$7)*$H$7,0)</f>
        <v>3675</v>
      </c>
      <c r="AC29" s="185">
        <v>0</v>
      </c>
      <c r="AD29" s="185">
        <f>IF(AD25&gt;$B$7,(AD25-$B$7)*$H$7,0)</f>
        <v>3675</v>
      </c>
      <c r="AE29" s="185">
        <v>0</v>
      </c>
      <c r="AF29" s="185">
        <f>IF(AF25&gt;$B$7,(AF25-$B$7)*$H$7,0)</f>
        <v>0</v>
      </c>
      <c r="AG29" s="185">
        <v>0</v>
      </c>
      <c r="AH29" s="185">
        <f>IF(AH25&gt;$B$7,(AH25-$B$7)*$H$7,0)</f>
        <v>0</v>
      </c>
      <c r="AI29" s="185">
        <v>0</v>
      </c>
      <c r="AJ29" s="185">
        <f>IF(AJ25&gt;$B$7,(AJ25-$B$7)*$H$7,0)</f>
        <v>0</v>
      </c>
      <c r="AK29" s="185">
        <v>0</v>
      </c>
      <c r="AL29" s="186"/>
      <c r="AM29" s="186"/>
      <c r="AN29" s="186"/>
      <c r="AO29" s="186"/>
      <c r="AP29" s="186"/>
      <c r="AQ29" s="186"/>
      <c r="AR29" s="186"/>
      <c r="AS29" s="186"/>
      <c r="AT29" s="186"/>
      <c r="AU29" s="186"/>
      <c r="AV29" s="186"/>
    </row>
    <row r="30" spans="1:48" x14ac:dyDescent="0.25">
      <c r="A30" s="187" t="s">
        <v>226</v>
      </c>
      <c r="B30" s="188">
        <f>G4+G5+G6+G7</f>
        <v>1817.9</v>
      </c>
      <c r="C30" s="188">
        <f t="shared" ref="C30:AD30" si="11">B30</f>
        <v>1817.9</v>
      </c>
      <c r="D30" s="188">
        <f t="shared" si="11"/>
        <v>1817.9</v>
      </c>
      <c r="E30" s="188">
        <f t="shared" si="11"/>
        <v>1817.9</v>
      </c>
      <c r="F30" s="188">
        <f t="shared" si="11"/>
        <v>1817.9</v>
      </c>
      <c r="G30" s="188">
        <f t="shared" si="11"/>
        <v>1817.9</v>
      </c>
      <c r="H30" s="188">
        <f t="shared" si="11"/>
        <v>1817.9</v>
      </c>
      <c r="I30" s="188">
        <f t="shared" si="11"/>
        <v>1817.9</v>
      </c>
      <c r="J30" s="188">
        <f t="shared" si="11"/>
        <v>1817.9</v>
      </c>
      <c r="K30" s="188">
        <f t="shared" si="11"/>
        <v>1817.9</v>
      </c>
      <c r="L30" s="188">
        <f t="shared" si="11"/>
        <v>1817.9</v>
      </c>
      <c r="M30" s="188">
        <f t="shared" si="11"/>
        <v>1817.9</v>
      </c>
      <c r="N30" s="188">
        <f t="shared" si="11"/>
        <v>1817.9</v>
      </c>
      <c r="O30" s="188">
        <f t="shared" si="11"/>
        <v>1817.9</v>
      </c>
      <c r="P30" s="188">
        <f t="shared" si="11"/>
        <v>1817.9</v>
      </c>
      <c r="Q30" s="188">
        <f t="shared" si="11"/>
        <v>1817.9</v>
      </c>
      <c r="R30" s="188">
        <f t="shared" si="11"/>
        <v>1817.9</v>
      </c>
      <c r="S30" s="188">
        <f t="shared" si="11"/>
        <v>1817.9</v>
      </c>
      <c r="T30" s="188">
        <f t="shared" si="11"/>
        <v>1817.9</v>
      </c>
      <c r="U30" s="188">
        <f t="shared" si="11"/>
        <v>1817.9</v>
      </c>
      <c r="V30" s="188">
        <f t="shared" si="11"/>
        <v>1817.9</v>
      </c>
      <c r="W30" s="188">
        <f t="shared" si="11"/>
        <v>1817.9</v>
      </c>
      <c r="X30" s="188">
        <f t="shared" si="11"/>
        <v>1817.9</v>
      </c>
      <c r="Y30" s="188">
        <f t="shared" si="11"/>
        <v>1817.9</v>
      </c>
      <c r="Z30" s="188">
        <f t="shared" si="11"/>
        <v>1817.9</v>
      </c>
      <c r="AA30" s="188">
        <f t="shared" si="11"/>
        <v>1817.9</v>
      </c>
      <c r="AB30" s="188">
        <f t="shared" si="11"/>
        <v>1817.9</v>
      </c>
      <c r="AC30" s="188">
        <f t="shared" si="11"/>
        <v>1817.9</v>
      </c>
      <c r="AD30" s="188">
        <f t="shared" si="11"/>
        <v>1817.9</v>
      </c>
      <c r="AE30" s="188"/>
      <c r="AF30" s="188"/>
      <c r="AG30" s="188"/>
      <c r="AH30" s="188"/>
      <c r="AI30" s="188"/>
      <c r="AJ30" s="186"/>
      <c r="AK30" s="186"/>
      <c r="AL30" s="186"/>
      <c r="AM30" s="186"/>
      <c r="AN30" s="186"/>
      <c r="AO30" s="186"/>
      <c r="AP30" s="186"/>
      <c r="AQ30" s="186"/>
      <c r="AR30" s="186"/>
      <c r="AS30" s="186"/>
      <c r="AT30" s="186"/>
      <c r="AU30" s="186"/>
      <c r="AV30" s="186"/>
    </row>
    <row r="31" spans="1:48" x14ac:dyDescent="0.25">
      <c r="A31" s="189" t="s">
        <v>227</v>
      </c>
      <c r="B31" s="190">
        <f t="shared" ref="B31:AD31" si="12">B26+B27+B28+B29-B30</f>
        <v>7256.6999999999971</v>
      </c>
      <c r="C31" s="190">
        <f t="shared" si="12"/>
        <v>-1817.9</v>
      </c>
      <c r="D31" s="190">
        <f t="shared" si="12"/>
        <v>12699.143999999998</v>
      </c>
      <c r="E31" s="190">
        <f t="shared" si="12"/>
        <v>-1817.9</v>
      </c>
      <c r="F31" s="190">
        <f t="shared" si="12"/>
        <v>18141.587999999992</v>
      </c>
      <c r="G31" s="190">
        <f t="shared" si="12"/>
        <v>-1817.9</v>
      </c>
      <c r="H31" s="190">
        <f t="shared" si="12"/>
        <v>23584.031999999992</v>
      </c>
      <c r="I31" s="190">
        <f t="shared" si="12"/>
        <v>-1817.9</v>
      </c>
      <c r="J31" s="190">
        <f t="shared" si="12"/>
        <v>30084.1</v>
      </c>
      <c r="K31" s="190">
        <f t="shared" si="12"/>
        <v>-1817.9</v>
      </c>
      <c r="L31" s="190">
        <f t="shared" si="12"/>
        <v>30084.1</v>
      </c>
      <c r="M31" s="190">
        <f t="shared" si="12"/>
        <v>-1817.9</v>
      </c>
      <c r="N31" s="190">
        <f t="shared" si="12"/>
        <v>30084.1</v>
      </c>
      <c r="O31" s="190">
        <f t="shared" si="12"/>
        <v>-1817.9</v>
      </c>
      <c r="P31" s="190">
        <f t="shared" si="12"/>
        <v>30084.1</v>
      </c>
      <c r="Q31" s="190">
        <f t="shared" si="12"/>
        <v>-1817.9</v>
      </c>
      <c r="R31" s="190">
        <f t="shared" si="12"/>
        <v>30084.1</v>
      </c>
      <c r="S31" s="190">
        <f t="shared" si="12"/>
        <v>-1817.9</v>
      </c>
      <c r="T31" s="190">
        <f t="shared" si="12"/>
        <v>30084.1</v>
      </c>
      <c r="U31" s="190">
        <f t="shared" si="12"/>
        <v>-1817.9</v>
      </c>
      <c r="V31" s="190">
        <f t="shared" si="12"/>
        <v>30084.1</v>
      </c>
      <c r="W31" s="190">
        <f t="shared" si="12"/>
        <v>-1817.9</v>
      </c>
      <c r="X31" s="190">
        <f t="shared" si="12"/>
        <v>30084.1</v>
      </c>
      <c r="Y31" s="190">
        <f t="shared" si="12"/>
        <v>-1817.9</v>
      </c>
      <c r="Z31" s="190">
        <f t="shared" si="12"/>
        <v>30084.1</v>
      </c>
      <c r="AA31" s="190">
        <f t="shared" si="12"/>
        <v>-1817.9</v>
      </c>
      <c r="AB31" s="190">
        <f t="shared" si="12"/>
        <v>30084.1</v>
      </c>
      <c r="AC31" s="190">
        <f t="shared" si="12"/>
        <v>-1817.9</v>
      </c>
      <c r="AD31" s="190">
        <f t="shared" si="12"/>
        <v>30084.1</v>
      </c>
      <c r="AE31" s="190"/>
      <c r="AF31" s="190"/>
      <c r="AG31" s="190"/>
      <c r="AH31" s="190"/>
      <c r="AI31" s="190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</row>
    <row r="32" spans="1:48" x14ac:dyDescent="0.25">
      <c r="A32" s="192" t="s">
        <v>228</v>
      </c>
      <c r="B32" s="190">
        <f>-B12-B11+B31</f>
        <v>-175513.3</v>
      </c>
      <c r="C32" s="190">
        <f t="shared" ref="C32:AD32" si="13">B32+C31</f>
        <v>-177331.19999999998</v>
      </c>
      <c r="D32" s="190">
        <f t="shared" si="13"/>
        <v>-164632.05599999998</v>
      </c>
      <c r="E32" s="190">
        <f t="shared" si="13"/>
        <v>-166449.95599999998</v>
      </c>
      <c r="F32" s="190">
        <f t="shared" si="13"/>
        <v>-148308.36799999999</v>
      </c>
      <c r="G32" s="190">
        <f t="shared" si="13"/>
        <v>-150126.26799999998</v>
      </c>
      <c r="H32" s="190">
        <f t="shared" si="13"/>
        <v>-126542.23599999999</v>
      </c>
      <c r="I32" s="190">
        <f t="shared" si="13"/>
        <v>-128360.13599999998</v>
      </c>
      <c r="J32" s="190">
        <f t="shared" si="13"/>
        <v>-98276.035999999993</v>
      </c>
      <c r="K32" s="190">
        <f t="shared" si="13"/>
        <v>-100093.93599999999</v>
      </c>
      <c r="L32" s="190">
        <f t="shared" si="13"/>
        <v>-70009.835999999981</v>
      </c>
      <c r="M32" s="190">
        <f t="shared" si="13"/>
        <v>-71827.735999999975</v>
      </c>
      <c r="N32" s="190">
        <f t="shared" si="13"/>
        <v>-41743.635999999977</v>
      </c>
      <c r="O32" s="190">
        <f t="shared" si="13"/>
        <v>-43561.535999999978</v>
      </c>
      <c r="P32" s="190">
        <f t="shared" si="13"/>
        <v>-13477.43599999998</v>
      </c>
      <c r="Q32" s="190">
        <f t="shared" si="13"/>
        <v>-15295.335999999979</v>
      </c>
      <c r="R32" s="190">
        <f t="shared" si="13"/>
        <v>14788.764000000019</v>
      </c>
      <c r="S32" s="190">
        <f t="shared" si="13"/>
        <v>12970.86400000002</v>
      </c>
      <c r="T32" s="190">
        <f t="shared" si="13"/>
        <v>43054.964000000022</v>
      </c>
      <c r="U32" s="190">
        <f t="shared" si="13"/>
        <v>41237.06400000002</v>
      </c>
      <c r="V32" s="190">
        <f t="shared" si="13"/>
        <v>71321.164000000019</v>
      </c>
      <c r="W32" s="190">
        <f t="shared" si="13"/>
        <v>69503.264000000025</v>
      </c>
      <c r="X32" s="190">
        <f t="shared" si="13"/>
        <v>99587.364000000031</v>
      </c>
      <c r="Y32" s="190">
        <f t="shared" si="13"/>
        <v>97769.464000000036</v>
      </c>
      <c r="Z32" s="190">
        <f t="shared" si="13"/>
        <v>127853.56400000004</v>
      </c>
      <c r="AA32" s="190">
        <f t="shared" si="13"/>
        <v>126035.66400000005</v>
      </c>
      <c r="AB32" s="190">
        <f t="shared" si="13"/>
        <v>156119.76400000005</v>
      </c>
      <c r="AC32" s="190">
        <f t="shared" si="13"/>
        <v>154301.86400000006</v>
      </c>
      <c r="AD32" s="190">
        <f t="shared" si="13"/>
        <v>184385.96400000007</v>
      </c>
      <c r="AE32" s="190"/>
      <c r="AF32" s="190"/>
      <c r="AG32" s="190"/>
      <c r="AH32" s="190"/>
      <c r="AI32" s="190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</row>
    <row r="33" spans="2:35" x14ac:dyDescent="0.25">
      <c r="B33" s="173">
        <f t="shared" ref="B33:AD33" si="14">B32/$B$13</f>
        <v>-0.96029600043770857</v>
      </c>
      <c r="C33" s="173">
        <f t="shared" si="14"/>
        <v>-0.97024238113475947</v>
      </c>
      <c r="D33" s="173">
        <f t="shared" si="14"/>
        <v>-0.90076082508070243</v>
      </c>
      <c r="E33" s="173">
        <f t="shared" si="14"/>
        <v>-0.91070720577775333</v>
      </c>
      <c r="F33" s="173">
        <f t="shared" si="14"/>
        <v>-0.81144809323193079</v>
      </c>
      <c r="G33" s="173">
        <f t="shared" si="14"/>
        <v>-0.82139447392898168</v>
      </c>
      <c r="H33" s="173">
        <f t="shared" si="14"/>
        <v>-0.69235780489139354</v>
      </c>
      <c r="I33" s="173">
        <f t="shared" si="14"/>
        <v>-0.70230418558844443</v>
      </c>
      <c r="J33" s="173">
        <f t="shared" si="14"/>
        <v>-0.53770332111396835</v>
      </c>
      <c r="K33" s="173">
        <f t="shared" si="14"/>
        <v>-0.54764970181101924</v>
      </c>
      <c r="L33" s="173">
        <f t="shared" si="14"/>
        <v>-0.3830488373365431</v>
      </c>
      <c r="M33" s="173">
        <f t="shared" si="14"/>
        <v>-0.392995218033594</v>
      </c>
      <c r="N33" s="173">
        <f t="shared" si="14"/>
        <v>-0.22839435355911789</v>
      </c>
      <c r="O33" s="173">
        <f t="shared" si="14"/>
        <v>-0.23834073425616883</v>
      </c>
      <c r="P33" s="173">
        <f t="shared" si="14"/>
        <v>-7.3739869781692724E-2</v>
      </c>
      <c r="Q33" s="173">
        <f t="shared" si="14"/>
        <v>-8.368625047874366E-2</v>
      </c>
      <c r="R33" s="173">
        <f t="shared" si="14"/>
        <v>8.0914613995732451E-2</v>
      </c>
      <c r="S33" s="173">
        <f t="shared" si="14"/>
        <v>7.0968233298681516E-2</v>
      </c>
      <c r="T33" s="173">
        <f t="shared" si="14"/>
        <v>0.23556909777315763</v>
      </c>
      <c r="U33" s="173">
        <f t="shared" si="14"/>
        <v>0.2256227170761067</v>
      </c>
      <c r="V33" s="173">
        <f t="shared" si="14"/>
        <v>0.39022358155058279</v>
      </c>
      <c r="W33" s="173">
        <f t="shared" si="14"/>
        <v>0.38027720085353189</v>
      </c>
      <c r="X33" s="173">
        <f t="shared" si="14"/>
        <v>0.54487806532800809</v>
      </c>
      <c r="Y33" s="173">
        <f t="shared" si="14"/>
        <v>0.53493168463095719</v>
      </c>
      <c r="Z33" s="173">
        <f t="shared" si="14"/>
        <v>0.69953254910543328</v>
      </c>
      <c r="AA33" s="173">
        <f t="shared" si="14"/>
        <v>0.68958616840838238</v>
      </c>
      <c r="AB33" s="173">
        <f t="shared" si="14"/>
        <v>0.85418703288285858</v>
      </c>
      <c r="AC33" s="173">
        <f t="shared" si="14"/>
        <v>0.84424065218580757</v>
      </c>
      <c r="AD33" s="173">
        <f t="shared" si="14"/>
        <v>1.0088415166602838</v>
      </c>
      <c r="AE33" s="173"/>
      <c r="AF33" s="173"/>
      <c r="AG33" s="173"/>
      <c r="AH33" s="173"/>
      <c r="AI33" s="173"/>
    </row>
    <row r="36" spans="2:35" x14ac:dyDescent="0.25">
      <c r="K36" s="173"/>
    </row>
    <row r="37" spans="2:35" x14ac:dyDescent="0.25">
      <c r="K37" s="173"/>
    </row>
    <row r="38" spans="2:35" x14ac:dyDescent="0.25">
      <c r="K38" s="173"/>
    </row>
    <row r="39" spans="2:35" x14ac:dyDescent="0.25">
      <c r="K39" s="173"/>
    </row>
  </sheetData>
  <mergeCells count="3">
    <mergeCell ref="D2:E2"/>
    <mergeCell ref="F2:G2"/>
    <mergeCell ref="H2:I2"/>
  </mergeCells>
  <conditionalFormatting sqref="B32:AD32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Hall_of_Fame</vt:lpstr>
      <vt:lpstr>Plantilla</vt:lpstr>
      <vt:lpstr>Juvenils</vt:lpstr>
      <vt:lpstr>Planning</vt:lpstr>
      <vt:lpstr>Porteria</vt:lpstr>
      <vt:lpstr>Economia</vt:lpstr>
      <vt:lpstr>Ahch-To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PORTA Isaac</cp:lastModifiedBy>
  <cp:revision>5</cp:revision>
  <dcterms:created xsi:type="dcterms:W3CDTF">2015-06-05T18:19:34Z</dcterms:created>
  <dcterms:modified xsi:type="dcterms:W3CDTF">2019-08-21T11:19:10Z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