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EA77CF44-BA35-40FF-9FFF-3FB94D0B3720}" xr6:coauthVersionLast="33" xr6:coauthVersionMax="33" xr10:uidLastSave="{00000000-0000-0000-0000-000000000000}"/>
  <bookViews>
    <workbookView xWindow="240" yWindow="105" windowWidth="14805" windowHeight="8010" activeTab="2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  <sheet name="PorteroTitular" sheetId="30" r:id="rId12"/>
    <sheet name="PorteroSuplente" sheetId="29" r:id="rId13"/>
  </sheets>
  <externalReferences>
    <externalReference r:id="rId14"/>
  </externalReferences>
  <definedNames>
    <definedName name="_xlchart.v1.0" hidden="1">EstudioConversion!$D$2:$D$48</definedName>
    <definedName name="_xlchart.v1.1" hidden="1">EstudioConversion!$H$2:$H$48</definedName>
  </definedNames>
  <calcPr calcId="179017"/>
  <pivotCaches>
    <pivotCache cacheId="127" r:id="rId15"/>
  </pivotCaches>
</workbook>
</file>

<file path=xl/calcChain.xml><?xml version="1.0" encoding="utf-8"?>
<calcChain xmlns="http://schemas.openxmlformats.org/spreadsheetml/2006/main">
  <c r="T15" i="28" l="1"/>
  <c r="S6" i="28"/>
  <c r="H11" i="28"/>
  <c r="E17" i="28"/>
  <c r="T8" i="28"/>
  <c r="T6" i="28"/>
  <c r="Y9" i="1" l="1"/>
  <c r="Y7" i="1"/>
  <c r="Y15" i="1"/>
  <c r="Y11" i="1"/>
  <c r="Y14" i="1"/>
  <c r="Y13" i="1"/>
  <c r="Y8" i="1"/>
  <c r="Y12" i="1"/>
  <c r="Y6" i="1"/>
  <c r="AE19" i="1"/>
  <c r="Y4" i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H21" i="26" l="1"/>
  <c r="E21" i="26"/>
  <c r="E48" i="26" l="1"/>
  <c r="H48" i="26"/>
  <c r="E22" i="26" l="1"/>
  <c r="H22" i="26"/>
  <c r="E23" i="26"/>
  <c r="H23" i="26"/>
  <c r="N8" i="26"/>
  <c r="E24" i="26"/>
  <c r="H24" i="26"/>
  <c r="E4" i="26"/>
  <c r="H4" i="26"/>
  <c r="E35" i="26"/>
  <c r="H35" i="26"/>
  <c r="E36" i="26"/>
  <c r="H36" i="26"/>
  <c r="E37" i="26"/>
  <c r="H37" i="26"/>
  <c r="E38" i="26"/>
  <c r="H38" i="26"/>
  <c r="E39" i="26"/>
  <c r="H39" i="26"/>
  <c r="E25" i="26"/>
  <c r="H25" i="26"/>
  <c r="E26" i="26"/>
  <c r="H26" i="26"/>
  <c r="E5" i="26"/>
  <c r="H5" i="26"/>
  <c r="E27" i="26"/>
  <c r="H27" i="26"/>
  <c r="E6" i="26"/>
  <c r="H6" i="26"/>
  <c r="E7" i="26"/>
  <c r="H7" i="26"/>
  <c r="E3" i="26"/>
  <c r="H3" i="26"/>
  <c r="E47" i="26" l="1"/>
  <c r="H47" i="26"/>
  <c r="E2" i="26" l="1"/>
  <c r="H2" i="26"/>
  <c r="E45" i="26" l="1"/>
  <c r="H45" i="26"/>
  <c r="Q15" i="28" l="1"/>
  <c r="AE17" i="1" l="1"/>
  <c r="N7" i="26" l="1"/>
  <c r="E46" i="26"/>
  <c r="H46" i="26"/>
  <c r="Y16" i="1" l="1"/>
  <c r="E44" i="26" l="1"/>
  <c r="H44" i="26"/>
  <c r="AE18" i="1" l="1"/>
  <c r="AB18" i="1"/>
  <c r="N3" i="26"/>
  <c r="N4" i="26"/>
  <c r="N5" i="26"/>
  <c r="N6" i="26"/>
  <c r="N2" i="26"/>
  <c r="E42" i="26" l="1"/>
  <c r="H42" i="26"/>
  <c r="E41" i="26"/>
  <c r="H41" i="26"/>
  <c r="E40" i="26"/>
  <c r="H40" i="26"/>
  <c r="H13" i="28" l="1"/>
  <c r="E43" i="26" l="1"/>
  <c r="H43" i="26"/>
  <c r="G15" i="27"/>
  <c r="Y14" i="27"/>
  <c r="Z14" i="27"/>
  <c r="F14" i="27"/>
  <c r="AB16" i="1" l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34" i="26" l="1"/>
  <c r="H34" i="26"/>
  <c r="Y8" i="27" l="1"/>
  <c r="Z8" i="27"/>
  <c r="F8" i="27"/>
  <c r="H7" i="28" l="1"/>
  <c r="H5" i="28" s="1"/>
  <c r="E18" i="28"/>
  <c r="E7" i="28"/>
  <c r="E5" i="28"/>
  <c r="N38" i="28"/>
  <c r="P3" i="28"/>
  <c r="N11" i="28"/>
  <c r="W15" i="28"/>
  <c r="X15" i="28" s="1"/>
  <c r="Y15" i="28" s="1"/>
  <c r="Z15" i="28" s="1"/>
  <c r="AA15" i="28" s="1"/>
  <c r="AB15" i="28" s="1"/>
  <c r="AC15" i="28" s="1"/>
  <c r="AD15" i="28" s="1"/>
  <c r="T7" i="28"/>
  <c r="W7" i="28" s="1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X22" i="28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X10" i="28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X11" i="28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H30" i="28" s="1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N115" i="27" l="1"/>
  <c r="AN114" i="27"/>
  <c r="AN113" i="27"/>
  <c r="AN112" i="27"/>
  <c r="AN111" i="27"/>
  <c r="AN110" i="27"/>
  <c r="AN109" i="27"/>
  <c r="AN108" i="27"/>
  <c r="AN107" i="27"/>
  <c r="AN106" i="27"/>
  <c r="AN105" i="27"/>
  <c r="AN104" i="27"/>
  <c r="AN103" i="27"/>
  <c r="AN102" i="27"/>
  <c r="AN101" i="27"/>
  <c r="AN100" i="27"/>
  <c r="AN99" i="27"/>
  <c r="AN98" i="27"/>
  <c r="B32" i="27"/>
  <c r="D21" i="27" s="1"/>
  <c r="Z28" i="27"/>
  <c r="Y28" i="27"/>
  <c r="G28" i="27"/>
  <c r="F28" i="27" s="1"/>
  <c r="Z27" i="27"/>
  <c r="Y27" i="27"/>
  <c r="G27" i="27"/>
  <c r="F27" i="27" s="1"/>
  <c r="Z26" i="27"/>
  <c r="Y26" i="27"/>
  <c r="G26" i="27"/>
  <c r="F26" i="27" s="1"/>
  <c r="Z21" i="27"/>
  <c r="Y21" i="27"/>
  <c r="F21" i="27"/>
  <c r="Z25" i="27"/>
  <c r="Y25" i="27"/>
  <c r="Z24" i="27"/>
  <c r="Y24" i="27"/>
  <c r="G24" i="27"/>
  <c r="F24" i="27" s="1"/>
  <c r="Z23" i="27"/>
  <c r="Y23" i="27"/>
  <c r="G23" i="27"/>
  <c r="F23" i="27" s="1"/>
  <c r="Z18" i="27"/>
  <c r="Y18" i="27"/>
  <c r="F18" i="27"/>
  <c r="Z17" i="27"/>
  <c r="Y17" i="27"/>
  <c r="F17" i="27"/>
  <c r="Z16" i="27"/>
  <c r="Y16" i="27"/>
  <c r="F16" i="27"/>
  <c r="Z15" i="27"/>
  <c r="Y15" i="27"/>
  <c r="F15" i="27"/>
  <c r="Z10" i="27"/>
  <c r="Y10" i="27"/>
  <c r="F10" i="27"/>
  <c r="Z22" i="27"/>
  <c r="Y22" i="27"/>
  <c r="F22" i="27"/>
  <c r="Z9" i="27"/>
  <c r="Y9" i="27"/>
  <c r="F9" i="27"/>
  <c r="Z7" i="27"/>
  <c r="Y7" i="27"/>
  <c r="F7" i="27"/>
  <c r="AJ6" i="27"/>
  <c r="AJ13" i="27" s="1"/>
  <c r="AJ20" i="27" s="1"/>
  <c r="AI6" i="27"/>
  <c r="AI13" i="27" s="1"/>
  <c r="AI20" i="27" s="1"/>
  <c r="AH6" i="27"/>
  <c r="AH13" i="27" s="1"/>
  <c r="AH20" i="27" s="1"/>
  <c r="AG6" i="27"/>
  <c r="AG13" i="27" s="1"/>
  <c r="AG20" i="27" s="1"/>
  <c r="AF6" i="27"/>
  <c r="AF13" i="27" s="1"/>
  <c r="AF20" i="27" s="1"/>
  <c r="AE6" i="27"/>
  <c r="AE13" i="27" s="1"/>
  <c r="AE20" i="27" s="1"/>
  <c r="AD6" i="27"/>
  <c r="AD13" i="27" s="1"/>
  <c r="AD20" i="27" s="1"/>
  <c r="AC6" i="27"/>
  <c r="AC13" i="27" s="1"/>
  <c r="AC20" i="27" s="1"/>
  <c r="AA6" i="27"/>
  <c r="AA13" i="27" s="1"/>
  <c r="AA20" i="27" s="1"/>
  <c r="Z6" i="27"/>
  <c r="Z13" i="27" s="1"/>
  <c r="Z20" i="27" s="1"/>
  <c r="Y6" i="27"/>
  <c r="Y13" i="27" s="1"/>
  <c r="Y20" i="27" s="1"/>
  <c r="X6" i="27"/>
  <c r="X13" i="27" s="1"/>
  <c r="X20" i="27" s="1"/>
  <c r="W6" i="27"/>
  <c r="W13" i="27" s="1"/>
  <c r="W20" i="27" s="1"/>
  <c r="V6" i="27"/>
  <c r="V13" i="27" s="1"/>
  <c r="V20" i="27" s="1"/>
  <c r="U6" i="27"/>
  <c r="U13" i="27" s="1"/>
  <c r="U20" i="27" s="1"/>
  <c r="T6" i="27"/>
  <c r="T13" i="27" s="1"/>
  <c r="T20" i="27" s="1"/>
  <c r="S6" i="27"/>
  <c r="S13" i="27" s="1"/>
  <c r="S20" i="27" s="1"/>
  <c r="R6" i="27"/>
  <c r="R13" i="27" s="1"/>
  <c r="R20" i="27" s="1"/>
  <c r="Q6" i="27"/>
  <c r="Q13" i="27" s="1"/>
  <c r="Q20" i="27" s="1"/>
  <c r="P6" i="27"/>
  <c r="P13" i="27" s="1"/>
  <c r="P20" i="27" s="1"/>
  <c r="O6" i="27"/>
  <c r="O13" i="27" s="1"/>
  <c r="O20" i="27" s="1"/>
  <c r="N6" i="27"/>
  <c r="N13" i="27" s="1"/>
  <c r="N20" i="27" s="1"/>
  <c r="M6" i="27"/>
  <c r="M13" i="27" s="1"/>
  <c r="M20" i="27" s="1"/>
  <c r="L6" i="27"/>
  <c r="L13" i="27" s="1"/>
  <c r="L20" i="27" s="1"/>
  <c r="J6" i="27"/>
  <c r="J13" i="27" s="1"/>
  <c r="J20" i="27" s="1"/>
  <c r="I6" i="27"/>
  <c r="I13" i="27" s="1"/>
  <c r="I20" i="27" s="1"/>
  <c r="H6" i="27"/>
  <c r="H13" i="27" s="1"/>
  <c r="H20" i="27" s="1"/>
  <c r="G6" i="27"/>
  <c r="G13" i="27" s="1"/>
  <c r="G20" i="27" s="1"/>
  <c r="Z3" i="27"/>
  <c r="Y3" i="27"/>
  <c r="F3" i="27"/>
  <c r="D14" i="27" l="1"/>
  <c r="B36" i="27"/>
  <c r="B33" i="27" s="1"/>
  <c r="D26" i="27"/>
  <c r="E33" i="26"/>
  <c r="H33" i="26"/>
  <c r="D17" i="27" l="1"/>
  <c r="D8" i="27"/>
  <c r="D3" i="27"/>
  <c r="D16" i="27"/>
  <c r="D18" i="27"/>
  <c r="D22" i="27"/>
  <c r="D27" i="27"/>
  <c r="D24" i="27"/>
  <c r="D23" i="27"/>
  <c r="D25" i="27"/>
  <c r="D10" i="27"/>
  <c r="D15" i="27"/>
  <c r="D7" i="27"/>
  <c r="D28" i="27"/>
  <c r="D9" i="27"/>
  <c r="E32" i="26"/>
  <c r="H32" i="26"/>
  <c r="E31" i="26" l="1"/>
  <c r="H31" i="26"/>
  <c r="E8" i="26" l="1"/>
  <c r="H8" i="26"/>
  <c r="E9" i="26"/>
  <c r="H9" i="26"/>
  <c r="E11" i="26"/>
  <c r="E10" i="26"/>
  <c r="E13" i="26"/>
  <c r="E12" i="26"/>
  <c r="E15" i="26"/>
  <c r="E14" i="26"/>
  <c r="E16" i="26"/>
  <c r="E28" i="26"/>
  <c r="E17" i="26"/>
  <c r="E19" i="26"/>
  <c r="E18" i="26"/>
  <c r="E29" i="26"/>
  <c r="H29" i="26"/>
  <c r="H18" i="26"/>
  <c r="H19" i="26"/>
  <c r="H17" i="26"/>
  <c r="H28" i="26"/>
  <c r="H16" i="26"/>
  <c r="H14" i="26"/>
  <c r="H15" i="26"/>
  <c r="H12" i="26"/>
  <c r="H13" i="26"/>
  <c r="H10" i="26"/>
  <c r="H11" i="26"/>
  <c r="E30" i="26"/>
  <c r="H30" i="26"/>
  <c r="E20" i="26"/>
  <c r="H20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R19" i="3" l="1"/>
  <c r="T19" i="3"/>
  <c r="J4" i="3"/>
  <c r="K4" i="3"/>
  <c r="L4" i="3"/>
  <c r="T4" i="3" s="1"/>
  <c r="M4" i="3"/>
  <c r="N4" i="3"/>
  <c r="O4" i="3"/>
  <c r="R4" i="3" s="1"/>
  <c r="P4" i="3"/>
  <c r="S4" i="3" s="1"/>
  <c r="Q4" i="3"/>
  <c r="J5" i="3"/>
  <c r="K5" i="3"/>
  <c r="L5" i="3"/>
  <c r="M5" i="3"/>
  <c r="O5" i="3"/>
  <c r="P5" i="3"/>
  <c r="S5" i="3" s="1"/>
  <c r="Q5" i="3"/>
  <c r="J6" i="3"/>
  <c r="K6" i="3"/>
  <c r="L6" i="3"/>
  <c r="M6" i="3"/>
  <c r="N6" i="3"/>
  <c r="O6" i="3"/>
  <c r="P6" i="3"/>
  <c r="S6" i="3" s="1"/>
  <c r="Q6" i="3"/>
  <c r="J7" i="3"/>
  <c r="K7" i="3"/>
  <c r="L7" i="3"/>
  <c r="T7" i="3" s="1"/>
  <c r="M7" i="3"/>
  <c r="O7" i="3"/>
  <c r="P7" i="3"/>
  <c r="S7" i="3" s="1"/>
  <c r="Q7" i="3"/>
  <c r="J8" i="3"/>
  <c r="K8" i="3"/>
  <c r="L8" i="3"/>
  <c r="T8" i="3" s="1"/>
  <c r="M8" i="3"/>
  <c r="N8" i="3"/>
  <c r="O8" i="3"/>
  <c r="P8" i="3"/>
  <c r="S8" i="3" s="1"/>
  <c r="Q8" i="3"/>
  <c r="J9" i="3"/>
  <c r="K9" i="3"/>
  <c r="L9" i="3"/>
  <c r="M9" i="3"/>
  <c r="O9" i="3"/>
  <c r="R9" i="3" s="1"/>
  <c r="Q9" i="3"/>
  <c r="J10" i="3"/>
  <c r="K10" i="3"/>
  <c r="L10" i="3"/>
  <c r="T10" i="3" s="1"/>
  <c r="M10" i="3"/>
  <c r="Q10" i="3"/>
  <c r="J11" i="3"/>
  <c r="K11" i="3"/>
  <c r="L11" i="3"/>
  <c r="R11" i="3" s="1"/>
  <c r="M11" i="3"/>
  <c r="N11" i="3"/>
  <c r="O11" i="3"/>
  <c r="Q11" i="3"/>
  <c r="J12" i="3"/>
  <c r="K12" i="3"/>
  <c r="L12" i="3"/>
  <c r="T12" i="3" s="1"/>
  <c r="M12" i="3"/>
  <c r="N12" i="3"/>
  <c r="Q12" i="3"/>
  <c r="J13" i="3"/>
  <c r="AS13" i="3" s="1"/>
  <c r="K13" i="3"/>
  <c r="L13" i="3"/>
  <c r="M13" i="3"/>
  <c r="O13" i="3"/>
  <c r="Q13" i="3"/>
  <c r="J14" i="3"/>
  <c r="K14" i="3"/>
  <c r="L14" i="3"/>
  <c r="T14" i="3" s="1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T17" i="3" s="1"/>
  <c r="M17" i="3"/>
  <c r="N17" i="3"/>
  <c r="Q17" i="3"/>
  <c r="J18" i="3"/>
  <c r="K18" i="3"/>
  <c r="L18" i="3"/>
  <c r="T18" i="3" s="1"/>
  <c r="M18" i="3"/>
  <c r="N18" i="3"/>
  <c r="O18" i="3"/>
  <c r="R18" i="3" s="1"/>
  <c r="P18" i="3"/>
  <c r="S18" i="3" s="1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T20" i="3" s="1"/>
  <c r="M20" i="3"/>
  <c r="N20" i="3"/>
  <c r="O20" i="3"/>
  <c r="R20" i="3" s="1"/>
  <c r="P20" i="3"/>
  <c r="S20" i="3" s="1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R4" i="12"/>
  <c r="S10" i="12"/>
  <c r="Q11" i="12"/>
  <c r="O13" i="12"/>
  <c r="O9" i="12"/>
  <c r="A4" i="12"/>
  <c r="B4" i="12"/>
  <c r="C4" i="12"/>
  <c r="G4" i="12" s="1"/>
  <c r="D4" i="12"/>
  <c r="E4" i="12" s="1"/>
  <c r="F4" i="12" s="1"/>
  <c r="A5" i="12"/>
  <c r="B5" i="12"/>
  <c r="C5" i="12"/>
  <c r="D5" i="12"/>
  <c r="E5" i="12" s="1"/>
  <c r="F5" i="12" s="1"/>
  <c r="Q4" i="12" s="1"/>
  <c r="G5" i="12"/>
  <c r="H5" i="12"/>
  <c r="S4" i="12" s="1"/>
  <c r="A6" i="12"/>
  <c r="O7" i="12" s="1"/>
  <c r="B6" i="12"/>
  <c r="C6" i="12"/>
  <c r="D6" i="12"/>
  <c r="E6" i="12" s="1"/>
  <c r="F6" i="12" s="1"/>
  <c r="Q7" i="12" s="1"/>
  <c r="G6" i="12"/>
  <c r="H6" i="12" s="1"/>
  <c r="S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G9" i="12" s="1"/>
  <c r="H9" i="12" s="1"/>
  <c r="D9" i="12"/>
  <c r="E9" i="12" s="1"/>
  <c r="F9" i="12" s="1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D13" i="12"/>
  <c r="E13" i="12" s="1"/>
  <c r="F13" i="12" s="1"/>
  <c r="G13" i="12"/>
  <c r="I13" i="12" s="1"/>
  <c r="A14" i="12"/>
  <c r="B14" i="12"/>
  <c r="C14" i="12"/>
  <c r="D14" i="12"/>
  <c r="E14" i="12" s="1"/>
  <c r="G14" i="12"/>
  <c r="H14" i="12" s="1"/>
  <c r="A15" i="12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G9" i="3" l="1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J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H3" i="25"/>
  <c r="H14" i="25" s="1"/>
  <c r="O14" i="25" s="1"/>
  <c r="A3" i="25"/>
  <c r="A4" i="25"/>
  <c r="H6" i="25" s="1"/>
  <c r="H17" i="25" s="1"/>
  <c r="A5" i="25"/>
  <c r="H5" i="25" s="1"/>
  <c r="H16" i="25" s="1"/>
  <c r="O16" i="25" s="1"/>
  <c r="A6" i="25"/>
  <c r="H2" i="25" s="1"/>
  <c r="H13" i="25" s="1"/>
  <c r="O13" i="25" s="1"/>
  <c r="A7" i="25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13" i="12" l="1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O26" i="24"/>
  <c r="R26" i="24"/>
  <c r="T26" i="24"/>
  <c r="U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8" i="24"/>
  <c r="AK8" i="24"/>
  <c r="AL8" i="24"/>
  <c r="AM8" i="24"/>
  <c r="AN8" i="24"/>
  <c r="AO8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F3" i="30" s="1"/>
  <c r="F5" i="30" l="1"/>
  <c r="P5" i="30" s="1"/>
  <c r="F6" i="30"/>
  <c r="F7" i="30"/>
  <c r="F10" i="30"/>
  <c r="F8" i="30"/>
  <c r="F9" i="30"/>
  <c r="P3" i="30"/>
  <c r="Q3" i="30"/>
  <c r="I3" i="3"/>
  <c r="J3" i="29"/>
  <c r="E21" i="24"/>
  <c r="Y21" i="24" s="1"/>
  <c r="Y3" i="24"/>
  <c r="D24" i="24"/>
  <c r="D25" i="24"/>
  <c r="N7" i="24"/>
  <c r="H7" i="24"/>
  <c r="I7" i="24"/>
  <c r="J7" i="24"/>
  <c r="K7" i="24"/>
  <c r="L7" i="24"/>
  <c r="M7" i="24"/>
  <c r="G7" i="24"/>
  <c r="E7" i="24"/>
  <c r="Q5" i="30" l="1"/>
  <c r="Q8" i="30"/>
  <c r="P8" i="30"/>
  <c r="Q7" i="30"/>
  <c r="P7" i="30"/>
  <c r="Q6" i="30"/>
  <c r="P6" i="30"/>
  <c r="P9" i="30"/>
  <c r="Q9" i="30"/>
  <c r="Q10" i="30"/>
  <c r="P10" i="30"/>
  <c r="S3" i="29"/>
  <c r="T3" i="29"/>
  <c r="Y7" i="24"/>
  <c r="E25" i="24" s="1"/>
  <c r="Y25" i="24" s="1"/>
  <c r="N20" i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 s="1"/>
  <c r="N6" i="24" l="1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E24" i="24"/>
  <c r="Y24" i="24" s="1"/>
  <c r="Y6" i="24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G21" i="1"/>
  <c r="AL21" i="1"/>
  <c r="AK21" i="1"/>
  <c r="AJ21" i="1"/>
  <c r="AI21" i="1"/>
  <c r="AH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E28" i="24" l="1"/>
  <c r="Y28" i="24" s="1"/>
  <c r="Y10" i="24"/>
  <c r="E31" i="24"/>
  <c r="Y31" i="24" s="1"/>
  <c r="Y13" i="24"/>
  <c r="Y14" i="24"/>
  <c r="E32" i="24" s="1"/>
  <c r="Y32" i="24" s="1"/>
  <c r="Y15" i="24"/>
  <c r="E33" i="24" s="1"/>
  <c r="Y33" i="24" s="1"/>
  <c r="E27" i="24"/>
  <c r="Y27" i="24" s="1"/>
  <c r="Y9" i="24"/>
  <c r="E22" i="24"/>
  <c r="Y22" i="24" s="1"/>
  <c r="Y4" i="24"/>
  <c r="Y5" i="24"/>
  <c r="E23" i="24" s="1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J6" i="1"/>
  <c r="K6" i="1"/>
  <c r="L6" i="1"/>
  <c r="S5" i="29" l="1"/>
  <c r="T5" i="29"/>
  <c r="I5" i="3"/>
  <c r="AX5" i="3" s="1"/>
  <c r="AI6" i="1"/>
  <c r="B4" i="25"/>
  <c r="I6" i="25" s="1"/>
  <c r="I17" i="25" s="1"/>
  <c r="C4" i="25"/>
  <c r="J6" i="25" s="1"/>
  <c r="J17" i="25" s="1"/>
  <c r="AL6" i="1"/>
  <c r="AN6" i="1"/>
  <c r="AJ6" i="1"/>
  <c r="AG6" i="1"/>
  <c r="AK6" i="1"/>
  <c r="AM6" i="1"/>
  <c r="AH6" i="1"/>
  <c r="AO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P8" i="1"/>
  <c r="R8" i="1"/>
  <c r="S8" i="1"/>
  <c r="P8" i="1"/>
  <c r="N8" i="1"/>
  <c r="J8" i="1"/>
  <c r="K8" i="1"/>
  <c r="L8" i="1"/>
  <c r="T7" i="29" l="1"/>
  <c r="S7" i="29"/>
  <c r="I7" i="3"/>
  <c r="AH7" i="3" s="1"/>
  <c r="E4" i="25"/>
  <c r="L6" i="25" s="1"/>
  <c r="F4" i="25"/>
  <c r="M6" i="25" s="1"/>
  <c r="AH8" i="1"/>
  <c r="C6" i="25"/>
  <c r="J2" i="25" s="1"/>
  <c r="J13" i="25" s="1"/>
  <c r="B6" i="25"/>
  <c r="I2" i="25" s="1"/>
  <c r="I13" i="25" s="1"/>
  <c r="AM8" i="1"/>
  <c r="AL8" i="1"/>
  <c r="AK8" i="1"/>
  <c r="AN8" i="1"/>
  <c r="AJ8" i="1"/>
  <c r="AI8" i="1"/>
  <c r="AG8" i="1"/>
  <c r="AO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H7" i="1"/>
  <c r="AI7" i="1"/>
  <c r="AJ7" i="1"/>
  <c r="AK7" i="1"/>
  <c r="AL7" i="1"/>
  <c r="AG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H19" i="1"/>
  <c r="AI19" i="1"/>
  <c r="AJ19" i="1"/>
  <c r="AK19" i="1"/>
  <c r="AL19" i="1"/>
  <c r="AG19" i="1"/>
  <c r="AM19" i="1"/>
  <c r="AN19" i="1"/>
  <c r="AO19" i="1"/>
  <c r="U19" i="1"/>
  <c r="W19" i="1"/>
  <c r="R19" i="1"/>
  <c r="S19" i="1"/>
  <c r="P19" i="1"/>
  <c r="J19" i="1"/>
  <c r="K19" i="1"/>
  <c r="L19" i="1"/>
  <c r="AP4" i="1"/>
  <c r="AH4" i="1"/>
  <c r="AI4" i="1"/>
  <c r="AJ4" i="1"/>
  <c r="AK4" i="1"/>
  <c r="AL4" i="1"/>
  <c r="AG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F4" i="30" s="1"/>
  <c r="J5" i="1"/>
  <c r="K5" i="1"/>
  <c r="L5" i="1"/>
  <c r="P4" i="30" l="1"/>
  <c r="Q4" i="30"/>
  <c r="I4" i="3"/>
  <c r="AO4" i="3" s="1"/>
  <c r="J4" i="29"/>
  <c r="R13" i="25"/>
  <c r="D17" i="25"/>
  <c r="B3" i="25"/>
  <c r="C3" i="25"/>
  <c r="AH5" i="1"/>
  <c r="AO5" i="1"/>
  <c r="AN5" i="1"/>
  <c r="AM5" i="1"/>
  <c r="AG5" i="1"/>
  <c r="AL5" i="1"/>
  <c r="AK5" i="1"/>
  <c r="AJ5" i="1"/>
  <c r="AI5" i="1"/>
  <c r="AC18" i="1"/>
  <c r="AC15" i="1"/>
  <c r="AC14" i="1"/>
  <c r="AC11" i="1"/>
  <c r="AC13" i="1"/>
  <c r="AC12" i="1"/>
  <c r="AN4" i="3" l="1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8" i="24"/>
  <c r="AF27" i="24"/>
  <c r="AJ20" i="1"/>
  <c r="AJ14" i="1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P11" i="1"/>
  <c r="U11" i="1"/>
  <c r="W11" i="1"/>
  <c r="R11" i="1"/>
  <c r="S11" i="1"/>
  <c r="P11" i="1"/>
  <c r="J11" i="1"/>
  <c r="K11" i="1"/>
  <c r="L11" i="1"/>
  <c r="I10" i="3" l="1"/>
  <c r="CC10" i="3" s="1"/>
  <c r="B9" i="25"/>
  <c r="C9" i="25"/>
  <c r="AK11" i="1"/>
  <c r="AJ11" i="1"/>
  <c r="AN11" i="1"/>
  <c r="AM11" i="1"/>
  <c r="AG11" i="1"/>
  <c r="AO11" i="1"/>
  <c r="AI11" i="1"/>
  <c r="AH11" i="1"/>
  <c r="AL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P12" i="1"/>
  <c r="W12" i="1"/>
  <c r="R12" i="1"/>
  <c r="S12" i="1"/>
  <c r="P12" i="1"/>
  <c r="N12" i="1"/>
  <c r="J12" i="1"/>
  <c r="K12" i="1"/>
  <c r="L12" i="1"/>
  <c r="I11" i="3" l="1"/>
  <c r="AJ11" i="3" s="1"/>
  <c r="F9" i="25"/>
  <c r="C10" i="25"/>
  <c r="J4" i="25" s="1"/>
  <c r="J15" i="25" s="1"/>
  <c r="B10" i="25"/>
  <c r="I4" i="25" s="1"/>
  <c r="I15" i="25" s="1"/>
  <c r="AK12" i="1"/>
  <c r="AJ12" i="1"/>
  <c r="AN12" i="1"/>
  <c r="AM12" i="1"/>
  <c r="AG12" i="1"/>
  <c r="AO12" i="1"/>
  <c r="AI12" i="1"/>
  <c r="AH12" i="1"/>
  <c r="AL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L14" i="1"/>
  <c r="AK14" i="1"/>
  <c r="AI14" i="1"/>
  <c r="AH14" i="1"/>
  <c r="AG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L10" i="1"/>
  <c r="K10" i="1"/>
  <c r="J10" i="1"/>
  <c r="AP13" i="1"/>
  <c r="W13" i="1"/>
  <c r="U13" i="1"/>
  <c r="S13" i="1"/>
  <c r="R13" i="1"/>
  <c r="P13" i="1"/>
  <c r="N13" i="1"/>
  <c r="L13" i="1"/>
  <c r="K13" i="1"/>
  <c r="J13" i="1"/>
  <c r="AP20" i="1"/>
  <c r="AO20" i="1"/>
  <c r="AN20" i="1"/>
  <c r="AM20" i="1"/>
  <c r="AG20" i="1"/>
  <c r="AL20" i="1"/>
  <c r="AK20" i="1"/>
  <c r="AI20" i="1"/>
  <c r="AH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T9" i="29" l="1"/>
  <c r="S9" i="29"/>
  <c r="I12" i="3"/>
  <c r="AU12" i="3" s="1"/>
  <c r="I9" i="3"/>
  <c r="AD9" i="3" s="1"/>
  <c r="AF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U14" i="3"/>
  <c r="V14" i="3"/>
  <c r="U17" i="3"/>
  <c r="V17" i="3"/>
  <c r="U16" i="3"/>
  <c r="V16" i="3" s="1"/>
  <c r="U15" i="3"/>
  <c r="V15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J13" i="1"/>
  <c r="C11" i="25"/>
  <c r="B11" i="25"/>
  <c r="S2" i="1"/>
  <c r="R2" i="1"/>
  <c r="U2" i="1"/>
  <c r="N2" i="1"/>
  <c r="AH9" i="1"/>
  <c r="AL9" i="1"/>
  <c r="AO9" i="1"/>
  <c r="AJ9" i="1"/>
  <c r="AM9" i="1"/>
  <c r="AK9" i="1"/>
  <c r="AN9" i="1"/>
  <c r="AI9" i="1"/>
  <c r="AG9" i="1"/>
  <c r="AG17" i="1"/>
  <c r="AJ17" i="1"/>
  <c r="AK16" i="1"/>
  <c r="AJ16" i="1"/>
  <c r="AM10" i="1"/>
  <c r="AJ10" i="1"/>
  <c r="AK18" i="1"/>
  <c r="AJ18" i="1"/>
  <c r="AG15" i="1"/>
  <c r="AJ15" i="1"/>
  <c r="AN10" i="1"/>
  <c r="AN18" i="1"/>
  <c r="AN15" i="1"/>
  <c r="AN13" i="1"/>
  <c r="AN16" i="1"/>
  <c r="AL10" i="1"/>
  <c r="AM15" i="1"/>
  <c r="AO16" i="1"/>
  <c r="AO17" i="1"/>
  <c r="AI18" i="1"/>
  <c r="AM13" i="1"/>
  <c r="AG10" i="1"/>
  <c r="AI10" i="1"/>
  <c r="AO10" i="1"/>
  <c r="AL18" i="1"/>
  <c r="AL17" i="1"/>
  <c r="AK15" i="1"/>
  <c r="AI17" i="1"/>
  <c r="AK17" i="1"/>
  <c r="AI15" i="1"/>
  <c r="AO15" i="1"/>
  <c r="AI16" i="1"/>
  <c r="AK13" i="1"/>
  <c r="AL16" i="1"/>
  <c r="AK10" i="1"/>
  <c r="AO18" i="1"/>
  <c r="AN17" i="1"/>
  <c r="AM17" i="1"/>
  <c r="AL15" i="1"/>
  <c r="AH16" i="1"/>
  <c r="AG16" i="1"/>
  <c r="AL13" i="1"/>
  <c r="AO13" i="1"/>
  <c r="AH18" i="1"/>
  <c r="AG18" i="1"/>
  <c r="AM16" i="1"/>
  <c r="AH13" i="1"/>
  <c r="AG13" i="1"/>
  <c r="AM18" i="1"/>
  <c r="AI13" i="1"/>
  <c r="AH10" i="1"/>
  <c r="AH17" i="1"/>
  <c r="AH15" i="1"/>
  <c r="AQ12" i="3" l="1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R16" i="25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9" i="1" l="1"/>
  <c r="D19" i="10" s="1"/>
  <c r="F9" i="1"/>
  <c r="F8" i="1"/>
  <c r="F5" i="1"/>
  <c r="F12" i="1"/>
  <c r="D12" i="10" s="1"/>
  <c r="F18" i="1"/>
  <c r="D18" i="10" s="1"/>
  <c r="F21" i="1"/>
  <c r="D21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F6" i="1"/>
  <c r="F11" i="1"/>
  <c r="D11" i="10" s="1"/>
  <c r="F10" i="1"/>
  <c r="F13" i="1"/>
  <c r="D13" i="10" s="1"/>
  <c r="F4" i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V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X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<sst xmlns="http://schemas.openxmlformats.org/spreadsheetml/2006/main" count="1405" uniqueCount="722">
  <si>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</si>
  <si>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</si>
  <si>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</si>
  <si>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</si>
  <si>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</si>
  <si>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</si>
  <si>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</si>
  <si>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</si>
  <si>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</si>
  <si>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</si>
  <si>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</si>
  <si>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</si>
  <si>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</si>
  <si>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</si>
  <si>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</si>
  <si>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</si>
  <si>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</si>
  <si>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</si>
  <si>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</si>
  <si>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</si>
  <si>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</si>
  <si>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</si>
  <si>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</si>
  <si>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</si>
  <si>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</si>
  <si>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</si>
  <si>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</si>
  <si>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</si>
  <si>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</si>
  <si>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</si>
  <si>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</si>
  <si>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</si>
  <si>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</si>
  <si>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</si>
  <si>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</si>
  <si>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</si>
  <si>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</si>
  <si>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</si>
  <si>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</si>
  <si>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</si>
  <si>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</si>
  <si>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</si>
  <si>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</si>
  <si>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</si>
  <si>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</si>
  <si>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</si>
  <si>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</si>
  <si>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</si>
  <si>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</si>
  <si>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</si>
  <si>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</si>
  <si>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</si>
  <si>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</si>
  <si>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</si>
  <si>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</si>
  <si>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</si>
  <si>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</si>
  <si>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</si>
  <si>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</si>
  <si>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</si>
  <si>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</si>
  <si>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</si>
  <si>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</si>
  <si>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</si>
  <si>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</si>
  <si>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</si>
  <si>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</si>
  <si>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</si>
  <si>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</si>
  <si>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</si>
  <si>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</si>
  <si>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</si>
  <si>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</si>
  <si>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</si>
  <si>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</si>
  <si>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</si>
  <si>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</si>
  <si>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</si>
  <si>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</si>
  <si>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</si>
  <si>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</si>
  <si>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</si>
  <si>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</si>
  <si>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</si>
  <si>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</si>
  <si>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</si>
  <si>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</si>
  <si>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</si>
  <si>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</si>
  <si>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</si>
  <si>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</si>
  <si>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</si>
  <si>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</si>
  <si>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</si>
  <si>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</si>
  <si>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</si>
  <si>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</si>
  <si>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</si>
  <si>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</si>
  <si>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</si>
  <si>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</si>
  <si>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</si>
  <si>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</si>
  <si>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</si>
  <si>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</si>
  <si>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</si>
  <si>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</si>
  <si>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</si>
  <si>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</si>
  <si>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</si>
  <si>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</si>
  <si>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</si>
  <si>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</si>
  <si>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</si>
  <si>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</si>
  <si>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</si>
  <si>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</si>
  <si>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</si>
  <si>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</si>
  <si>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</si>
  <si>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</si>
  <si>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</si>
  <si>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</si>
  <si>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</si>
  <si>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</si>
  <si>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</si>
  <si>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</si>
  <si>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</si>
  <si>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</si>
  <si>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</si>
  <si>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</si>
  <si>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</si>
  <si>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</si>
  <si>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</si>
  <si>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</si>
  <si>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</si>
  <si>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</si>
  <si>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</si>
  <si>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</si>
  <si>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</si>
  <si>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</si>
  <si>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</si>
  <si>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</si>
  <si>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</si>
  <si>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</si>
  <si>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</si>
  <si>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</si>
  <si>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</si>
  <si>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</si>
  <si>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</si>
  <si>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</si>
  <si>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</si>
  <si>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</si>
  <si>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</si>
  <si>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</si>
  <si>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</si>
  <si>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</si>
  <si>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</si>
  <si>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</si>
  <si>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</si>
  <si>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</si>
  <si>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</si>
  <si>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</si>
  <si>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</si>
  <si>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</si>
  <si>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</si>
  <si>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</si>
  <si>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</si>
  <si>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</si>
  <si>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</si>
  <si>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</si>
  <si>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</si>
  <si>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</si>
  <si>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</si>
  <si>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</si>
  <si>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</si>
  <si>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</si>
  <si>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</si>
  <si>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</si>
  <si>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</si>
  <si>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</si>
  <si>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</si>
  <si>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</si>
  <si>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</si>
  <si>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</si>
  <si>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</si>
  <si>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</si>
  <si>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</si>
  <si>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</si>
  <si>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</si>
  <si>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</si>
  <si>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</si>
  <si>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</si>
  <si>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</si>
  <si>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</si>
  <si>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</si>
  <si>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</si>
  <si>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</si>
  <si>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</si>
  <si>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</si>
  <si>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</si>
  <si>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</si>
  <si>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</si>
  <si>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</si>
  <si>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</si>
  <si>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</si>
  <si>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</si>
  <si>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</si>
  <si>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</si>
  <si>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</si>
  <si>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</si>
  <si>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</si>
  <si>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</si>
  <si>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</si>
  <si>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</si>
  <si>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</si>
  <si>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</si>
  <si>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</si>
  <si>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</si>
  <si>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</si>
  <si>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</si>
  <si>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</si>
  <si>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</si>
  <si>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</si>
  <si>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</si>
  <si>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</si>
  <si>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</si>
  <si>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</si>
  <si>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</si>
  <si>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</si>
  <si>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</si>
  <si>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</si>
  <si>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</si>
  <si>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</si>
  <si>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</si>
  <si>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</si>
  <si>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</si>
  <si>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</si>
  <si>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</si>
  <si>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</si>
  <si>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</si>
  <si>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</si>
  <si>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</si>
  <si>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</si>
  <si>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</si>
  <si>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</si>
  <si>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</si>
  <si>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</si>
  <si>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</si>
  <si>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</si>
  <si>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</si>
  <si>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</si>
  <si>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</si>
  <si>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</si>
  <si>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</si>
  <si>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</si>
  <si>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</si>
  <si>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</si>
  <si>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</si>
  <si>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</si>
  <si>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</si>
  <si>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</si>
  <si>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</si>
  <si>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</si>
  <si>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</si>
  <si>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</si>
  <si>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</si>
  <si>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</si>
  <si>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</si>
  <si>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</si>
  <si>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</si>
  <si>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</si>
  <si>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</si>
  <si>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</si>
  <si>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</si>
  <si>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</si>
  <si>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</si>
  <si>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</si>
  <si>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</si>
  <si>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</si>
  <si>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</si>
  <si>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</si>
  <si>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</si>
  <si>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</si>
  <si>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</si>
  <si>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</si>
  <si>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</si>
  <si>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</si>
  <si>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</si>
  <si>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</si>
  <si>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</si>
  <si>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</si>
  <si>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</si>
  <si>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</si>
  <si>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</si>
  <si>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</si>
  <si>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</si>
  <si>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</si>
  <si>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</si>
  <si>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</si>
  <si>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</si>
  <si>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</si>
  <si>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</si>
  <si>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</si>
  <si>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</si>
  <si>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</si>
  <si>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</si>
  <si>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</si>
  <si>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</si>
  <si>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</si>
  <si>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</si>
  <si>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</si>
  <si>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</si>
  <si>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</si>
  <si>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</si>
  <si>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</si>
  <si>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</si>
  <si>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</si>
  <si>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</si>
  <si>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</si>
  <si>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</si>
  <si>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</si>
  <si>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</si>
  <si>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</si>
  <si>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</si>
  <si>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</si>
  <si>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</si>
  <si>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</si>
  <si>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</si>
  <si>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</si>
  <si>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</si>
  <si>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</si>
  <si>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</si>
  <si>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</si>
  <si>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</si>
  <si>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</si>
  <si>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</si>
  <si>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</si>
  <si>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</si>
  <si>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</si>
  <si>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</si>
  <si>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</si>
  <si>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</si>
  <si>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</si>
  <si>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</si>
  <si>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</si>
  <si>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</si>
  <si>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</si>
  <si>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</si>
  <si>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</si>
  <si>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</si>
  <si>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</si>
  <si>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</si>
  <si>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</si>
  <si>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</si>
  <si>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</si>
  <si>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</si>
  <si>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</si>
  <si>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</si>
  <si>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</si>
  <si>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</si>
  <si>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</si>
  <si>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</si>
  <si>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</si>
  <si>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</si>
  <si>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</si>
  <si>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</si>
  <si>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</si>
  <si>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</si>
  <si>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</si>
  <si>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</si>
  <si>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</si>
  <si>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</si>
  <si>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</si>
  <si>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</si>
  <si>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</si>
  <si>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</si>
  <si>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</si>
  <si>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</si>
  <si>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</si>
  <si>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</si>
  <si>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</si>
  <si>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</si>
  <si>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</si>
  <si>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</si>
  <si>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</si>
  <si>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</si>
  <si>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</si>
  <si>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</si>
  <si>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</si>
  <si>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</si>
  <si>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</si>
  <si>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</si>
  <si>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</si>
  <si>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</si>
  <si>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</si>
  <si>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</si>
  <si>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</si>
  <si>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</si>
  <si>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</si>
  <si>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</si>
  <si>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</si>
  <si>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</si>
  <si>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</si>
  <si>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</si>
  <si>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</si>
  <si>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</si>
  <si>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</si>
  <si>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</si>
  <si>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</si>
  <si>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</si>
  <si>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</si>
  <si>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</si>
  <si>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</si>
  <si>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</si>
  <si>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</si>
  <si>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</si>
  <si>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</si>
  <si>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</si>
  <si>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</si>
  <si>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</si>
  <si>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</si>
  <si>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</si>
  <si>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</si>
  <si>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</si>
  <si>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</si>
  <si>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</si>
  <si>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</si>
  <si>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</si>
  <si>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</si>
  <si>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</si>
  <si>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</si>
  <si>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</si>
  <si>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</si>
  <si>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</si>
  <si>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</si>
  <si>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</si>
  <si>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</si>
  <si>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</si>
  <si>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</si>
  <si>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</si>
  <si>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</si>
  <si>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</si>
  <si>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</si>
  <si>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</si>
  <si>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</si>
  <si>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</si>
  <si>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</si>
  <si>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</si>
  <si>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</si>
  <si>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</si>
  <si>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</si>
  <si>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#20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</si>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</sst>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indexed="8"/>
      <name val="Calibri"/>
      <family val="2"/>
      <charset val="1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8"/>
      <color rgb="FFFF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0" borderId="0" xfId="3" applyFont="1" applyAlignment="1">
      <alignment horizontal="left"/>
    </xf>
    <xf numFmtId="0" fontId="33" fillId="24" borderId="0" xfId="3" applyFont="1" applyFill="1" applyBorder="1" applyAlignment="1"/>
    <xf numFmtId="0" fontId="33" fillId="24" borderId="0" xfId="3" applyFont="1" applyFill="1" applyBorder="1" applyAlignment="1">
      <alignment horizontal="center"/>
    </xf>
    <xf numFmtId="0" fontId="34" fillId="24" borderId="0" xfId="3" applyFont="1" applyFill="1" applyBorder="1" applyAlignment="1">
      <alignment horizontal="center"/>
    </xf>
    <xf numFmtId="0" fontId="34" fillId="24" borderId="0" xfId="3" applyFont="1" applyFill="1" applyBorder="1" applyAlignment="1"/>
    <xf numFmtId="0" fontId="35" fillId="0" borderId="0" xfId="3" applyFont="1"/>
    <xf numFmtId="0" fontId="36" fillId="24" borderId="0" xfId="3" applyFont="1" applyFill="1" applyBorder="1" applyAlignment="1">
      <alignment horizontal="left"/>
    </xf>
    <xf numFmtId="0" fontId="36" fillId="24" borderId="0" xfId="3" applyFont="1" applyFill="1" applyBorder="1" applyAlignment="1">
      <alignment horizontal="center"/>
    </xf>
    <xf numFmtId="0" fontId="37" fillId="24" borderId="0" xfId="3" applyFont="1" applyFill="1" applyBorder="1" applyAlignment="1">
      <alignment horizontal="center"/>
    </xf>
    <xf numFmtId="0" fontId="36" fillId="25" borderId="0" xfId="3" applyFont="1" applyFill="1" applyBorder="1" applyAlignment="1">
      <alignment horizontal="left"/>
    </xf>
    <xf numFmtId="0" fontId="36" fillId="25" borderId="0" xfId="3" applyFont="1" applyFill="1" applyBorder="1" applyAlignment="1">
      <alignment horizontal="center"/>
    </xf>
    <xf numFmtId="0" fontId="37" fillId="24" borderId="0" xfId="3" applyFont="1" applyFill="1" applyBorder="1" applyAlignment="1">
      <alignment horizontal="left"/>
    </xf>
    <xf numFmtId="0" fontId="2" fillId="0" borderId="0" xfId="3"/>
    <xf numFmtId="0" fontId="38" fillId="4" borderId="0" xfId="3" applyFont="1" applyFill="1" applyBorder="1" applyAlignment="1">
      <alignment horizontal="right"/>
    </xf>
    <xf numFmtId="0" fontId="39" fillId="0" borderId="0" xfId="3" applyFont="1" applyBorder="1"/>
    <xf numFmtId="1" fontId="39" fillId="0" borderId="0" xfId="3" applyNumberFormat="1" applyFont="1" applyFill="1" applyBorder="1" applyAlignment="1">
      <alignment horizontal="right"/>
    </xf>
    <xf numFmtId="0" fontId="40" fillId="0" borderId="0" xfId="3" applyFont="1" applyFill="1" applyBorder="1" applyAlignment="1">
      <alignment horizontal="center"/>
    </xf>
    <xf numFmtId="1" fontId="41" fillId="0" borderId="0" xfId="3" applyNumberFormat="1" applyFont="1" applyBorder="1" applyAlignment="1">
      <alignment horizontal="right"/>
    </xf>
    <xf numFmtId="14" fontId="42" fillId="0" borderId="0" xfId="3" applyNumberFormat="1" applyFont="1" applyFill="1" applyBorder="1" applyAlignment="1">
      <alignment horizontal="center"/>
    </xf>
    <xf numFmtId="0" fontId="42" fillId="0" borderId="0" xfId="3" applyFont="1" applyBorder="1" applyAlignment="1">
      <alignment horizontal="center"/>
    </xf>
    <xf numFmtId="0" fontId="39" fillId="15" borderId="0" xfId="3" applyFont="1" applyFill="1" applyAlignment="1">
      <alignment horizontal="center"/>
    </xf>
    <xf numFmtId="164" fontId="42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2" fillId="26" borderId="0" xfId="3" applyNumberFormat="1" applyFont="1" applyFill="1" applyBorder="1" applyAlignment="1">
      <alignment horizontal="right"/>
    </xf>
    <xf numFmtId="164" fontId="44" fillId="26" borderId="0" xfId="3" applyNumberFormat="1" applyFont="1" applyFill="1" applyBorder="1" applyAlignment="1">
      <alignment horizontal="center"/>
    </xf>
    <xf numFmtId="2" fontId="44" fillId="26" borderId="0" xfId="3" applyNumberFormat="1" applyFont="1" applyFill="1" applyBorder="1" applyAlignment="1">
      <alignment horizontal="right"/>
    </xf>
    <xf numFmtId="2" fontId="42" fillId="27" borderId="0" xfId="3" applyNumberFormat="1" applyFont="1" applyFill="1" applyBorder="1" applyAlignment="1">
      <alignment horizontal="right"/>
    </xf>
    <xf numFmtId="1" fontId="42" fillId="0" borderId="0" xfId="3" applyNumberFormat="1" applyFont="1" applyBorder="1" applyAlignment="1">
      <alignment horizontal="center"/>
    </xf>
    <xf numFmtId="0" fontId="45" fillId="23" borderId="0" xfId="3" applyFont="1" applyFill="1" applyBorder="1" applyAlignment="1">
      <alignment horizontal="center"/>
    </xf>
    <xf numFmtId="0" fontId="38" fillId="4" borderId="0" xfId="3" applyFont="1" applyFill="1" applyAlignment="1">
      <alignment horizontal="right"/>
    </xf>
    <xf numFmtId="0" fontId="39" fillId="0" borderId="0" xfId="3" applyFont="1"/>
    <xf numFmtId="0" fontId="39" fillId="0" borderId="0" xfId="3" applyFont="1" applyAlignment="1">
      <alignment horizontal="center"/>
    </xf>
    <xf numFmtId="0" fontId="33" fillId="12" borderId="0" xfId="3" applyFont="1" applyFill="1" applyBorder="1" applyAlignment="1"/>
    <xf numFmtId="0" fontId="33" fillId="12" borderId="0" xfId="3" applyFont="1" applyFill="1" applyBorder="1" applyAlignment="1">
      <alignment horizontal="center"/>
    </xf>
    <xf numFmtId="0" fontId="34" fillId="12" borderId="0" xfId="3" applyFont="1" applyFill="1" applyBorder="1" applyAlignment="1">
      <alignment horizontal="center"/>
    </xf>
    <xf numFmtId="0" fontId="34" fillId="12" borderId="0" xfId="3" applyFont="1" applyFill="1" applyBorder="1" applyAlignment="1"/>
    <xf numFmtId="0" fontId="2" fillId="0" borderId="0" xfId="3" applyAlignment="1">
      <alignment horizontal="left"/>
    </xf>
    <xf numFmtId="0" fontId="36" fillId="28" borderId="0" xfId="3" applyFont="1" applyFill="1" applyBorder="1" applyAlignment="1"/>
    <xf numFmtId="0" fontId="36" fillId="28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7" fillId="29" borderId="0" xfId="3" applyFont="1" applyFill="1" applyBorder="1" applyAlignment="1">
      <alignment horizontal="center"/>
    </xf>
    <xf numFmtId="0" fontId="36" fillId="29" borderId="0" xfId="3" applyFont="1" applyFill="1" applyBorder="1" applyAlignment="1"/>
    <xf numFmtId="0" fontId="37" fillId="30" borderId="0" xfId="3" applyFont="1" applyFill="1" applyBorder="1" applyAlignment="1"/>
    <xf numFmtId="0" fontId="37" fillId="3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0" fontId="36" fillId="12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center"/>
    </xf>
    <xf numFmtId="0" fontId="36" fillId="20" borderId="0" xfId="3" applyFont="1" applyFill="1" applyBorder="1" applyAlignment="1">
      <alignment horizontal="left"/>
    </xf>
    <xf numFmtId="0" fontId="36" fillId="20" borderId="0" xfId="3" applyFont="1" applyFill="1" applyBorder="1" applyAlignment="1">
      <alignment horizontal="center"/>
    </xf>
    <xf numFmtId="0" fontId="37" fillId="12" borderId="0" xfId="3" applyFont="1" applyFill="1" applyBorder="1" applyAlignment="1">
      <alignment horizontal="left"/>
    </xf>
    <xf numFmtId="1" fontId="39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2" fillId="27" borderId="0" xfId="3" applyNumberFormat="1" applyFont="1" applyFill="1" applyBorder="1" applyAlignment="1">
      <alignment horizontal="center"/>
    </xf>
    <xf numFmtId="2" fontId="43" fillId="27" borderId="0" xfId="3" applyNumberFormat="1" applyFont="1" applyFill="1" applyBorder="1" applyAlignment="1">
      <alignment horizontal="right"/>
    </xf>
    <xf numFmtId="2" fontId="46" fillId="31" borderId="0" xfId="3" applyNumberFormat="1" applyFont="1" applyFill="1" applyBorder="1" applyAlignment="1">
      <alignment horizontal="right"/>
    </xf>
    <xf numFmtId="0" fontId="45" fillId="4" borderId="0" xfId="3" applyFont="1" applyFill="1" applyAlignment="1">
      <alignment horizontal="right"/>
    </xf>
    <xf numFmtId="0" fontId="45" fillId="0" borderId="0" xfId="3" applyFont="1" applyAlignment="1">
      <alignment horizontal="center"/>
    </xf>
    <xf numFmtId="0" fontId="42" fillId="15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3" fillId="17" borderId="0" xfId="3" applyFont="1" applyFill="1" applyBorder="1" applyAlignment="1">
      <alignment horizontal="center"/>
    </xf>
    <xf numFmtId="0" fontId="34" fillId="17" borderId="0" xfId="3" applyFont="1" applyFill="1" applyBorder="1" applyAlignment="1">
      <alignment horizontal="center"/>
    </xf>
    <xf numFmtId="0" fontId="34" fillId="17" borderId="0" xfId="3" applyFont="1" applyFill="1" applyBorder="1" applyAlignment="1"/>
    <xf numFmtId="0" fontId="36" fillId="32" borderId="0" xfId="3" applyFont="1" applyFill="1" applyBorder="1" applyAlignment="1"/>
    <xf numFmtId="0" fontId="36" fillId="32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7" fillId="33" borderId="0" xfId="3" applyFont="1" applyFill="1" applyBorder="1" applyAlignment="1">
      <alignment horizontal="center"/>
    </xf>
    <xf numFmtId="0" fontId="36" fillId="33" borderId="0" xfId="3" applyFont="1" applyFill="1" applyBorder="1" applyAlignment="1"/>
    <xf numFmtId="0" fontId="37" fillId="34" borderId="0" xfId="3" applyFont="1" applyFill="1" applyBorder="1" applyAlignment="1"/>
    <xf numFmtId="0" fontId="37" fillId="34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0" fontId="36" fillId="17" borderId="0" xfId="3" applyFont="1" applyFill="1" applyBorder="1" applyAlignment="1">
      <alignment horizontal="center"/>
    </xf>
    <xf numFmtId="0" fontId="37" fillId="17" borderId="0" xfId="3" applyFont="1" applyFill="1" applyBorder="1" applyAlignment="1">
      <alignment horizontal="center"/>
    </xf>
    <xf numFmtId="0" fontId="36" fillId="35" borderId="0" xfId="3" applyFont="1" applyFill="1" applyBorder="1" applyAlignment="1">
      <alignment horizontal="left"/>
    </xf>
    <xf numFmtId="0" fontId="36" fillId="35" borderId="0" xfId="3" applyFont="1" applyFill="1" applyBorder="1" applyAlignment="1">
      <alignment horizontal="center"/>
    </xf>
    <xf numFmtId="0" fontId="37" fillId="17" borderId="0" xfId="3" applyFont="1" applyFill="1" applyBorder="1" applyAlignment="1">
      <alignment horizontal="left"/>
    </xf>
    <xf numFmtId="14" fontId="47" fillId="0" borderId="0" xfId="3" applyNumberFormat="1" applyFont="1" applyFill="1" applyBorder="1" applyAlignment="1">
      <alignment horizontal="center"/>
    </xf>
    <xf numFmtId="0" fontId="36" fillId="36" borderId="0" xfId="3" applyFont="1" applyFill="1" applyBorder="1" applyAlignment="1"/>
    <xf numFmtId="0" fontId="36" fillId="36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7" fillId="37" borderId="0" xfId="3" applyFont="1" applyFill="1" applyBorder="1" applyAlignment="1">
      <alignment horizontal="center"/>
    </xf>
    <xf numFmtId="0" fontId="36" fillId="37" borderId="0" xfId="3" applyFont="1" applyFill="1" applyBorder="1" applyAlignment="1"/>
    <xf numFmtId="0" fontId="37" fillId="38" borderId="0" xfId="3" applyFont="1" applyFill="1" applyBorder="1" applyAlignment="1"/>
    <xf numFmtId="0" fontId="37" fillId="38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36" fillId="39" borderId="0" xfId="3" applyFont="1" applyFill="1" applyBorder="1" applyAlignment="1">
      <alignment horizontal="center"/>
    </xf>
    <xf numFmtId="0" fontId="37" fillId="39" borderId="0" xfId="3" applyFont="1" applyFill="1" applyBorder="1" applyAlignment="1">
      <alignment horizontal="center"/>
    </xf>
    <xf numFmtId="0" fontId="36" fillId="40" borderId="0" xfId="3" applyFont="1" applyFill="1" applyBorder="1" applyAlignment="1">
      <alignment horizontal="left"/>
    </xf>
    <xf numFmtId="0" fontId="36" fillId="41" borderId="0" xfId="3" applyFont="1" applyFill="1" applyBorder="1" applyAlignment="1">
      <alignment horizontal="center"/>
    </xf>
    <xf numFmtId="0" fontId="37" fillId="39" borderId="0" xfId="3" applyFont="1" applyFill="1" applyBorder="1" applyAlignment="1">
      <alignment horizontal="left"/>
    </xf>
    <xf numFmtId="0" fontId="45" fillId="0" borderId="0" xfId="3" applyFont="1"/>
    <xf numFmtId="0" fontId="45" fillId="4" borderId="0" xfId="3" applyFont="1" applyFill="1" applyBorder="1" applyAlignment="1">
      <alignment horizontal="right"/>
    </xf>
    <xf numFmtId="1" fontId="39" fillId="0" borderId="0" xfId="3" applyNumberFormat="1" applyFont="1" applyBorder="1"/>
    <xf numFmtId="0" fontId="39" fillId="0" borderId="0" xfId="3" applyFont="1" applyBorder="1" applyAlignment="1">
      <alignment horizontal="center"/>
    </xf>
    <xf numFmtId="0" fontId="45" fillId="0" borderId="0" xfId="3" applyFont="1" applyBorder="1" applyAlignment="1">
      <alignment horizontal="center"/>
    </xf>
    <xf numFmtId="0" fontId="45" fillId="0" borderId="0" xfId="3" applyFont="1" applyBorder="1"/>
    <xf numFmtId="0" fontId="48" fillId="0" borderId="0" xfId="3" applyFont="1"/>
    <xf numFmtId="0" fontId="48" fillId="0" borderId="0" xfId="3" applyFont="1" applyAlignment="1">
      <alignment horizontal="center"/>
    </xf>
    <xf numFmtId="0" fontId="40" fillId="0" borderId="4" xfId="3" applyFont="1" applyBorder="1"/>
    <xf numFmtId="0" fontId="45" fillId="0" borderId="0" xfId="3" applyFont="1" applyFill="1" applyBorder="1"/>
    <xf numFmtId="0" fontId="2" fillId="0" borderId="0" xfId="3" applyFont="1"/>
    <xf numFmtId="14" fontId="40" fillId="0" borderId="4" xfId="3" applyNumberFormat="1" applyFont="1" applyBorder="1"/>
    <xf numFmtId="1" fontId="39" fillId="0" borderId="0" xfId="3" applyNumberFormat="1" applyFont="1" applyAlignment="1">
      <alignment horizontal="center"/>
    </xf>
    <xf numFmtId="0" fontId="49" fillId="0" borderId="0" xfId="3" applyFont="1" applyFill="1" applyAlignment="1">
      <alignment horizontal="center" wrapText="1"/>
    </xf>
    <xf numFmtId="0" fontId="45" fillId="0" borderId="0" xfId="3" applyFont="1" applyFill="1" applyAlignment="1">
      <alignment horizontal="center" wrapText="1"/>
    </xf>
    <xf numFmtId="171" fontId="45" fillId="0" borderId="0" xfId="3" applyNumberFormat="1" applyFont="1"/>
    <xf numFmtId="0" fontId="50" fillId="0" borderId="0" xfId="3" applyFont="1"/>
    <xf numFmtId="0" fontId="50" fillId="0" borderId="0" xfId="3" applyNumberFormat="1" applyFont="1"/>
    <xf numFmtId="14" fontId="39" fillId="0" borderId="0" xfId="3" applyNumberFormat="1" applyFont="1" applyAlignment="1">
      <alignment horizontal="center"/>
    </xf>
    <xf numFmtId="0" fontId="52" fillId="24" borderId="7" xfId="3" applyFont="1" applyFill="1" applyBorder="1" applyAlignment="1">
      <alignment horizontal="left"/>
    </xf>
    <xf numFmtId="2" fontId="53" fillId="0" borderId="1" xfId="3" applyNumberFormat="1" applyFont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8" fillId="27" borderId="1" xfId="3" applyNumberFormat="1" applyFont="1" applyFill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3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8" fillId="26" borderId="1" xfId="3" applyNumberFormat="1" applyFont="1" applyFill="1" applyBorder="1" applyAlignment="1">
      <alignment horizontal="right"/>
    </xf>
    <xf numFmtId="2" fontId="39" fillId="0" borderId="1" xfId="3" applyNumberFormat="1" applyFont="1" applyBorder="1" applyAlignment="1">
      <alignment horizontal="right"/>
    </xf>
    <xf numFmtId="2" fontId="42" fillId="27" borderId="1" xfId="3" applyNumberFormat="1" applyFont="1" applyFill="1" applyBorder="1" applyAlignment="1">
      <alignment horizontal="right"/>
    </xf>
    <xf numFmtId="2" fontId="44" fillId="26" borderId="1" xfId="3" applyNumberFormat="1" applyFont="1" applyFill="1" applyBorder="1" applyAlignment="1">
      <alignment horizontal="right"/>
    </xf>
    <xf numFmtId="2" fontId="60" fillId="26" borderId="1" xfId="3" applyNumberFormat="1" applyFont="1" applyFill="1" applyBorder="1" applyAlignment="1">
      <alignment horizontal="right"/>
    </xf>
    <xf numFmtId="2" fontId="39" fillId="26" borderId="1" xfId="3" applyNumberFormat="1" applyFont="1" applyFill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2" fontId="46" fillId="26" borderId="1" xfId="3" applyNumberFormat="1" applyFont="1" applyFill="1" applyBorder="1" applyAlignment="1">
      <alignment horizontal="right"/>
    </xf>
    <xf numFmtId="0" fontId="61" fillId="0" borderId="1" xfId="3" applyFont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0" fontId="53" fillId="0" borderId="0" xfId="3" applyFont="1"/>
    <xf numFmtId="2" fontId="43" fillId="27" borderId="1" xfId="3" applyNumberFormat="1" applyFont="1" applyFill="1" applyBorder="1" applyAlignment="1">
      <alignment horizontal="right"/>
    </xf>
    <xf numFmtId="2" fontId="44" fillId="15" borderId="1" xfId="3" applyNumberFormat="1" applyFont="1" applyFill="1" applyBorder="1" applyAlignment="1">
      <alignment horizontal="right"/>
    </xf>
    <xf numFmtId="0" fontId="39" fillId="0" borderId="1" xfId="3" applyFont="1" applyBorder="1"/>
    <xf numFmtId="2" fontId="46" fillId="31" borderId="1" xfId="3" applyNumberFormat="1" applyFont="1" applyFill="1" applyBorder="1" applyAlignment="1">
      <alignment horizontal="right"/>
    </xf>
    <xf numFmtId="2" fontId="42" fillId="0" borderId="1" xfId="3" applyNumberFormat="1" applyFont="1" applyBorder="1" applyAlignment="1">
      <alignment horizontal="right"/>
    </xf>
    <xf numFmtId="0" fontId="11" fillId="0" borderId="0" xfId="3" applyFont="1"/>
    <xf numFmtId="14" fontId="42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9" fillId="15" borderId="1" xfId="3" applyFont="1" applyFill="1" applyBorder="1"/>
    <xf numFmtId="0" fontId="51" fillId="24" borderId="5" xfId="3" applyFont="1" applyFill="1" applyBorder="1" applyAlignment="1"/>
    <xf numFmtId="0" fontId="51" fillId="24" borderId="6" xfId="3" applyFont="1" applyFill="1" applyBorder="1" applyAlignment="1"/>
    <xf numFmtId="0" fontId="63" fillId="24" borderId="6" xfId="3" applyFont="1" applyFill="1" applyBorder="1" applyAlignment="1"/>
    <xf numFmtId="0" fontId="64" fillId="24" borderId="8" xfId="3" applyFont="1" applyFill="1" applyBorder="1" applyAlignment="1">
      <alignment horizontal="left"/>
    </xf>
    <xf numFmtId="0" fontId="35" fillId="0" borderId="12" xfId="3" applyFont="1" applyFill="1" applyBorder="1" applyAlignment="1">
      <alignment horizontal="right"/>
    </xf>
    <xf numFmtId="0" fontId="52" fillId="24" borderId="1" xfId="3" applyFont="1" applyFill="1" applyBorder="1" applyAlignment="1">
      <alignment horizontal="left"/>
    </xf>
    <xf numFmtId="2" fontId="59" fillId="26" borderId="1" xfId="3" applyNumberFormat="1" applyFont="1" applyFill="1" applyBorder="1" applyAlignment="1">
      <alignment horizontal="right"/>
    </xf>
    <xf numFmtId="0" fontId="61" fillId="0" borderId="1" xfId="3" applyFont="1" applyFill="1" applyBorder="1"/>
    <xf numFmtId="0" fontId="61" fillId="0" borderId="1" xfId="3" applyFont="1" applyBorder="1"/>
    <xf numFmtId="0" fontId="42" fillId="0" borderId="1" xfId="3" applyFont="1" applyBorder="1"/>
    <xf numFmtId="164" fontId="44" fillId="15" borderId="1" xfId="3" applyNumberFormat="1" applyFont="1" applyFill="1" applyBorder="1" applyAlignment="1">
      <alignment horizontal="center"/>
    </xf>
    <xf numFmtId="164" fontId="44" fillId="26" borderId="1" xfId="3" applyNumberFormat="1" applyFont="1" applyFill="1" applyBorder="1" applyAlignment="1">
      <alignment horizontal="center"/>
    </xf>
    <xf numFmtId="2" fontId="62" fillId="26" borderId="1" xfId="3" applyNumberFormat="1" applyFont="1" applyFill="1" applyBorder="1" applyAlignment="1">
      <alignment horizontal="right"/>
    </xf>
    <xf numFmtId="164" fontId="42" fillId="27" borderId="1" xfId="3" applyNumberFormat="1" applyFont="1" applyFill="1" applyBorder="1" applyAlignment="1">
      <alignment horizontal="center"/>
    </xf>
    <xf numFmtId="164" fontId="42" fillId="26" borderId="1" xfId="3" applyNumberFormat="1" applyFont="1" applyFill="1" applyBorder="1" applyAlignment="1">
      <alignment horizontal="center"/>
    </xf>
    <xf numFmtId="164" fontId="42" fillId="15" borderId="1" xfId="3" applyNumberFormat="1" applyFont="1" applyFill="1" applyBorder="1" applyAlignment="1">
      <alignment horizontal="center"/>
    </xf>
    <xf numFmtId="0" fontId="65" fillId="0" borderId="0" xfId="0" applyFont="1"/>
    <xf numFmtId="0" fontId="65" fillId="0" borderId="0" xfId="0" applyFont="1" applyBorder="1"/>
    <xf numFmtId="14" fontId="65" fillId="22" borderId="0" xfId="0" applyNumberFormat="1" applyFont="1" applyFill="1" applyAlignment="1">
      <alignment horizontal="center"/>
    </xf>
    <xf numFmtId="14" fontId="65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43" borderId="1" xfId="0" applyFont="1" applyFill="1" applyBorder="1" applyAlignment="1">
      <alignment horizontal="center" wrapText="1"/>
    </xf>
    <xf numFmtId="0" fontId="67" fillId="44" borderId="13" xfId="0" applyFont="1" applyFill="1" applyBorder="1" applyAlignment="1">
      <alignment horizontal="center" wrapText="1"/>
    </xf>
    <xf numFmtId="0" fontId="67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7" fillId="0" borderId="0" xfId="0" applyFont="1" applyBorder="1"/>
    <xf numFmtId="0" fontId="67" fillId="0" borderId="0" xfId="0" applyFont="1" applyBorder="1" applyAlignment="1">
      <alignment horizontal="right"/>
    </xf>
    <xf numFmtId="1" fontId="67" fillId="43" borderId="1" xfId="0" applyNumberFormat="1" applyFont="1" applyFill="1" applyBorder="1" applyAlignment="1">
      <alignment horizontal="center" wrapText="1"/>
    </xf>
    <xf numFmtId="1" fontId="67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8" fillId="47" borderId="10" xfId="0" applyFont="1" applyFill="1" applyBorder="1"/>
    <xf numFmtId="173" fontId="68" fillId="47" borderId="10" xfId="0" applyNumberFormat="1" applyFont="1" applyFill="1" applyBorder="1"/>
    <xf numFmtId="173" fontId="68" fillId="47" borderId="1" xfId="0" applyNumberFormat="1" applyFont="1" applyFill="1" applyBorder="1"/>
    <xf numFmtId="0" fontId="69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8" fillId="48" borderId="10" xfId="0" applyFont="1" applyFill="1" applyBorder="1"/>
    <xf numFmtId="173" fontId="68" fillId="48" borderId="10" xfId="0" applyNumberFormat="1" applyFont="1" applyFill="1" applyBorder="1"/>
    <xf numFmtId="173" fontId="68" fillId="48" borderId="1" xfId="0" applyNumberFormat="1" applyFont="1" applyFill="1" applyBorder="1"/>
    <xf numFmtId="0" fontId="67" fillId="49" borderId="1" xfId="0" applyFont="1" applyFill="1" applyBorder="1" applyAlignment="1">
      <alignment wrapText="1"/>
    </xf>
    <xf numFmtId="169" fontId="67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7" fillId="51" borderId="1" xfId="0" applyFont="1" applyFill="1" applyBorder="1" applyAlignment="1">
      <alignment wrapText="1"/>
    </xf>
    <xf numFmtId="173" fontId="67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70" fillId="0" borderId="0" xfId="0" applyFont="1"/>
    <xf numFmtId="0" fontId="71" fillId="0" borderId="0" xfId="0" applyFont="1"/>
    <xf numFmtId="169" fontId="70" fillId="0" borderId="1" xfId="0" applyNumberFormat="1" applyFont="1" applyBorder="1"/>
    <xf numFmtId="0" fontId="0" fillId="0" borderId="18" xfId="0" applyBorder="1"/>
    <xf numFmtId="0" fontId="70" fillId="51" borderId="1" xfId="0" applyFont="1" applyFill="1" applyBorder="1"/>
    <xf numFmtId="0" fontId="70" fillId="51" borderId="1" xfId="0" applyFont="1" applyFill="1" applyBorder="1" applyAlignment="1">
      <alignment wrapText="1"/>
    </xf>
    <xf numFmtId="173" fontId="70" fillId="52" borderId="1" xfId="0" applyNumberFormat="1" applyFont="1" applyFill="1" applyBorder="1"/>
    <xf numFmtId="173" fontId="70" fillId="51" borderId="1" xfId="0" applyNumberFormat="1" applyFont="1" applyFill="1" applyBorder="1"/>
    <xf numFmtId="0" fontId="67" fillId="53" borderId="1" xfId="0" applyFont="1" applyFill="1" applyBorder="1" applyAlignment="1">
      <alignment wrapText="1"/>
    </xf>
    <xf numFmtId="0" fontId="67" fillId="53" borderId="1" xfId="0" applyFont="1" applyFill="1" applyBorder="1"/>
    <xf numFmtId="173" fontId="67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3" fillId="0" borderId="0" xfId="0" applyFont="1"/>
    <xf numFmtId="172" fontId="0" fillId="55" borderId="0" xfId="0" applyNumberFormat="1" applyFill="1" applyBorder="1"/>
    <xf numFmtId="0" fontId="67" fillId="56" borderId="1" xfId="0" applyFont="1" applyFill="1" applyBorder="1"/>
    <xf numFmtId="169" fontId="67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3" fillId="53" borderId="1" xfId="0" applyFont="1" applyFill="1" applyBorder="1" applyAlignment="1">
      <alignment wrapText="1"/>
    </xf>
    <xf numFmtId="0" fontId="73" fillId="53" borderId="1" xfId="0" applyFont="1" applyFill="1" applyBorder="1"/>
    <xf numFmtId="173" fontId="73" fillId="54" borderId="1" xfId="0" applyNumberFormat="1" applyFont="1" applyFill="1" applyBorder="1"/>
    <xf numFmtId="173" fontId="73" fillId="53" borderId="1" xfId="0" applyNumberFormat="1" applyFont="1" applyFill="1" applyBorder="1"/>
    <xf numFmtId="0" fontId="68" fillId="48" borderId="1" xfId="0" applyFont="1" applyFill="1" applyBorder="1"/>
    <xf numFmtId="0" fontId="65" fillId="0" borderId="0" xfId="0" applyFont="1" applyAlignment="1">
      <alignment wrapText="1"/>
    </xf>
    <xf numFmtId="14" fontId="65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7" fillId="0" borderId="0" xfId="0" applyNumberFormat="1" applyFont="1"/>
    <xf numFmtId="174" fontId="67" fillId="0" borderId="0" xfId="0" applyNumberFormat="1" applyFont="1" applyAlignment="1">
      <alignment horizontal="center"/>
    </xf>
    <xf numFmtId="0" fontId="67" fillId="57" borderId="1" xfId="0" applyFont="1" applyFill="1" applyBorder="1" applyAlignment="1">
      <alignment horizontal="center"/>
    </xf>
    <xf numFmtId="175" fontId="67" fillId="57" borderId="1" xfId="1" applyNumberFormat="1" applyFont="1" applyFill="1" applyBorder="1" applyAlignment="1" applyProtection="1">
      <alignment horizontal="center" wrapText="1"/>
    </xf>
    <xf numFmtId="0" fontId="67" fillId="57" borderId="1" xfId="0" applyFont="1" applyFill="1" applyBorder="1" applyAlignment="1">
      <alignment horizontal="right"/>
    </xf>
    <xf numFmtId="169" fontId="73" fillId="0" borderId="1" xfId="2" applyNumberFormat="1" applyFont="1" applyBorder="1" applyAlignment="1" applyProtection="1"/>
    <xf numFmtId="169" fontId="73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7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7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4" fillId="0" borderId="0" xfId="0" applyFont="1" applyAlignment="1">
      <alignment horizontal="right"/>
    </xf>
    <xf numFmtId="172" fontId="74" fillId="0" borderId="0" xfId="0" applyNumberFormat="1" applyFont="1"/>
    <xf numFmtId="172" fontId="13" fillId="0" borderId="0" xfId="0" applyNumberFormat="1" applyFont="1"/>
    <xf numFmtId="0" fontId="67" fillId="0" borderId="0" xfId="0" applyFont="1" applyAlignment="1">
      <alignment horizontal="right"/>
    </xf>
    <xf numFmtId="2" fontId="75" fillId="0" borderId="0" xfId="0" applyNumberFormat="1" applyFont="1"/>
    <xf numFmtId="0" fontId="76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7" fillId="3" borderId="1" xfId="0" applyFont="1" applyFill="1" applyBorder="1" applyAlignment="1">
      <alignment horizontal="right" vertical="center"/>
    </xf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6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13" fillId="16" borderId="0" xfId="0" applyFont="1" applyFill="1" applyAlignment="1">
      <alignment horizontal="center"/>
    </xf>
    <xf numFmtId="0" fontId="45" fillId="0" borderId="0" xfId="3" applyFont="1" applyAlignment="1">
      <alignment horizontal="left"/>
    </xf>
    <xf numFmtId="0" fontId="66" fillId="15" borderId="12" xfId="0" applyFont="1" applyFill="1" applyBorder="1" applyAlignment="1">
      <alignment horizontal="center"/>
    </xf>
    <xf numFmtId="0" fontId="66" fillId="15" borderId="15" xfId="0" applyFont="1" applyFill="1" applyBorder="1" applyAlignment="1">
      <alignment horizontal="center"/>
    </xf>
    <xf numFmtId="0" fontId="66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7" fillId="51" borderId="3" xfId="0" applyFont="1" applyFill="1" applyBorder="1" applyAlignment="1">
      <alignment horizontal="left" vertical="top" wrapText="1"/>
    </xf>
    <xf numFmtId="0" fontId="67" fillId="51" borderId="2" xfId="0" applyFont="1" applyFill="1" applyBorder="1" applyAlignment="1">
      <alignment horizontal="left" vertical="top" wrapText="1"/>
    </xf>
    <xf numFmtId="0" fontId="67" fillId="51" borderId="10" xfId="0" applyFont="1" applyFill="1" applyBorder="1" applyAlignment="1">
      <alignment horizontal="left" vertical="top" wrapText="1"/>
    </xf>
    <xf numFmtId="0" fontId="67" fillId="53" borderId="3" xfId="0" applyFont="1" applyFill="1" applyBorder="1" applyAlignment="1">
      <alignment horizontal="left" vertical="top" wrapText="1"/>
    </xf>
    <xf numFmtId="0" fontId="67" fillId="53" borderId="2" xfId="0" applyFont="1" applyFill="1" applyBorder="1" applyAlignment="1">
      <alignment horizontal="left" vertical="top" wrapText="1"/>
    </xf>
    <xf numFmtId="0" fontId="67" fillId="53" borderId="10" xfId="0" applyFont="1" applyFill="1" applyBorder="1" applyAlignment="1">
      <alignment horizontal="left" vertical="top" wrapText="1"/>
    </xf>
    <xf numFmtId="0" fontId="67" fillId="57" borderId="18" xfId="0" applyFont="1" applyFill="1" applyBorder="1" applyAlignment="1">
      <alignment horizontal="center" vertical="top" wrapText="1"/>
    </xf>
    <xf numFmtId="173" fontId="72" fillId="50" borderId="1" xfId="0" applyNumberFormat="1" applyFont="1" applyFill="1" applyBorder="1" applyAlignment="1">
      <alignment horizontal="center"/>
    </xf>
    <xf numFmtId="173" fontId="73" fillId="54" borderId="1" xfId="0" applyNumberFormat="1" applyFont="1" applyFill="1" applyBorder="1" applyAlignment="1">
      <alignment horizontal="center"/>
    </xf>
    <xf numFmtId="0" fontId="67" fillId="0" borderId="0" xfId="0" applyFont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 V@der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EstudioConversion!$J$2:$J$9</c:f>
              <c:strCache>
                <c:ptCount val="8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Total general</c:v>
                </c:pt>
              </c:strCache>
            </c:strRef>
          </c:cat>
          <c:val>
            <c:numRef>
              <c:f>EstudioConversion!$N$2:$N$9</c:f>
              <c:numCache>
                <c:formatCode>0.0%</c:formatCode>
                <c:ptCount val="8"/>
                <c:pt idx="0">
                  <c:v>0.2857142857142857</c:v>
                </c:pt>
                <c:pt idx="1">
                  <c:v>0.22222222222222221</c:v>
                </c:pt>
                <c:pt idx="2">
                  <c:v>0.4</c:v>
                </c:pt>
                <c:pt idx="3">
                  <c:v>0.38043478260869568</c:v>
                </c:pt>
                <c:pt idx="4">
                  <c:v>0.30769230769230771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BD9A0383-F7BD-4C7A-9C24-359AEDF328C3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7</xdr:row>
      <xdr:rowOff>65087</xdr:rowOff>
    </xdr:from>
    <xdr:to>
      <xdr:col>21</xdr:col>
      <xdr:colOff>500592</xdr:colOff>
      <xdr:row>31</xdr:row>
      <xdr:rowOff>21167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DAA7112-6003-4407-AACF-CA2B87D76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5658" y="1398587"/>
              <a:ext cx="5728759" cy="4528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77.615237268517" createdVersion="6" refreshedVersion="6" minRefreshableVersion="3" recordCount="48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8-01T00:00:00" count="36">
        <d v="2019-07-24T00:00:00"/>
        <d v="2019-06-01T00:00:00"/>
        <d v="2019-03-26T00:00:00"/>
        <d v="2019-05-17T00:00:00"/>
        <d v="2019-05-25T00:00:00"/>
        <d v="2019-05-30T00:00:00"/>
        <d v="2019-06-08T00:00:00"/>
        <d v="2019-06-17T00:00:00"/>
        <d v="2019-06-18T00:00:00"/>
        <d v="2019-06-19T00:00:00"/>
        <d v="2019-06-20T00:00:00"/>
        <d v="2019-06-24T00:00:00"/>
        <d v="2019-06-25T00:00:00"/>
        <d v="2019-06-26T00:00:00"/>
        <d v="2019-07-31T00:00:00"/>
        <d v="2019-03-13T00:00:00"/>
        <d v="2019-03-16T00:00:00"/>
        <d v="2019-03-23T00:00:00"/>
        <d v="2019-05-04T00:00:00"/>
        <d v="2019-05-11T00:00:00"/>
        <d v="2019-05-18T00:00:00"/>
        <d v="2019-06-27T00:00:00"/>
        <d v="2019-06-28T00:00:00"/>
        <d v="2019-03-30T00:00:00"/>
        <d v="2019-04-06T00:00:00"/>
        <d v="2019-04-13T00:00:00"/>
        <d v="2019-04-20T00:00:00"/>
        <d v="2019-04-27T00:00:00"/>
        <d v="2019-07-09T00:00:00"/>
        <d v="2019-07-10T00:00:00"/>
        <d v="2019-07-06T00:00:00"/>
        <d v="2019-07-11T00:00:00"/>
        <d v="2019-07-20T00:00:00"/>
        <d v="2019-07-17T00:00:00"/>
        <d v="2019-07-26T00:00:00"/>
        <m/>
      </sharedItems>
      <fieldGroup par="8" base="0">
        <rangePr groupBy="days" startDate="2019-03-13T00:00:00" endDate="2019-08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8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1" maxValue="12.40909090909090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8-01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Santa Barbosa Aludosa"/>
    <s v="V@der SC"/>
    <x v="2"/>
    <n v="11.727272727272727"/>
    <n v="4"/>
    <n v="2"/>
    <n v="0.5"/>
  </r>
  <r>
    <x v="3"/>
    <s v="Hakom"/>
    <s v="V@der SC"/>
    <x v="2"/>
    <n v="12.090909090909092"/>
    <n v="6"/>
    <n v="3"/>
    <n v="0.5"/>
  </r>
  <r>
    <x v="4"/>
    <s v="V@der SC"/>
    <s v="iRatlle"/>
    <x v="2"/>
    <n v="12.090909090909092"/>
    <n v="5"/>
    <n v="3"/>
    <n v="0.6"/>
  </r>
  <r>
    <x v="5"/>
    <s v="V@der SC"/>
    <s v="Ulls de Gat Mesquer"/>
    <x v="2"/>
    <n v="12.363636363636363"/>
    <n v="9"/>
    <n v="4"/>
    <n v="0.44444444444444442"/>
  </r>
  <r>
    <x v="1"/>
    <s v="Cogollos F.C"/>
    <s v="V@der SC"/>
    <x v="2"/>
    <n v="12"/>
    <n v="5"/>
    <n v="3"/>
    <n v="0.6"/>
  </r>
  <r>
    <x v="6"/>
    <s v="CD Castalia"/>
    <s v="V@der SC"/>
    <x v="2"/>
    <n v="12.181818181818182"/>
    <n v="4"/>
    <n v="2"/>
    <n v="0.5"/>
  </r>
  <r>
    <x v="7"/>
    <s v="V@der SC"/>
    <s v="FC Bayern München 16"/>
    <x v="2"/>
    <n v="12.181818181818182"/>
    <n v="10"/>
    <n v="3"/>
    <n v="0.3"/>
  </r>
  <r>
    <x v="7"/>
    <s v="V@der SC"/>
    <s v="Grasshopper Club Nidwalden"/>
    <x v="2"/>
    <n v="12.181818181818182"/>
    <n v="7"/>
    <n v="3"/>
    <n v="0.42857142857142855"/>
  </r>
  <r>
    <x v="8"/>
    <s v="Ju.far72"/>
    <s v="V@der SC"/>
    <x v="2"/>
    <n v="12.181818181818182"/>
    <n v="9"/>
    <n v="3"/>
    <n v="0.33333333333333331"/>
  </r>
  <r>
    <x v="8"/>
    <s v="Mks Pilica PEDEZET"/>
    <s v="V@der SC"/>
    <x v="2"/>
    <n v="12.181818181818182"/>
    <n v="6"/>
    <n v="2"/>
    <n v="0.33333333333333331"/>
  </r>
  <r>
    <x v="9"/>
    <s v="V@der SC"/>
    <s v="Nie Zjednoczeni Kaczory"/>
    <x v="2"/>
    <n v="12.181818181818182"/>
    <n v="7"/>
    <n v="2"/>
    <n v="0.2857142857142857"/>
  </r>
  <r>
    <x v="9"/>
    <s v="V@der SC"/>
    <s v="Cuchufritos F.C."/>
    <x v="2"/>
    <n v="12.181818181818182"/>
    <n v="5"/>
    <n v="2"/>
    <n v="0.4"/>
  </r>
  <r>
    <x v="10"/>
    <s v="Ladány City"/>
    <s v="V@der SC"/>
    <x v="2"/>
    <n v="12.181818181818182"/>
    <n v="9"/>
    <n v="2"/>
    <n v="0.22222222222222221"/>
  </r>
  <r>
    <x v="11"/>
    <s v="konary"/>
    <s v="V@der SC"/>
    <x v="2"/>
    <n v="12.181818181818182"/>
    <n v="3"/>
    <n v="2"/>
    <n v="0.66666666666666663"/>
  </r>
  <r>
    <x v="12"/>
    <s v="VINATIKA FC 2"/>
    <s v="V@der SC"/>
    <x v="2"/>
    <n v="12.181818181818182"/>
    <n v="6"/>
    <n v="2"/>
    <n v="0.33333333333333331"/>
  </r>
  <r>
    <x v="12"/>
    <s v="V@der SC"/>
    <s v="Basil444"/>
    <x v="2"/>
    <n v="12.181818181818182"/>
    <n v="4"/>
    <n v="2"/>
    <n v="0.5"/>
  </r>
  <r>
    <x v="13"/>
    <s v="V@der SC"/>
    <s v="John Rebus F.c"/>
    <x v="2"/>
    <n v="12.181818181818182"/>
    <n v="9"/>
    <n v="3"/>
    <n v="0.33333333333333331"/>
  </r>
  <r>
    <x v="14"/>
    <s v="Los amiguitos de Don Pimpon"/>
    <s v="V@der SC"/>
    <x v="2"/>
    <n v="11"/>
    <n v="7"/>
    <n v="3"/>
    <n v="0.42857142857142855"/>
  </r>
  <r>
    <x v="15"/>
    <s v="Tuviejahuelemal"/>
    <s v="V@der SC"/>
    <x v="3"/>
    <n v="11.727272727272727"/>
    <n v="7"/>
    <n v="4"/>
    <n v="0.5714285714285714"/>
  </r>
  <r>
    <x v="16"/>
    <s v="Menkoko C.F."/>
    <s v="V@der SC"/>
    <x v="3"/>
    <n v="11.727272727272727"/>
    <n v="7"/>
    <n v="3"/>
    <n v="0.42857142857142855"/>
  </r>
  <r>
    <x v="17"/>
    <s v="V@der SC"/>
    <s v="CD Castalia"/>
    <x v="3"/>
    <n v="11.909090909090908"/>
    <n v="5"/>
    <n v="1"/>
    <n v="0.2"/>
  </r>
  <r>
    <x v="18"/>
    <s v="Kersky"/>
    <s v="V@der SC"/>
    <x v="3"/>
    <n v="11.909090909090908"/>
    <n v="8"/>
    <n v="4"/>
    <n v="0.5"/>
  </r>
  <r>
    <x v="19"/>
    <s v="V@der SC"/>
    <s v="Splug Team"/>
    <x v="3"/>
    <n v="12.090909090909092"/>
    <n v="6"/>
    <n v="1"/>
    <n v="0.16666666666666666"/>
  </r>
  <r>
    <x v="20"/>
    <s v="Refucilo CF"/>
    <s v="V@der SC"/>
    <x v="3"/>
    <n v="12.090909090909092"/>
    <n v="9"/>
    <n v="5"/>
    <n v="0.55555555555555558"/>
  </r>
  <r>
    <x v="10"/>
    <s v="USC Olaf Football"/>
    <s v="V@der SC"/>
    <x v="3"/>
    <n v="12.181818181818182"/>
    <n v="8"/>
    <n v="3"/>
    <n v="0.375"/>
  </r>
  <r>
    <x v="12"/>
    <s v="V@der SC"/>
    <s v="Ornitorrincos Purpura"/>
    <x v="3"/>
    <n v="12.181818181818182"/>
    <n v="8"/>
    <n v="3"/>
    <n v="0.375"/>
  </r>
  <r>
    <x v="13"/>
    <s v="Wisla Skawina"/>
    <s v="V@der SC"/>
    <x v="3"/>
    <n v="12.181818181818182"/>
    <n v="7"/>
    <n v="1"/>
    <n v="0.14285714285714285"/>
  </r>
  <r>
    <x v="21"/>
    <s v="Insulae Atlantis"/>
    <s v="V@der SC"/>
    <x v="3"/>
    <n v="12.181818181818182"/>
    <n v="4"/>
    <n v="2"/>
    <n v="0.5"/>
  </r>
  <r>
    <x v="21"/>
    <s v="V@der SC"/>
    <s v="Bar Karakas C.F."/>
    <x v="3"/>
    <n v="12.181818181818182"/>
    <n v="6"/>
    <n v="1"/>
    <n v="0.16666666666666666"/>
  </r>
  <r>
    <x v="21"/>
    <s v="Dzsoni Valkur"/>
    <s v="V@der SC"/>
    <x v="3"/>
    <n v="12.181818181818182"/>
    <n v="7"/>
    <n v="3"/>
    <n v="0.42857142857142855"/>
  </r>
  <r>
    <x v="22"/>
    <s v="V@der SC"/>
    <s v="Fc De Rositas"/>
    <x v="3"/>
    <n v="11.818181818181818"/>
    <n v="10"/>
    <n v="4"/>
    <n v="0.4"/>
  </r>
  <r>
    <x v="23"/>
    <s v="V@der SC"/>
    <s v="Cogollos F.C"/>
    <x v="4"/>
    <n v="11.909090909090908"/>
    <n v="6"/>
    <n v="1"/>
    <n v="0.16666666666666666"/>
  </r>
  <r>
    <x v="24"/>
    <s v="iRatlle"/>
    <s v="V@der SC"/>
    <x v="4"/>
    <n v="11.909090909090908"/>
    <n v="8"/>
    <n v="3"/>
    <n v="0.375"/>
  </r>
  <r>
    <x v="25"/>
    <s v="V@der SC"/>
    <s v="Refucilo CF"/>
    <x v="4"/>
    <n v="11.909090909090908"/>
    <n v="8"/>
    <n v="3"/>
    <n v="0.375"/>
  </r>
  <r>
    <x v="26"/>
    <s v="Splug Team"/>
    <s v="V@der SC"/>
    <x v="4"/>
    <n v="11.909090909090908"/>
    <n v="9"/>
    <n v="3"/>
    <n v="0.33333333333333331"/>
  </r>
  <r>
    <x v="27"/>
    <s v="V@der SC"/>
    <s v="Kersky"/>
    <x v="4"/>
    <n v="11.909090909090908"/>
    <n v="7"/>
    <n v="2"/>
    <n v="0.2857142857142857"/>
  </r>
  <r>
    <x v="28"/>
    <s v="V@der SC"/>
    <s v="S.H.M.Piast Gliwice"/>
    <x v="4"/>
    <n v="11.909090909090908"/>
    <n v="5"/>
    <n v="1"/>
    <n v="0.2"/>
  </r>
  <r>
    <x v="29"/>
    <s v="Lobos del Viento"/>
    <s v="V@der SC"/>
    <x v="4"/>
    <n v="12.181818181818182"/>
    <n v="6"/>
    <n v="2"/>
    <n v="0.33333333333333331"/>
  </r>
  <r>
    <x v="29"/>
    <s v="V@der SC"/>
    <s v="US Women National Tema"/>
    <x v="4"/>
    <n v="12"/>
    <n v="3"/>
    <n v="1"/>
    <n v="0.33333333333333331"/>
  </r>
  <r>
    <x v="30"/>
    <s v="V@der SC"/>
    <s v="The Pyramid Mystery"/>
    <x v="5"/>
    <n v="11.909090909090908"/>
    <n v="9"/>
    <n v="5"/>
    <n v="0.55555555555555558"/>
  </r>
  <r>
    <x v="31"/>
    <s v="V@der SC"/>
    <s v="I treni di Tozeur"/>
    <x v="5"/>
    <n v="11.909090909090908"/>
    <n v="12"/>
    <n v="5"/>
    <n v="0.41666666666666669"/>
  </r>
  <r>
    <x v="32"/>
    <s v="CD Castalia"/>
    <s v="V@der SC"/>
    <x v="5"/>
    <n v="11.454545454545455"/>
    <n v="5"/>
    <n v="2"/>
    <n v="0.4"/>
  </r>
  <r>
    <x v="33"/>
    <s v="V@der SC"/>
    <s v="Mendibil"/>
    <x v="6"/>
    <n v="12.409090909090908"/>
    <n v="7"/>
    <n v="4"/>
    <n v="0.5714285714285714"/>
  </r>
  <r>
    <x v="34"/>
    <s v="FC BvB"/>
    <s v="V@der SC"/>
    <x v="6"/>
    <n v="12.272727272727273"/>
    <n v="5"/>
    <n v="3"/>
    <n v="0.6"/>
  </r>
  <r>
    <x v="14"/>
    <s v="V@der SC"/>
    <s v="Wing Men"/>
    <x v="6"/>
    <n v="12.272727272727273"/>
    <n v="6"/>
    <n v="2"/>
    <n v="0.33333333333333331"/>
  </r>
  <r>
    <x v="35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1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9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19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9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9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249</v>
      </c>
      <c r="F1" s="118" t="s">
        <v>296</v>
      </c>
      <c r="G1" s="452" t="s">
        <v>256</v>
      </c>
      <c r="H1" s="452"/>
      <c r="J1" s="118" t="s">
        <v>296</v>
      </c>
      <c r="K1" s="452" t="s">
        <v>297</v>
      </c>
      <c r="L1" s="452"/>
      <c r="N1" s="118" t="s">
        <v>296</v>
      </c>
      <c r="O1" s="452" t="s">
        <v>308</v>
      </c>
      <c r="P1" s="452"/>
      <c r="R1" s="118" t="s">
        <v>296</v>
      </c>
      <c r="S1" s="452" t="s">
        <v>327</v>
      </c>
      <c r="T1" s="452"/>
    </row>
    <row r="2" spans="1:20" x14ac:dyDescent="0.25">
      <c r="A2" s="28">
        <v>43696</v>
      </c>
      <c r="F2" s="48">
        <v>1</v>
      </c>
      <c r="G2" s="110" t="s">
        <v>257</v>
      </c>
      <c r="H2" s="108" t="s">
        <v>258</v>
      </c>
      <c r="J2" s="48">
        <v>1</v>
      </c>
      <c r="K2" s="110" t="s">
        <v>280</v>
      </c>
      <c r="L2" s="108">
        <v>175</v>
      </c>
      <c r="N2" s="48">
        <v>1</v>
      </c>
      <c r="O2" s="110" t="s">
        <v>280</v>
      </c>
      <c r="P2" s="108">
        <v>71</v>
      </c>
      <c r="R2" s="48">
        <v>1</v>
      </c>
      <c r="S2" s="110" t="s">
        <v>265</v>
      </c>
      <c r="T2" s="108">
        <v>58</v>
      </c>
    </row>
    <row r="3" spans="1:20" x14ac:dyDescent="0.25">
      <c r="F3" s="48">
        <v>2</v>
      </c>
      <c r="G3" s="110" t="s">
        <v>259</v>
      </c>
      <c r="H3" s="108" t="s">
        <v>260</v>
      </c>
      <c r="J3" s="48">
        <v>2</v>
      </c>
      <c r="K3" s="110" t="s">
        <v>298</v>
      </c>
      <c r="L3" s="108">
        <v>155</v>
      </c>
      <c r="N3" s="48">
        <v>2</v>
      </c>
      <c r="O3" s="110" t="s">
        <v>301</v>
      </c>
      <c r="P3" s="108">
        <v>29</v>
      </c>
      <c r="R3" s="48">
        <v>2</v>
      </c>
      <c r="S3" s="110" t="s">
        <v>299</v>
      </c>
      <c r="T3" s="108">
        <v>57</v>
      </c>
    </row>
    <row r="4" spans="1:20" x14ac:dyDescent="0.25">
      <c r="A4" s="109" t="s">
        <v>250</v>
      </c>
      <c r="F4" s="48">
        <v>3</v>
      </c>
      <c r="G4" s="110" t="s">
        <v>261</v>
      </c>
      <c r="H4" s="108" t="s">
        <v>262</v>
      </c>
      <c r="J4" s="48">
        <v>3</v>
      </c>
      <c r="K4" s="110" t="s">
        <v>266</v>
      </c>
      <c r="L4" s="108">
        <v>145</v>
      </c>
      <c r="N4" s="48">
        <v>3</v>
      </c>
      <c r="O4" s="110" t="s">
        <v>309</v>
      </c>
      <c r="P4" s="108">
        <v>16</v>
      </c>
      <c r="R4" s="48">
        <v>3</v>
      </c>
      <c r="S4" s="110" t="s">
        <v>259</v>
      </c>
      <c r="T4" s="108">
        <v>44</v>
      </c>
    </row>
    <row r="5" spans="1:20" x14ac:dyDescent="0.25">
      <c r="A5" s="128" t="s">
        <v>251</v>
      </c>
      <c r="B5" t="s">
        <v>365</v>
      </c>
      <c r="C5" s="28">
        <v>42847</v>
      </c>
      <c r="D5" t="s">
        <v>252</v>
      </c>
      <c r="F5" s="48">
        <v>4</v>
      </c>
      <c r="G5" s="110" t="s">
        <v>263</v>
      </c>
      <c r="H5" s="108" t="s">
        <v>264</v>
      </c>
      <c r="J5" s="48">
        <v>4</v>
      </c>
      <c r="K5" s="110" t="s">
        <v>263</v>
      </c>
      <c r="L5" s="108">
        <v>144</v>
      </c>
      <c r="N5" s="48">
        <v>4</v>
      </c>
      <c r="O5" s="110" t="s">
        <v>310</v>
      </c>
      <c r="P5" s="108">
        <v>12</v>
      </c>
      <c r="R5" s="48">
        <v>4</v>
      </c>
      <c r="S5" s="110" t="s">
        <v>257</v>
      </c>
      <c r="T5" s="108">
        <v>42</v>
      </c>
    </row>
    <row r="6" spans="1:20" x14ac:dyDescent="0.25">
      <c r="A6" s="128" t="s">
        <v>253</v>
      </c>
      <c r="B6" t="s">
        <v>254</v>
      </c>
      <c r="C6" s="28">
        <v>42991</v>
      </c>
      <c r="D6" t="s">
        <v>255</v>
      </c>
      <c r="F6" s="48">
        <v>5</v>
      </c>
      <c r="G6" s="110" t="s">
        <v>265</v>
      </c>
      <c r="H6" s="108" t="s">
        <v>264</v>
      </c>
      <c r="J6" s="48">
        <v>5</v>
      </c>
      <c r="K6" s="110" t="s">
        <v>257</v>
      </c>
      <c r="L6" s="108">
        <v>141</v>
      </c>
      <c r="N6" s="48">
        <v>4</v>
      </c>
      <c r="O6" s="112" t="s">
        <v>359</v>
      </c>
      <c r="P6" s="108">
        <v>12</v>
      </c>
      <c r="R6" s="48">
        <v>4</v>
      </c>
      <c r="S6" s="116" t="s">
        <v>194</v>
      </c>
      <c r="T6" s="111">
        <v>42</v>
      </c>
    </row>
    <row r="7" spans="1:20" x14ac:dyDescent="0.25">
      <c r="F7" s="48">
        <v>6</v>
      </c>
      <c r="G7" s="110" t="s">
        <v>266</v>
      </c>
      <c r="H7" s="108" t="s">
        <v>267</v>
      </c>
      <c r="J7" s="48">
        <v>6</v>
      </c>
      <c r="K7" s="110" t="s">
        <v>299</v>
      </c>
      <c r="L7" s="108">
        <v>140</v>
      </c>
      <c r="N7" s="48">
        <v>6</v>
      </c>
      <c r="O7" s="110" t="s">
        <v>311</v>
      </c>
      <c r="P7" s="108">
        <v>11</v>
      </c>
      <c r="R7" s="48">
        <v>6</v>
      </c>
      <c r="S7" s="116" t="s">
        <v>355</v>
      </c>
      <c r="T7" s="128">
        <v>28</v>
      </c>
    </row>
    <row r="8" spans="1:20" x14ac:dyDescent="0.25">
      <c r="F8" s="48">
        <v>7</v>
      </c>
      <c r="G8" s="110" t="s">
        <v>268</v>
      </c>
      <c r="H8" s="108" t="s">
        <v>269</v>
      </c>
      <c r="J8" s="48">
        <v>7</v>
      </c>
      <c r="K8" s="110" t="s">
        <v>302</v>
      </c>
      <c r="L8" s="108">
        <v>135</v>
      </c>
      <c r="N8" s="48">
        <v>6</v>
      </c>
      <c r="O8" s="110" t="s">
        <v>312</v>
      </c>
      <c r="P8" s="108">
        <v>11</v>
      </c>
      <c r="R8" s="48">
        <v>7</v>
      </c>
      <c r="S8" s="110" t="s">
        <v>261</v>
      </c>
      <c r="T8" s="108">
        <v>27</v>
      </c>
    </row>
    <row r="9" spans="1:20" x14ac:dyDescent="0.25">
      <c r="F9" s="48">
        <v>8</v>
      </c>
      <c r="G9" s="110" t="s">
        <v>271</v>
      </c>
      <c r="H9" s="108" t="s">
        <v>270</v>
      </c>
      <c r="J9" s="48">
        <v>8</v>
      </c>
      <c r="K9" s="110" t="s">
        <v>271</v>
      </c>
      <c r="L9" s="108">
        <v>111</v>
      </c>
      <c r="N9" s="48">
        <v>8</v>
      </c>
      <c r="O9" s="110" t="s">
        <v>313</v>
      </c>
      <c r="P9" s="108">
        <v>6</v>
      </c>
      <c r="R9" s="48">
        <v>8</v>
      </c>
      <c r="S9" s="110" t="s">
        <v>304</v>
      </c>
      <c r="T9" s="108">
        <v>22</v>
      </c>
    </row>
    <row r="10" spans="1:20" x14ac:dyDescent="0.25">
      <c r="F10" s="48">
        <v>9</v>
      </c>
      <c r="G10" s="110" t="s">
        <v>272</v>
      </c>
      <c r="H10" s="108" t="s">
        <v>270</v>
      </c>
      <c r="J10" s="48">
        <v>9</v>
      </c>
      <c r="K10" s="110" t="s">
        <v>300</v>
      </c>
      <c r="L10" s="108">
        <v>105</v>
      </c>
      <c r="N10" s="48">
        <v>8</v>
      </c>
      <c r="O10" s="112" t="s">
        <v>337</v>
      </c>
      <c r="P10" s="108">
        <v>6</v>
      </c>
      <c r="R10" s="48">
        <v>9</v>
      </c>
      <c r="S10" s="110" t="s">
        <v>328</v>
      </c>
      <c r="T10" s="108">
        <v>20</v>
      </c>
    </row>
    <row r="11" spans="1:20" x14ac:dyDescent="0.25">
      <c r="F11" s="48">
        <v>10</v>
      </c>
      <c r="G11" s="110" t="s">
        <v>273</v>
      </c>
      <c r="H11" s="108" t="s">
        <v>270</v>
      </c>
      <c r="J11" s="48">
        <v>10</v>
      </c>
      <c r="K11" s="116" t="s">
        <v>190</v>
      </c>
      <c r="L11" s="108">
        <v>101</v>
      </c>
      <c r="N11" s="48">
        <v>10</v>
      </c>
      <c r="O11" s="110" t="s">
        <v>314</v>
      </c>
      <c r="P11" s="108">
        <v>4</v>
      </c>
      <c r="R11" s="48">
        <v>10</v>
      </c>
      <c r="S11" s="110" t="s">
        <v>307</v>
      </c>
      <c r="T11" s="108">
        <v>13</v>
      </c>
    </row>
    <row r="12" spans="1:20" x14ac:dyDescent="0.25">
      <c r="F12" s="48">
        <v>11</v>
      </c>
      <c r="G12" s="110" t="s">
        <v>274</v>
      </c>
      <c r="H12" s="108" t="s">
        <v>270</v>
      </c>
      <c r="J12" s="48">
        <v>11</v>
      </c>
      <c r="K12" s="116" t="s">
        <v>362</v>
      </c>
      <c r="L12" s="108">
        <v>95</v>
      </c>
      <c r="N12" s="48">
        <v>11</v>
      </c>
      <c r="O12" s="110" t="s">
        <v>315</v>
      </c>
      <c r="P12" s="108">
        <v>3</v>
      </c>
      <c r="R12" s="48">
        <v>10</v>
      </c>
      <c r="S12" s="110" t="s">
        <v>329</v>
      </c>
      <c r="T12" s="108">
        <v>12</v>
      </c>
    </row>
    <row r="13" spans="1:20" x14ac:dyDescent="0.25">
      <c r="F13" s="48">
        <v>12</v>
      </c>
      <c r="G13" s="110" t="s">
        <v>276</v>
      </c>
      <c r="H13" s="108" t="s">
        <v>275</v>
      </c>
      <c r="J13" s="48">
        <v>12</v>
      </c>
      <c r="K13" s="110" t="s">
        <v>301</v>
      </c>
      <c r="L13" s="108">
        <v>93</v>
      </c>
      <c r="N13" s="48">
        <v>12</v>
      </c>
      <c r="O13" s="110" t="s">
        <v>316</v>
      </c>
      <c r="P13" s="108">
        <v>2</v>
      </c>
      <c r="R13" s="48">
        <v>10</v>
      </c>
      <c r="S13" s="115" t="s">
        <v>246</v>
      </c>
      <c r="T13" s="108">
        <v>12</v>
      </c>
    </row>
    <row r="14" spans="1:20" x14ac:dyDescent="0.25">
      <c r="F14" s="48">
        <v>13</v>
      </c>
      <c r="G14" s="110" t="s">
        <v>277</v>
      </c>
      <c r="H14" s="108" t="s">
        <v>275</v>
      </c>
      <c r="J14" s="48">
        <v>13</v>
      </c>
      <c r="K14" s="116" t="s">
        <v>194</v>
      </c>
      <c r="L14" s="108">
        <v>87</v>
      </c>
      <c r="N14" s="48">
        <v>12</v>
      </c>
      <c r="O14" s="115" t="s">
        <v>338</v>
      </c>
      <c r="P14" s="114">
        <v>2</v>
      </c>
      <c r="R14" s="48">
        <v>13</v>
      </c>
      <c r="S14" s="110" t="s">
        <v>330</v>
      </c>
      <c r="T14" s="108">
        <v>11</v>
      </c>
    </row>
    <row r="15" spans="1:20" x14ac:dyDescent="0.25">
      <c r="F15" s="48">
        <v>14</v>
      </c>
      <c r="G15" s="110" t="s">
        <v>278</v>
      </c>
      <c r="H15" s="108" t="s">
        <v>275</v>
      </c>
      <c r="J15" s="48">
        <v>13</v>
      </c>
      <c r="K15" s="116" t="s">
        <v>363</v>
      </c>
      <c r="L15" s="108">
        <v>87</v>
      </c>
      <c r="N15" s="48">
        <v>14</v>
      </c>
      <c r="O15" s="110" t="s">
        <v>317</v>
      </c>
      <c r="P15" s="108">
        <v>1</v>
      </c>
      <c r="R15" s="48">
        <v>13</v>
      </c>
      <c r="S15" s="110" t="s">
        <v>311</v>
      </c>
      <c r="T15" s="108">
        <v>11</v>
      </c>
    </row>
    <row r="16" spans="1:20" x14ac:dyDescent="0.25">
      <c r="F16" s="48">
        <v>15</v>
      </c>
      <c r="G16" s="110" t="s">
        <v>279</v>
      </c>
      <c r="H16" s="108" t="s">
        <v>275</v>
      </c>
      <c r="J16" s="48">
        <v>13</v>
      </c>
      <c r="K16" s="116" t="s">
        <v>248</v>
      </c>
      <c r="L16" s="108">
        <v>87</v>
      </c>
      <c r="N16" s="48">
        <v>14</v>
      </c>
      <c r="O16" s="110" t="s">
        <v>318</v>
      </c>
      <c r="P16" s="108">
        <v>1</v>
      </c>
      <c r="R16" s="48">
        <v>14</v>
      </c>
      <c r="S16" s="116" t="s">
        <v>362</v>
      </c>
      <c r="T16" s="132">
        <v>9</v>
      </c>
    </row>
    <row r="17" spans="6:20" x14ac:dyDescent="0.25">
      <c r="F17" s="48">
        <v>16</v>
      </c>
      <c r="G17" s="110" t="s">
        <v>280</v>
      </c>
      <c r="H17" s="108" t="s">
        <v>275</v>
      </c>
      <c r="J17" s="48">
        <v>16</v>
      </c>
      <c r="K17" s="110" t="s">
        <v>287</v>
      </c>
      <c r="L17" s="108">
        <v>83</v>
      </c>
      <c r="N17" s="48">
        <v>14</v>
      </c>
      <c r="O17" s="110" t="s">
        <v>319</v>
      </c>
      <c r="P17" s="108">
        <v>1</v>
      </c>
      <c r="R17" s="48">
        <v>15</v>
      </c>
      <c r="S17" s="110" t="s">
        <v>331</v>
      </c>
      <c r="T17" s="108">
        <v>8</v>
      </c>
    </row>
    <row r="18" spans="6:20" x14ac:dyDescent="0.25">
      <c r="F18" s="48">
        <v>17</v>
      </c>
      <c r="G18" s="110" t="s">
        <v>282</v>
      </c>
      <c r="H18" s="108" t="s">
        <v>281</v>
      </c>
      <c r="J18" s="48">
        <v>17</v>
      </c>
      <c r="K18" s="110" t="s">
        <v>288</v>
      </c>
      <c r="L18" s="108">
        <v>78</v>
      </c>
      <c r="N18" s="48">
        <v>14</v>
      </c>
      <c r="O18" s="110" t="s">
        <v>320</v>
      </c>
      <c r="P18" s="108">
        <v>1</v>
      </c>
      <c r="R18" s="48">
        <v>15</v>
      </c>
      <c r="S18" s="110" t="s">
        <v>332</v>
      </c>
      <c r="T18" s="108">
        <v>8</v>
      </c>
    </row>
    <row r="19" spans="6:20" x14ac:dyDescent="0.25">
      <c r="F19" s="48">
        <v>18</v>
      </c>
      <c r="G19" s="110" t="s">
        <v>283</v>
      </c>
      <c r="H19" s="108" t="s">
        <v>281</v>
      </c>
      <c r="J19" s="48">
        <v>18</v>
      </c>
      <c r="K19" s="110" t="s">
        <v>278</v>
      </c>
      <c r="L19" s="108">
        <v>67</v>
      </c>
      <c r="N19" s="48">
        <v>14</v>
      </c>
      <c r="O19" s="110" t="s">
        <v>321</v>
      </c>
      <c r="P19" s="108">
        <v>1</v>
      </c>
      <c r="R19" s="48">
        <v>15</v>
      </c>
      <c r="S19" s="110" t="s">
        <v>306</v>
      </c>
      <c r="T19" s="108">
        <v>8</v>
      </c>
    </row>
    <row r="20" spans="6:20" x14ac:dyDescent="0.25">
      <c r="F20" s="48">
        <v>19</v>
      </c>
      <c r="G20" s="110" t="s">
        <v>284</v>
      </c>
      <c r="H20" s="108" t="s">
        <v>281</v>
      </c>
      <c r="J20" s="48">
        <v>19</v>
      </c>
      <c r="K20" s="110" t="s">
        <v>265</v>
      </c>
      <c r="L20" s="108">
        <v>64</v>
      </c>
      <c r="N20" s="48">
        <v>14</v>
      </c>
      <c r="O20" s="110" t="s">
        <v>322</v>
      </c>
      <c r="P20" s="108">
        <v>1</v>
      </c>
      <c r="R20" s="48">
        <v>18</v>
      </c>
      <c r="S20" s="110" t="s">
        <v>333</v>
      </c>
      <c r="T20" s="108">
        <v>7</v>
      </c>
    </row>
    <row r="21" spans="6:20" x14ac:dyDescent="0.25">
      <c r="F21" s="48">
        <v>20</v>
      </c>
      <c r="G21" s="110" t="s">
        <v>285</v>
      </c>
      <c r="H21" s="108" t="s">
        <v>281</v>
      </c>
      <c r="J21" s="48">
        <v>20</v>
      </c>
      <c r="K21" s="110" t="s">
        <v>289</v>
      </c>
      <c r="L21" s="108">
        <v>60</v>
      </c>
      <c r="N21" s="48">
        <v>14</v>
      </c>
      <c r="O21" s="110" t="s">
        <v>323</v>
      </c>
      <c r="P21" s="108">
        <v>1</v>
      </c>
      <c r="R21" s="48">
        <v>18</v>
      </c>
      <c r="S21" s="110" t="s">
        <v>334</v>
      </c>
      <c r="T21" s="108">
        <v>7</v>
      </c>
    </row>
    <row r="22" spans="6:20" x14ac:dyDescent="0.25">
      <c r="F22" s="48">
        <v>21</v>
      </c>
      <c r="G22" s="110" t="s">
        <v>286</v>
      </c>
      <c r="H22" s="108" t="s">
        <v>281</v>
      </c>
      <c r="J22" s="48">
        <v>20</v>
      </c>
      <c r="K22" s="110" t="s">
        <v>279</v>
      </c>
      <c r="L22" s="108">
        <v>60</v>
      </c>
      <c r="N22" s="48">
        <v>14</v>
      </c>
      <c r="O22" s="110" t="s">
        <v>324</v>
      </c>
      <c r="P22" s="108">
        <v>1</v>
      </c>
      <c r="R22" s="48">
        <v>18</v>
      </c>
      <c r="S22" s="116" t="s">
        <v>366</v>
      </c>
      <c r="T22" s="131">
        <v>7</v>
      </c>
    </row>
    <row r="23" spans="6:20" x14ac:dyDescent="0.25">
      <c r="F23" s="48">
        <v>22</v>
      </c>
      <c r="G23" s="110" t="s">
        <v>287</v>
      </c>
      <c r="H23" s="108" t="s">
        <v>281</v>
      </c>
      <c r="J23" s="48">
        <v>22</v>
      </c>
      <c r="K23" s="110" t="s">
        <v>303</v>
      </c>
      <c r="L23" s="108">
        <v>58</v>
      </c>
      <c r="N23" s="48">
        <v>14</v>
      </c>
      <c r="O23" s="110" t="s">
        <v>325</v>
      </c>
      <c r="P23" s="108">
        <v>1</v>
      </c>
      <c r="R23" s="48">
        <v>21</v>
      </c>
      <c r="S23" s="110" t="s">
        <v>335</v>
      </c>
      <c r="T23" s="108">
        <v>6</v>
      </c>
    </row>
    <row r="24" spans="6:20" x14ac:dyDescent="0.25">
      <c r="F24" s="48">
        <v>23</v>
      </c>
      <c r="G24" s="110" t="s">
        <v>288</v>
      </c>
      <c r="H24" s="108" t="s">
        <v>281</v>
      </c>
      <c r="J24" s="48">
        <v>23</v>
      </c>
      <c r="K24" s="110" t="s">
        <v>304</v>
      </c>
      <c r="L24" s="108">
        <v>57</v>
      </c>
      <c r="N24" s="48">
        <v>14</v>
      </c>
      <c r="O24" s="110" t="s">
        <v>326</v>
      </c>
      <c r="P24" s="108">
        <v>1</v>
      </c>
      <c r="R24" s="48">
        <v>21</v>
      </c>
      <c r="S24" s="110" t="s">
        <v>336</v>
      </c>
      <c r="T24" s="108">
        <v>6</v>
      </c>
    </row>
    <row r="25" spans="6:20" x14ac:dyDescent="0.25">
      <c r="F25" s="48">
        <v>24</v>
      </c>
      <c r="G25" s="110" t="s">
        <v>289</v>
      </c>
      <c r="H25" s="108" t="s">
        <v>281</v>
      </c>
      <c r="J25" s="48">
        <v>23</v>
      </c>
      <c r="K25" s="110" t="s">
        <v>259</v>
      </c>
      <c r="L25" s="108">
        <v>57</v>
      </c>
      <c r="N25" s="48">
        <v>14</v>
      </c>
      <c r="O25" s="115" t="s">
        <v>364</v>
      </c>
      <c r="P25" s="108">
        <v>1</v>
      </c>
      <c r="R25" s="119">
        <v>21</v>
      </c>
      <c r="S25" s="110" t="s">
        <v>302</v>
      </c>
      <c r="T25" s="108">
        <v>6</v>
      </c>
    </row>
    <row r="26" spans="6:20" x14ac:dyDescent="0.25">
      <c r="F26" s="48">
        <v>25</v>
      </c>
      <c r="G26" s="110" t="s">
        <v>290</v>
      </c>
      <c r="H26" s="108" t="s">
        <v>281</v>
      </c>
      <c r="J26" s="48">
        <v>25</v>
      </c>
      <c r="K26" s="110" t="s">
        <v>305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291</v>
      </c>
      <c r="H27" s="108" t="s">
        <v>281</v>
      </c>
      <c r="J27" s="48">
        <v>26</v>
      </c>
      <c r="K27" s="110" t="s">
        <v>283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292</v>
      </c>
      <c r="H28" s="108" t="s">
        <v>281</v>
      </c>
      <c r="J28" s="48">
        <v>27</v>
      </c>
      <c r="K28" s="110" t="s">
        <v>268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293</v>
      </c>
      <c r="H29" s="108" t="s">
        <v>281</v>
      </c>
      <c r="J29" s="48">
        <v>28</v>
      </c>
      <c r="K29" s="129" t="s">
        <v>345</v>
      </c>
      <c r="L29" s="117">
        <v>52</v>
      </c>
      <c r="O29" s="60"/>
      <c r="P29" s="108"/>
    </row>
    <row r="30" spans="6:20" x14ac:dyDescent="0.25">
      <c r="F30" s="48">
        <v>29</v>
      </c>
      <c r="G30" s="110" t="s">
        <v>294</v>
      </c>
      <c r="H30" s="108" t="s">
        <v>281</v>
      </c>
      <c r="J30" s="48">
        <v>29</v>
      </c>
      <c r="K30" s="110" t="s">
        <v>292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295</v>
      </c>
      <c r="H31" s="108" t="s">
        <v>281</v>
      </c>
      <c r="J31" s="48">
        <v>29</v>
      </c>
      <c r="K31" s="110" t="s">
        <v>306</v>
      </c>
      <c r="L31" s="108">
        <v>51</v>
      </c>
      <c r="O31" s="60"/>
      <c r="P31" s="108"/>
    </row>
    <row r="32" spans="6:20" x14ac:dyDescent="0.25">
      <c r="J32" s="48">
        <v>29</v>
      </c>
      <c r="K32" s="130" t="s">
        <v>359</v>
      </c>
      <c r="L32" s="132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109</v>
      </c>
      <c r="D3" s="113">
        <f>Plantilla!G4</f>
        <v>0</v>
      </c>
      <c r="E3" s="28">
        <f>Plantilla!M4</f>
        <v>43415</v>
      </c>
      <c r="F3" s="42">
        <f>Plantilla!Q4</f>
        <v>6</v>
      </c>
      <c r="G3" s="43">
        <f t="shared" ref="G3" si="0">(F3/7)^0.5</f>
        <v>0.92582009977255142</v>
      </c>
      <c r="H3" s="43">
        <f t="shared" ref="H3" si="1">IF(F3=7,1,((F3+0.99)/7)^0.5)</f>
        <v>0.99928545900129484</v>
      </c>
      <c r="I3" s="138">
        <f ca="1">Plantilla!N4</f>
        <v>0.89595496648943951</v>
      </c>
      <c r="J3" s="34">
        <f>Plantilla!I4</f>
        <v>5</v>
      </c>
      <c r="K3" s="41">
        <f>Plantilla!X4</f>
        <v>15</v>
      </c>
      <c r="L3" s="41">
        <f>Plantilla!Y4</f>
        <v>11.111111111111111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1.7638888888888888</v>
      </c>
      <c r="S3" s="41">
        <f t="shared" ref="S3" si="3">(0.5*P3+ 0.3*Q3)/10</f>
        <v>0.08</v>
      </c>
      <c r="T3" s="41">
        <f t="shared" ref="T3" si="4">(0.4*L3+0.3*Q3)/10</f>
        <v>0.47444444444444445</v>
      </c>
      <c r="U3" s="41">
        <f t="shared" ref="U3" ca="1" si="5">(Q3+I3+(LOG(J3)*4/3))*(F3/7)^0.5</f>
        <v>2.6181405217760423</v>
      </c>
      <c r="V3" s="41">
        <f t="shared" ref="V3" ca="1" si="6">IF(F3=7,U3,(Q3+I3+(LOG(J3)*4/3))*((F3+0.99)/7)^0.5)</f>
        <v>2.8258943110822581</v>
      </c>
      <c r="W3" s="32">
        <f t="shared" ref="W3" ca="1" si="7">((K3+I3+(LOG(J3)*4/3))*0.597)+((L3+I3+(LOG(J3)*4/3))*0.276)</f>
        <v>13.617436437459071</v>
      </c>
      <c r="X3" s="32">
        <f t="shared" ref="X3" ca="1" si="8">((K3+I3+(LOG(J3)*4/3))*0.866)+((L3+I3+(LOG(J3)*4/3))*0.425)</f>
        <v>20.072060451423823</v>
      </c>
      <c r="Y3" s="32">
        <f t="shared" ref="Y3" ca="1" si="9">W3</f>
        <v>13.617436437459071</v>
      </c>
      <c r="Z3" s="32">
        <f t="shared" ref="Z3" ca="1" si="10">((L3+I3+(LOG(J3)*4/3))*0.516)</f>
        <v>6.6765374590250648</v>
      </c>
      <c r="AA3" s="32">
        <f t="shared" ref="AA3" ca="1" si="11">((L3+I3+(LOG(J3)*4/3))*1)</f>
        <v>12.939026083381908</v>
      </c>
      <c r="AB3" s="32">
        <f t="shared" ref="AB3" ca="1" si="12">Z3/2</f>
        <v>3.3382687295125324</v>
      </c>
      <c r="AC3" s="32">
        <f t="shared" ref="AC3" ca="1" si="13">((M3+I3+(LOG(J3)*4/3))*0.238)</f>
        <v>0.43504376340044987</v>
      </c>
      <c r="AD3" s="32">
        <f t="shared" ref="AD3" ca="1" si="14">((L3+I3+(LOG(J3)*4/3))*0.378)</f>
        <v>4.8909518595183608</v>
      </c>
      <c r="AE3" s="32">
        <f t="shared" ref="AE3" ca="1" si="15">((L3+I3+(LOG(J3)*4/3))*0.723)</f>
        <v>9.3549158582851195</v>
      </c>
      <c r="AF3" s="32">
        <f t="shared" ref="AF3" ca="1" si="16">AD3/2</f>
        <v>2.4454759297591804</v>
      </c>
      <c r="AG3" s="32">
        <f t="shared" ref="AG3" ca="1" si="17">((M3+I3+(LOG(J3)*4/3))*0.385)</f>
        <v>0.70374726432425716</v>
      </c>
      <c r="AH3" s="32">
        <f t="shared" ref="AH3" ca="1" si="18">((L3+I3+(LOG(J3)*4/3))*0.92)</f>
        <v>11.903903996711355</v>
      </c>
      <c r="AI3" s="32">
        <f t="shared" ref="AI3" ca="1" si="19">((L3+I3+(LOG(J3)*4/3))*0.414)</f>
        <v>5.3567567985201094</v>
      </c>
      <c r="AJ3" s="32">
        <f t="shared" ref="AJ3" ca="1" si="20">((M3+I3+(LOG(J3)*4/3))*0.167)</f>
        <v>0.30526180036922329</v>
      </c>
      <c r="AK3" s="32">
        <f t="shared" ref="AK3" ca="1" si="21">((N3+I3+(LOG(J3)*4/3))*0.588)</f>
        <v>1.0748140036952292</v>
      </c>
      <c r="AL3" s="32">
        <f t="shared" ref="AL3" ca="1" si="22">((L3+I3+(LOG(J3)*4/3))*0.754)</f>
        <v>9.7560256668699576</v>
      </c>
      <c r="AM3" s="32">
        <f t="shared" ref="AM3" ca="1" si="23">((L3+I3+(LOG(J3)*4/3))*0.708)</f>
        <v>9.1608304670343905</v>
      </c>
      <c r="AN3" s="32">
        <f t="shared" ref="AN3" ca="1" si="24">((Q3+I3+(LOG(J3)*4/3))*0.167)</f>
        <v>0.47226180036922327</v>
      </c>
      <c r="AO3" s="32">
        <f t="shared" ref="AO3" ca="1" si="25">((R3+I3+(LOG(J3)*4/3))*0.288)</f>
        <v>1.0344395120139898</v>
      </c>
      <c r="AP3" s="32">
        <f t="shared" ref="AP3" ca="1" si="26">((L3+I3+(LOG(J3)*4/3))*0.27)</f>
        <v>3.4935370425131151</v>
      </c>
      <c r="AQ3" s="32">
        <f t="shared" ref="AQ3" ca="1" si="27">((L3+I3+(LOG(J3)*4/3))*0.594)</f>
        <v>7.6857814935288529</v>
      </c>
      <c r="AR3" s="32">
        <f t="shared" ref="AR3" ca="1" si="28">AP3/2</f>
        <v>1.7467685212565576</v>
      </c>
      <c r="AS3" s="32">
        <f t="shared" ref="AS3" ca="1" si="29">((M3+I3+(LOG(J3)*4/3))*0.944)</f>
        <v>1.725551733823633</v>
      </c>
      <c r="AT3" s="32">
        <f t="shared" ref="AT3" ca="1" si="30">((O3+I3+(LOG(J3)*4/3))*0.13)</f>
        <v>0.23762894639520374</v>
      </c>
      <c r="AU3" s="32">
        <f t="shared" ref="AU3" ca="1" si="31">((P3+I3+(LOG(J3)*4/3))*0.173)+((O3+I3+(LOG(J3)*4/3))*0.12)</f>
        <v>0.70857908687534377</v>
      </c>
      <c r="AV3" s="32">
        <f t="shared" ref="AV3" ca="1" si="32">AT3/2</f>
        <v>0.11881447319760187</v>
      </c>
      <c r="AW3" s="32">
        <f t="shared" ref="AW3" ca="1" si="33">((L3+I3+(LOG(J3)*4/3))*0.189)</f>
        <v>2.4454759297591804</v>
      </c>
      <c r="AX3" s="32">
        <f t="shared" ref="AX3" ca="1" si="34">((L3+I3+(LOG(J3)*4/3))*0.4)</f>
        <v>5.1756104333527633</v>
      </c>
      <c r="AY3" s="32">
        <f t="shared" ref="AY3" ca="1" si="35">AW3/2</f>
        <v>1.2227379648795902</v>
      </c>
      <c r="AZ3" s="32">
        <f t="shared" ref="AZ3" ca="1" si="36">((M3+I3+(LOG(J3)*4/3))*1)</f>
        <v>1.8279149722707979</v>
      </c>
      <c r="BA3" s="32">
        <f t="shared" ref="BA3" ca="1" si="37">((O3+I3+(LOG(J3)*4/3))*0.253)</f>
        <v>0.46246248798451189</v>
      </c>
      <c r="BB3" s="32">
        <f t="shared" ref="BB3" ca="1" si="38">((P3+I3+(LOG(J3)*4/3))*0.21)+((O3+I3+(LOG(J3)*4/3))*0.341)</f>
        <v>1.2171811497212097</v>
      </c>
      <c r="BC3" s="32">
        <f t="shared" ref="BC3" ca="1" si="39">BA3/2</f>
        <v>0.23123124399225595</v>
      </c>
      <c r="BD3" s="32">
        <f t="shared" ref="BD3" ca="1" si="40">((L3+I3+(LOG(J3)*4/3))*0.291)</f>
        <v>3.7652565902641348</v>
      </c>
      <c r="BE3" s="32">
        <f t="shared" ref="BE3" ca="1" si="41">((L3+I3+(LOG(J3)*4/3))*0.348)</f>
        <v>4.5027810770169037</v>
      </c>
      <c r="BF3" s="32">
        <f t="shared" ref="BF3" ca="1" si="42">((M3+I3+(LOG(J3)*4/3))*0.881)</f>
        <v>1.610393090570573</v>
      </c>
      <c r="BG3" s="32">
        <f t="shared" ref="BG3" ca="1" si="43">((N3+I3+(LOG(J3)*4/3))*0.574)+((O3+I3+(LOG(J3)*4/3))*0.315)</f>
        <v>1.6250164103487394</v>
      </c>
      <c r="BH3" s="32">
        <f t="shared" ref="BH3" ca="1" si="44">((O3+I3+(LOG(J3)*4/3))*0.241)</f>
        <v>0.44052750831726228</v>
      </c>
      <c r="BI3" s="32">
        <f t="shared" ref="BI3" ca="1" si="45">((L3+I3+(LOG(J3)*4/3))*0.485)</f>
        <v>6.2754276504402249</v>
      </c>
      <c r="BJ3" s="32">
        <f t="shared" ref="BJ3" ca="1" si="46">((L3+I3+(LOG(J3)*4/3))*0.264)</f>
        <v>3.415902886012824</v>
      </c>
      <c r="BK3" s="32">
        <f t="shared" ref="BK3" ca="1" si="47">((M3+I3+(LOG(J3)*4/3))*0.381)</f>
        <v>0.69643560443517405</v>
      </c>
      <c r="BL3" s="32">
        <f t="shared" ref="BL3" ca="1" si="48">((N3+I3+(LOG(J3)*4/3))*0.673)+((O3+I3+(LOG(J3)*4/3))*0.201)</f>
        <v>1.5975976857646774</v>
      </c>
      <c r="BM3" s="32">
        <f t="shared" ref="BM3" ca="1" si="49">((O3+I3+(LOG(J3)*4/3))*0.052)</f>
        <v>9.5051578558081481E-2</v>
      </c>
      <c r="BN3" s="32">
        <f t="shared" ref="BN3" ca="1" si="50">((L3+I3+(LOG(J3)*4/3))*0.18)</f>
        <v>2.3290246950087434</v>
      </c>
      <c r="BO3" s="32">
        <f t="shared" ref="BO3" ca="1" si="51">((L3+I3+(LOG(J3)*4/3))*0.068)</f>
        <v>0.87985377366996975</v>
      </c>
      <c r="BP3" s="32">
        <f t="shared" ref="BP3" ca="1" si="52">((M3+I3+(LOG(J3)*4/3))*0.305)</f>
        <v>0.55751406654259339</v>
      </c>
      <c r="BQ3" s="32">
        <f t="shared" ref="BQ3" ca="1" si="53">((N3+I3+(LOG(J3)*4/3))*1)+((O3+I3+(LOG(J3)*4/3))*0.286)</f>
        <v>2.3506986543402459</v>
      </c>
      <c r="BR3" s="32">
        <f t="shared" ref="BR3" ca="1" si="54">((O3+I3+(LOG(J3)*4/3))*0.135)</f>
        <v>0.24676852125655774</v>
      </c>
      <c r="BS3" s="32">
        <f t="shared" ref="BS3" ca="1" si="55">((L3+I3+(LOG(J3)*4/3))*0.284)</f>
        <v>3.6746834076804613</v>
      </c>
      <c r="BT3" s="32">
        <f t="shared" ref="BT3" ca="1" si="56">((L3+I3+(LOG(J3)*4/3))*0.244)</f>
        <v>3.1571223643451853</v>
      </c>
      <c r="BU3" s="32">
        <f t="shared" ref="BU3" ca="1" si="57">((M3+I3+(LOG(J3)*4/3))*0.631)</f>
        <v>1.1534143475028735</v>
      </c>
      <c r="BV3" s="32">
        <f t="shared" ref="BV3" ca="1" si="58">((N3+I3+(LOG(J3)*4/3))*0.702)+((O3+I3+(LOG(J3)*4/3))*0.193)</f>
        <v>1.6359839001823639</v>
      </c>
      <c r="BW3" s="32">
        <f t="shared" ref="BW3" ca="1" si="59">((O3+I3+(LOG(J3)*4/3))*0.148)</f>
        <v>0.2705314158960781</v>
      </c>
      <c r="BX3" s="32">
        <f t="shared" ref="BX3" ca="1" si="60">((M3+I3+(LOG(J3)*4/3))*0.406)</f>
        <v>0.74213347874194402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1.0793437005530857</v>
      </c>
      <c r="BZ3" s="32">
        <f t="shared" ref="BZ3" ca="1" si="62">IF(D3="TEC",((O3+I3+(LOG(J3)*4/3))*0.543)+((P3+I3+(LOG(J3)*4/3))*0.583),((O3+I3+(LOG(J3)*4/3))*0.543)+((P3+I3+(LOG(J3)*4/3))*0.583))</f>
        <v>2.6412322587769186</v>
      </c>
      <c r="CA3" s="32">
        <f t="shared" ref="CA3" ca="1" si="63">BY3</f>
        <v>1.0793437005530857</v>
      </c>
      <c r="CB3" s="32">
        <f t="shared" ref="CB3" ca="1" si="64">((P3+I3+(LOG(J3)*4/3))*0.26)+((N3+I3+(LOG(J3)*4/3))*0.221)+((O3+I3+(LOG(J3)*4/3))*0.142)</f>
        <v>1.3987910277247071</v>
      </c>
      <c r="CC3" s="32">
        <f t="shared" ref="CC3" ca="1" si="65">((P3+I3+(LOG(J3)*4/3))*1)+((O3+I3+(LOG(J3)*4/3))*0.369)</f>
        <v>3.5024155970387225</v>
      </c>
      <c r="CD3" s="32">
        <f t="shared" ref="CD3" ca="1" si="66">CB3</f>
        <v>1.3987910277247071</v>
      </c>
      <c r="CE3" s="32">
        <f t="shared" ref="CE3" ca="1" si="67">((M3+I3+(LOG(J3)*4/3))*0.25)</f>
        <v>0.45697874306769948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22</v>
      </c>
      <c r="D4" s="132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38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4.75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0.96875</v>
      </c>
      <c r="S4" s="41">
        <f t="shared" ref="S4:S20" si="71">(0.5*P4+ 0.3*Q4)/10</f>
        <v>0.08</v>
      </c>
      <c r="T4" s="41">
        <f t="shared" ref="T4:T20" si="72">(0.4*L4+0.3*Q4)/10</f>
        <v>0.22000000000000003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5.9360930335294695</v>
      </c>
      <c r="X4" s="32">
        <f t="shared" ref="X4:X20" ca="1" si="76">((K4+I4+(LOG(J4)*4/3))*0.866)+((L4+I4+(LOG(J4)*4/3))*0.425)</f>
        <v>8.757285058747474</v>
      </c>
      <c r="Y4" s="32">
        <f t="shared" ref="Y4:Y20" ca="1" si="77">W4</f>
        <v>5.9360930335294695</v>
      </c>
      <c r="Z4" s="32">
        <f t="shared" ref="Z4:Z20" ca="1" si="78">((L4+I4+(LOG(J4)*4/3))*0.516)</f>
        <v>3.0675360885466278</v>
      </c>
      <c r="AA4" s="32">
        <f t="shared" ref="AA4:AA20" ca="1" si="79">((L4+I4+(LOG(J4)*4/3))*1)</f>
        <v>5.9448373809043176</v>
      </c>
      <c r="AB4" s="32">
        <f t="shared" ref="AB4:AB20" ca="1" si="80">Z4/2</f>
        <v>1.5337680442733139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2.2471485299818319</v>
      </c>
      <c r="AE4" s="32">
        <f t="shared" ref="AE4:AE20" ca="1" si="83">((L4+I4+(LOG(J4)*4/3))*0.723)</f>
        <v>4.2981174263938211</v>
      </c>
      <c r="AF4" s="32">
        <f t="shared" ref="AF4:AF20" ca="1" si="84">AD4/2</f>
        <v>1.1235742649909159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5.4692503904319727</v>
      </c>
      <c r="AI4" s="32">
        <f t="shared" ref="AI4:AI20" ca="1" si="87">((L4+I4+(LOG(J4)*4/3))*0.414)</f>
        <v>2.4611626756943874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4.4824073852018556</v>
      </c>
      <c r="AM4" s="32">
        <f t="shared" ref="AM4:AM20" ca="1" si="91">((L4+I4+(LOG(J4)*4/3))*0.708)</f>
        <v>4.2089448656802571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0.62311316570044339</v>
      </c>
      <c r="AP4" s="32">
        <f t="shared" ref="AP4:AP20" ca="1" si="94">((L4+I4+(LOG(J4)*4/3))*0.27)</f>
        <v>1.6051060928441658</v>
      </c>
      <c r="AQ4" s="32">
        <f t="shared" ref="AQ4:AQ20" ca="1" si="95">((L4+I4+(LOG(J4)*4/3))*0.594)</f>
        <v>3.5312334042571645</v>
      </c>
      <c r="AR4" s="32">
        <f t="shared" ref="AR4:AR20" ca="1" si="96">AP4/2</f>
        <v>0.80255304642208292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1.1235742649909159</v>
      </c>
      <c r="AX4" s="32">
        <f t="shared" ref="AX4:AX20" ca="1" si="102">((L4+I4+(LOG(J4)*4/3))*0.4)</f>
        <v>2.377934952361727</v>
      </c>
      <c r="AY4" s="32">
        <f t="shared" ref="AY4:AY20" ca="1" si="103">AW4/2</f>
        <v>0.56178713249545797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1.7299476778431564</v>
      </c>
      <c r="BE4" s="32">
        <f t="shared" ref="BE4:BE20" ca="1" si="109">((L4+I4+(LOG(J4)*4/3))*0.348)</f>
        <v>2.0688034085547025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2.8832461297385938</v>
      </c>
      <c r="BJ4" s="32">
        <f t="shared" ref="BJ4:BJ20" ca="1" si="114">((L4+I4+(LOG(J4)*4/3))*0.264)</f>
        <v>1.56943706855874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1.0700707285627771</v>
      </c>
      <c r="BO4" s="32">
        <f t="shared" ref="BO4:BO20" ca="1" si="119">((L4+I4+(LOG(J4)*4/3))*0.068)</f>
        <v>0.40424894190149363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1.688333816176826</v>
      </c>
      <c r="BT4" s="32">
        <f t="shared" ref="BT4:BT20" ca="1" si="124">((L4+I4+(LOG(J4)*4/3))*0.244)</f>
        <v>1.4505403209406535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106</v>
      </c>
      <c r="D5" s="132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8">
        <f ca="1">Plantilla!N6</f>
        <v>0.93597908592588497</v>
      </c>
      <c r="J5" s="34">
        <f>Plantilla!I6</f>
        <v>2.8</v>
      </c>
      <c r="K5" s="41">
        <f>Plantilla!X6</f>
        <v>0</v>
      </c>
      <c r="L5" s="41">
        <f>Plantilla!Y6</f>
        <v>15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3.75</v>
      </c>
      <c r="S5" s="41">
        <f t="shared" si="71"/>
        <v>0.13</v>
      </c>
      <c r="T5" s="41">
        <f t="shared" si="72"/>
        <v>0.63</v>
      </c>
      <c r="U5" s="41">
        <f t="shared" ca="1" si="73"/>
        <v>1.914155562386006</v>
      </c>
      <c r="V5" s="41">
        <f t="shared" ca="1" si="74"/>
        <v>2.1379498164068482</v>
      </c>
      <c r="W5" s="32">
        <f t="shared" ca="1" si="75"/>
        <v>5.4776016904956411</v>
      </c>
      <c r="X5" s="32">
        <f t="shared" ca="1" si="76"/>
        <v>8.3530570245473896</v>
      </c>
      <c r="Y5" s="32">
        <f t="shared" ca="1" si="77"/>
        <v>5.4776016904956411</v>
      </c>
      <c r="Z5" s="32">
        <f t="shared" ca="1" si="78"/>
        <v>8.5306099339012036</v>
      </c>
      <c r="AA5" s="32">
        <f t="shared" ca="1" si="79"/>
        <v>16.532189794382177</v>
      </c>
      <c r="AB5" s="32">
        <f t="shared" ca="1" si="80"/>
        <v>4.2653049669506018</v>
      </c>
      <c r="AC5" s="32">
        <f t="shared" ca="1" si="81"/>
        <v>1.5546611710629581</v>
      </c>
      <c r="AD5" s="32">
        <f t="shared" ca="1" si="82"/>
        <v>6.2491677422764624</v>
      </c>
      <c r="AE5" s="32">
        <f t="shared" ca="1" si="83"/>
        <v>11.952773221338314</v>
      </c>
      <c r="AF5" s="32">
        <f t="shared" ca="1" si="84"/>
        <v>3.1245838711382312</v>
      </c>
      <c r="AG5" s="32">
        <f t="shared" ca="1" si="85"/>
        <v>2.5148930708371382</v>
      </c>
      <c r="AH5" s="32">
        <f t="shared" ca="1" si="86"/>
        <v>15.209614610831602</v>
      </c>
      <c r="AI5" s="32">
        <f t="shared" ca="1" si="87"/>
        <v>6.8443265748742208</v>
      </c>
      <c r="AJ5" s="32">
        <f t="shared" ca="1" si="88"/>
        <v>1.0908756956618235</v>
      </c>
      <c r="AK5" s="32">
        <f t="shared" ca="1" si="89"/>
        <v>4.0761275990967203</v>
      </c>
      <c r="AL5" s="32">
        <f t="shared" ca="1" si="90"/>
        <v>12.465271104964161</v>
      </c>
      <c r="AM5" s="32">
        <f t="shared" ca="1" si="91"/>
        <v>11.704790374422581</v>
      </c>
      <c r="AN5" s="32">
        <f t="shared" ca="1" si="92"/>
        <v>0.42287569566182359</v>
      </c>
      <c r="AO5" s="32">
        <f t="shared" ca="1" si="93"/>
        <v>1.5212706607820667</v>
      </c>
      <c r="AP5" s="32">
        <f t="shared" ca="1" si="94"/>
        <v>4.4636912444831882</v>
      </c>
      <c r="AQ5" s="32">
        <f t="shared" ca="1" si="95"/>
        <v>9.8201207378630126</v>
      </c>
      <c r="AR5" s="32">
        <f t="shared" ca="1" si="96"/>
        <v>2.2318456222415941</v>
      </c>
      <c r="AS5" s="32">
        <f t="shared" ca="1" si="97"/>
        <v>6.1663871658967748</v>
      </c>
      <c r="AT5" s="32">
        <f t="shared" ca="1" si="98"/>
        <v>0.97918467326968306</v>
      </c>
      <c r="AU5" s="32">
        <f t="shared" ca="1" si="99"/>
        <v>1.5149316097539778</v>
      </c>
      <c r="AV5" s="32">
        <f t="shared" ca="1" si="100"/>
        <v>0.48959233663484153</v>
      </c>
      <c r="AW5" s="32">
        <f t="shared" ca="1" si="101"/>
        <v>3.1245838711382312</v>
      </c>
      <c r="AX5" s="32">
        <f t="shared" ca="1" si="102"/>
        <v>6.6128759177528709</v>
      </c>
      <c r="AY5" s="32">
        <f t="shared" ca="1" si="103"/>
        <v>1.5622919355691156</v>
      </c>
      <c r="AZ5" s="32">
        <f t="shared" ca="1" si="104"/>
        <v>6.5321897943821767</v>
      </c>
      <c r="BA5" s="32">
        <f t="shared" ca="1" si="105"/>
        <v>1.9056440179786907</v>
      </c>
      <c r="BB5" s="32">
        <f t="shared" ca="1" si="106"/>
        <v>3.3102365767045794</v>
      </c>
      <c r="BC5" s="32">
        <f t="shared" ca="1" si="107"/>
        <v>0.95282200898934533</v>
      </c>
      <c r="BD5" s="32">
        <f t="shared" ca="1" si="108"/>
        <v>4.8108672301652131</v>
      </c>
      <c r="BE5" s="32">
        <f t="shared" ca="1" si="109"/>
        <v>5.7532020484449973</v>
      </c>
      <c r="BF5" s="32">
        <f t="shared" ca="1" si="110"/>
        <v>5.7548592088506973</v>
      </c>
      <c r="BG5" s="32">
        <f t="shared" ca="1" si="111"/>
        <v>6.3517167272057549</v>
      </c>
      <c r="BH5" s="32">
        <f t="shared" ca="1" si="112"/>
        <v>1.8152577404461046</v>
      </c>
      <c r="BI5" s="32">
        <f t="shared" ca="1" si="113"/>
        <v>8.0181120502753558</v>
      </c>
      <c r="BJ5" s="32">
        <f t="shared" ca="1" si="114"/>
        <v>4.364498105716895</v>
      </c>
      <c r="BK5" s="32">
        <f t="shared" ca="1" si="115"/>
        <v>2.4887643116596094</v>
      </c>
      <c r="BL5" s="32">
        <f t="shared" ca="1" si="116"/>
        <v>6.1793338802900228</v>
      </c>
      <c r="BM5" s="32">
        <f t="shared" ca="1" si="117"/>
        <v>0.39167386930787318</v>
      </c>
      <c r="BN5" s="32">
        <f t="shared" ca="1" si="118"/>
        <v>2.9757941629887918</v>
      </c>
      <c r="BO5" s="32">
        <f t="shared" ca="1" si="119"/>
        <v>1.1241889060179882</v>
      </c>
      <c r="BP5" s="32">
        <f t="shared" ca="1" si="120"/>
        <v>1.9923178872865639</v>
      </c>
      <c r="BQ5" s="32">
        <f t="shared" ca="1" si="121"/>
        <v>9.0863960755754789</v>
      </c>
      <c r="BR5" s="32">
        <f t="shared" ca="1" si="122"/>
        <v>1.016845622241594</v>
      </c>
      <c r="BS5" s="32">
        <f t="shared" ca="1" si="123"/>
        <v>4.6951419016045381</v>
      </c>
      <c r="BT5" s="32">
        <f t="shared" ca="1" si="124"/>
        <v>4.033854309829251</v>
      </c>
      <c r="BU5" s="32">
        <f t="shared" ca="1" si="125"/>
        <v>4.1218117602551532</v>
      </c>
      <c r="BV5" s="32">
        <f t="shared" ca="1" si="126"/>
        <v>6.3201098659720483</v>
      </c>
      <c r="BW5" s="32">
        <f t="shared" ca="1" si="127"/>
        <v>1.1147640895685622</v>
      </c>
      <c r="BX5" s="32">
        <f t="shared" ca="1" si="128"/>
        <v>2.652069056519164</v>
      </c>
      <c r="BY5" s="32">
        <f t="shared" ca="1" si="129"/>
        <v>3.3298708828731143</v>
      </c>
      <c r="BZ5" s="32">
        <f t="shared" ca="1" si="130"/>
        <v>6.1492457084743313</v>
      </c>
      <c r="CA5" s="32">
        <f t="shared" ca="1" si="131"/>
        <v>3.3298708828731143</v>
      </c>
      <c r="CB5" s="32">
        <f t="shared" ca="1" si="132"/>
        <v>3.5199542419000962</v>
      </c>
      <c r="CC5" s="32">
        <f t="shared" ca="1" si="133"/>
        <v>6.311567828509201</v>
      </c>
      <c r="CD5" s="32">
        <f t="shared" ca="1" si="134"/>
        <v>3.5199542419000962</v>
      </c>
      <c r="CE5" s="32">
        <f t="shared" ca="1" si="135"/>
        <v>1.6330474485955442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87</v>
      </c>
      <c r="D6" s="132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8">
        <f ca="1">Plantilla!N7</f>
        <v>0.90605394289764585</v>
      </c>
      <c r="J6" s="34">
        <f>Plantilla!I7</f>
        <v>3.8</v>
      </c>
      <c r="K6" s="41">
        <f>Plantilla!X7</f>
        <v>0</v>
      </c>
      <c r="L6" s="41">
        <f>Plantilla!Y7</f>
        <v>14.9375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3.5546875</v>
      </c>
      <c r="S6" s="41">
        <f t="shared" si="71"/>
        <v>0.05</v>
      </c>
      <c r="T6" s="41">
        <f t="shared" si="72"/>
        <v>0.59750000000000003</v>
      </c>
      <c r="U6" s="41">
        <f t="shared" ca="1" si="73"/>
        <v>1.5545433615011639</v>
      </c>
      <c r="V6" s="41">
        <f t="shared" ca="1" si="74"/>
        <v>1.6778989534972746</v>
      </c>
      <c r="W6" s="32">
        <f t="shared" ca="1" si="75"/>
        <v>5.5886031986116125</v>
      </c>
      <c r="X6" s="32">
        <f t="shared" ca="1" si="76"/>
        <v>8.516153971257264</v>
      </c>
      <c r="Y6" s="32">
        <f t="shared" ca="1" si="77"/>
        <v>5.5886031986116125</v>
      </c>
      <c r="Z6" s="32">
        <f t="shared" ca="1" si="78"/>
        <v>8.5741649490075513</v>
      </c>
      <c r="AA6" s="32">
        <f t="shared" ca="1" si="79"/>
        <v>16.616598738386728</v>
      </c>
      <c r="AB6" s="32">
        <f t="shared" ca="1" si="80"/>
        <v>4.2870824745037757</v>
      </c>
      <c r="AC6" s="32">
        <f t="shared" ca="1" si="81"/>
        <v>1.5896254997360408</v>
      </c>
      <c r="AD6" s="32">
        <f t="shared" ca="1" si="82"/>
        <v>6.2810743231101833</v>
      </c>
      <c r="AE6" s="32">
        <f t="shared" ca="1" si="83"/>
        <v>12.013800887853604</v>
      </c>
      <c r="AF6" s="32">
        <f t="shared" ca="1" si="84"/>
        <v>3.1405371615550917</v>
      </c>
      <c r="AG6" s="32">
        <f t="shared" ca="1" si="85"/>
        <v>2.5714530142788896</v>
      </c>
      <c r="AH6" s="32">
        <f t="shared" ca="1" si="86"/>
        <v>15.28727083931579</v>
      </c>
      <c r="AI6" s="32">
        <f t="shared" ca="1" si="87"/>
        <v>6.8792718776921049</v>
      </c>
      <c r="AJ6" s="32">
        <f t="shared" ca="1" si="88"/>
        <v>1.1154094893105835</v>
      </c>
      <c r="AK6" s="32">
        <f t="shared" ca="1" si="89"/>
        <v>5.1033100581713944</v>
      </c>
      <c r="AL6" s="32">
        <f t="shared" ca="1" si="90"/>
        <v>12.528915448743593</v>
      </c>
      <c r="AM6" s="32">
        <f t="shared" ca="1" si="91"/>
        <v>11.764551906777802</v>
      </c>
      <c r="AN6" s="32">
        <f t="shared" ca="1" si="92"/>
        <v>0.28040948931058324</v>
      </c>
      <c r="AO6" s="32">
        <f t="shared" ca="1" si="93"/>
        <v>1.5073304366553772</v>
      </c>
      <c r="AP6" s="32">
        <f t="shared" ca="1" si="94"/>
        <v>4.4864816593644168</v>
      </c>
      <c r="AQ6" s="32">
        <f t="shared" ca="1" si="95"/>
        <v>9.8702596506017155</v>
      </c>
      <c r="AR6" s="32">
        <f t="shared" ca="1" si="96"/>
        <v>2.2432408296822084</v>
      </c>
      <c r="AS6" s="32">
        <f t="shared" ca="1" si="97"/>
        <v>6.3050692090370699</v>
      </c>
      <c r="AT6" s="32">
        <f t="shared" ca="1" si="98"/>
        <v>0.90078283599027453</v>
      </c>
      <c r="AU6" s="32">
        <f t="shared" ca="1" si="99"/>
        <v>1.2949759303473107</v>
      </c>
      <c r="AV6" s="32">
        <f t="shared" ca="1" si="100"/>
        <v>0.45039141799513727</v>
      </c>
      <c r="AW6" s="32">
        <f t="shared" ca="1" si="101"/>
        <v>3.1405371615550917</v>
      </c>
      <c r="AX6" s="32">
        <f t="shared" ca="1" si="102"/>
        <v>6.646639495354691</v>
      </c>
      <c r="AY6" s="32">
        <f t="shared" ca="1" si="103"/>
        <v>1.5702685807775458</v>
      </c>
      <c r="AZ6" s="32">
        <f t="shared" ca="1" si="104"/>
        <v>6.6790987383867266</v>
      </c>
      <c r="BA6" s="32">
        <f t="shared" ca="1" si="105"/>
        <v>1.7530619808118419</v>
      </c>
      <c r="BB6" s="32">
        <f t="shared" ca="1" si="106"/>
        <v>2.9254334048510859</v>
      </c>
      <c r="BC6" s="32">
        <f t="shared" ca="1" si="107"/>
        <v>0.87653099040592097</v>
      </c>
      <c r="BD6" s="32">
        <f t="shared" ca="1" si="108"/>
        <v>4.8354302328705376</v>
      </c>
      <c r="BE6" s="32">
        <f t="shared" ca="1" si="109"/>
        <v>5.782576360958581</v>
      </c>
      <c r="BF6" s="32">
        <f t="shared" ca="1" si="110"/>
        <v>5.8842859885187062</v>
      </c>
      <c r="BG6" s="32">
        <f t="shared" ca="1" si="111"/>
        <v>7.1644687784257988</v>
      </c>
      <c r="BH6" s="32">
        <f t="shared" ca="1" si="112"/>
        <v>1.669912795951201</v>
      </c>
      <c r="BI6" s="32">
        <f t="shared" ca="1" si="113"/>
        <v>8.0590503881175621</v>
      </c>
      <c r="BJ6" s="32">
        <f t="shared" ca="1" si="114"/>
        <v>4.3867820669340967</v>
      </c>
      <c r="BK6" s="32">
        <f t="shared" ca="1" si="115"/>
        <v>2.5447366193253429</v>
      </c>
      <c r="BL6" s="32">
        <f t="shared" ca="1" si="116"/>
        <v>7.2337822973499994</v>
      </c>
      <c r="BM6" s="32">
        <f t="shared" ca="1" si="117"/>
        <v>0.36031313439610979</v>
      </c>
      <c r="BN6" s="32">
        <f t="shared" ca="1" si="118"/>
        <v>2.990987772909611</v>
      </c>
      <c r="BO6" s="32">
        <f t="shared" ca="1" si="119"/>
        <v>1.1299287142102976</v>
      </c>
      <c r="BP6" s="32">
        <f t="shared" ca="1" si="120"/>
        <v>2.0371251152079517</v>
      </c>
      <c r="BQ6" s="32">
        <f t="shared" ca="1" si="121"/>
        <v>10.660820977565329</v>
      </c>
      <c r="BR6" s="32">
        <f t="shared" ca="1" si="122"/>
        <v>0.93542832968220813</v>
      </c>
      <c r="BS6" s="32">
        <f t="shared" ca="1" si="123"/>
        <v>4.7191140417018298</v>
      </c>
      <c r="BT6" s="32">
        <f t="shared" ca="1" si="124"/>
        <v>4.0544500921663618</v>
      </c>
      <c r="BU6" s="32">
        <f t="shared" ca="1" si="125"/>
        <v>4.2145113039220243</v>
      </c>
      <c r="BV6" s="32">
        <f t="shared" ca="1" si="126"/>
        <v>7.4300433708561195</v>
      </c>
      <c r="BW6" s="32">
        <f t="shared" ca="1" si="127"/>
        <v>1.0255066132812354</v>
      </c>
      <c r="BX6" s="32">
        <f t="shared" ca="1" si="128"/>
        <v>2.711714087785011</v>
      </c>
      <c r="BY6" s="32">
        <f t="shared" ca="1" si="129"/>
        <v>3.3223104426994845</v>
      </c>
      <c r="BZ6" s="32">
        <f t="shared" ca="1" si="130"/>
        <v>5.324415179423454</v>
      </c>
      <c r="CA6" s="32">
        <f t="shared" ca="1" si="131"/>
        <v>3.3223104426994845</v>
      </c>
      <c r="CB6" s="32">
        <f t="shared" ca="1" si="132"/>
        <v>3.59857851401493</v>
      </c>
      <c r="CC6" s="32">
        <f t="shared" ca="1" si="133"/>
        <v>5.235936172851428</v>
      </c>
      <c r="CD6" s="32">
        <f t="shared" ca="1" si="134"/>
        <v>3.59857851401493</v>
      </c>
      <c r="CE6" s="32">
        <f t="shared" ca="1" si="135"/>
        <v>1.6697746845966817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25</v>
      </c>
      <c r="D7" s="132">
        <f>Plantilla!G8</f>
        <v>0</v>
      </c>
      <c r="E7" s="28">
        <f>Plantilla!M8</f>
        <v>43383</v>
      </c>
      <c r="F7" s="42">
        <f>Plantilla!Q8</f>
        <v>6</v>
      </c>
      <c r="G7" s="43">
        <f t="shared" si="68"/>
        <v>0.92582009977255142</v>
      </c>
      <c r="H7" s="43">
        <f t="shared" si="69"/>
        <v>0.99928545900129484</v>
      </c>
      <c r="I7" s="138">
        <f ca="1">Plantilla!N8</f>
        <v>0.95953675915519743</v>
      </c>
      <c r="J7" s="34">
        <f>Plantilla!I8</f>
        <v>4</v>
      </c>
      <c r="K7" s="41">
        <f>Plantilla!X8</f>
        <v>0</v>
      </c>
      <c r="L7" s="41">
        <f>Plantilla!Y8</f>
        <v>13.083333333333334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4.541666666666667</v>
      </c>
      <c r="S7" s="41">
        <f t="shared" si="71"/>
        <v>0.21000000000000002</v>
      </c>
      <c r="T7" s="41">
        <f t="shared" si="72"/>
        <v>0.58333333333333337</v>
      </c>
      <c r="U7" s="41">
        <f t="shared" ca="1" si="73"/>
        <v>3.4831976059620189</v>
      </c>
      <c r="V7" s="41">
        <f t="shared" ca="1" si="74"/>
        <v>3.7595951085109105</v>
      </c>
      <c r="W7" s="32">
        <f t="shared" ca="1" si="75"/>
        <v>5.1494734206482358</v>
      </c>
      <c r="X7" s="32">
        <f t="shared" ca="1" si="76"/>
        <v>7.8355245544752261</v>
      </c>
      <c r="Y7" s="32">
        <f t="shared" ca="1" si="77"/>
        <v>5.1494734206482358</v>
      </c>
      <c r="Z7" s="32">
        <f t="shared" ca="1" si="78"/>
        <v>7.6603382417577208</v>
      </c>
      <c r="AA7" s="32">
        <f t="shared" ca="1" si="79"/>
        <v>14.845616747592482</v>
      </c>
      <c r="AB7" s="32">
        <f t="shared" ca="1" si="80"/>
        <v>3.8301691208788604</v>
      </c>
      <c r="AC7" s="32">
        <f t="shared" ca="1" si="81"/>
        <v>1.133423452593677</v>
      </c>
      <c r="AD7" s="32">
        <f t="shared" ca="1" si="82"/>
        <v>5.6116431305899583</v>
      </c>
      <c r="AE7" s="32">
        <f t="shared" ca="1" si="83"/>
        <v>10.733380908509364</v>
      </c>
      <c r="AF7" s="32">
        <f t="shared" ca="1" si="84"/>
        <v>2.8058215652949792</v>
      </c>
      <c r="AG7" s="32">
        <f t="shared" ca="1" si="85"/>
        <v>1.8334791144897717</v>
      </c>
      <c r="AH7" s="32">
        <f t="shared" ca="1" si="86"/>
        <v>13.657967407785083</v>
      </c>
      <c r="AI7" s="32">
        <f t="shared" ca="1" si="87"/>
        <v>6.1460853335032875</v>
      </c>
      <c r="AJ7" s="32">
        <f t="shared" ca="1" si="88"/>
        <v>0.79530133018127758</v>
      </c>
      <c r="AK7" s="32">
        <f t="shared" ca="1" si="89"/>
        <v>5.2698226475843786</v>
      </c>
      <c r="AL7" s="32">
        <f t="shared" ca="1" si="90"/>
        <v>11.193595027684731</v>
      </c>
      <c r="AM7" s="32">
        <f t="shared" ca="1" si="91"/>
        <v>10.510696657295476</v>
      </c>
      <c r="AN7" s="32">
        <f t="shared" ca="1" si="92"/>
        <v>0.62830133018127754</v>
      </c>
      <c r="AO7" s="32">
        <f t="shared" ca="1" si="93"/>
        <v>1.8155376233066343</v>
      </c>
      <c r="AP7" s="32">
        <f t="shared" ca="1" si="94"/>
        <v>4.0083165218499701</v>
      </c>
      <c r="AQ7" s="32">
        <f t="shared" ca="1" si="95"/>
        <v>8.8182963480699339</v>
      </c>
      <c r="AR7" s="32">
        <f t="shared" ca="1" si="96"/>
        <v>2.0041582609249851</v>
      </c>
      <c r="AS7" s="32">
        <f t="shared" ca="1" si="97"/>
        <v>4.4955955430606345</v>
      </c>
      <c r="AT7" s="32">
        <f t="shared" ca="1" si="98"/>
        <v>1.5453468438536893</v>
      </c>
      <c r="AU7" s="32">
        <f t="shared" ca="1" si="99"/>
        <v>2.2503490403779303</v>
      </c>
      <c r="AV7" s="32">
        <f t="shared" ca="1" si="100"/>
        <v>0.77267342192684463</v>
      </c>
      <c r="AW7" s="32">
        <f t="shared" ca="1" si="101"/>
        <v>2.8058215652949792</v>
      </c>
      <c r="AX7" s="32">
        <f t="shared" ca="1" si="102"/>
        <v>5.9382466990369931</v>
      </c>
      <c r="AY7" s="32">
        <f t="shared" ca="1" si="103"/>
        <v>1.4029107826474896</v>
      </c>
      <c r="AZ7" s="32">
        <f t="shared" ca="1" si="104"/>
        <v>4.762283414259147</v>
      </c>
      <c r="BA7" s="32">
        <f t="shared" ca="1" si="105"/>
        <v>3.0074827038075647</v>
      </c>
      <c r="BB7" s="32">
        <f t="shared" ca="1" si="106"/>
        <v>5.0536431612567911</v>
      </c>
      <c r="BC7" s="32">
        <f t="shared" ca="1" si="107"/>
        <v>1.5037413519037823</v>
      </c>
      <c r="BD7" s="32">
        <f t="shared" ca="1" si="108"/>
        <v>4.3200744735494121</v>
      </c>
      <c r="BE7" s="32">
        <f t="shared" ca="1" si="109"/>
        <v>5.1662746281621832</v>
      </c>
      <c r="BF7" s="32">
        <f t="shared" ca="1" si="110"/>
        <v>4.1955716879623086</v>
      </c>
      <c r="BG7" s="32">
        <f t="shared" ca="1" si="111"/>
        <v>8.8888449552763831</v>
      </c>
      <c r="BH7" s="32">
        <f t="shared" ca="1" si="112"/>
        <v>2.8648353028364544</v>
      </c>
      <c r="BI7" s="32">
        <f t="shared" ca="1" si="113"/>
        <v>7.2001241225823538</v>
      </c>
      <c r="BJ7" s="32">
        <f t="shared" ca="1" si="114"/>
        <v>3.9192428213644153</v>
      </c>
      <c r="BK7" s="32">
        <f t="shared" ca="1" si="115"/>
        <v>1.8144299808327351</v>
      </c>
      <c r="BL7" s="32">
        <f t="shared" ca="1" si="116"/>
        <v>8.4209607040624945</v>
      </c>
      <c r="BM7" s="32">
        <f t="shared" ca="1" si="117"/>
        <v>0.61813873754147564</v>
      </c>
      <c r="BN7" s="32">
        <f t="shared" ca="1" si="118"/>
        <v>2.6722110145666464</v>
      </c>
      <c r="BO7" s="32">
        <f t="shared" ca="1" si="119"/>
        <v>1.0095019388362889</v>
      </c>
      <c r="BP7" s="32">
        <f t="shared" ca="1" si="120"/>
        <v>1.4524964413490398</v>
      </c>
      <c r="BQ7" s="32">
        <f t="shared" ca="1" si="121"/>
        <v>12.362046470737264</v>
      </c>
      <c r="BR7" s="32">
        <f t="shared" ca="1" si="122"/>
        <v>1.604783260924985</v>
      </c>
      <c r="BS7" s="32">
        <f t="shared" ca="1" si="123"/>
        <v>4.2161551563162645</v>
      </c>
      <c r="BT7" s="32">
        <f t="shared" ca="1" si="124"/>
        <v>3.6223304864125656</v>
      </c>
      <c r="BU7" s="32">
        <f t="shared" ca="1" si="125"/>
        <v>3.0050008343975216</v>
      </c>
      <c r="BV7" s="32">
        <f t="shared" ca="1" si="126"/>
        <v>8.5857686557619353</v>
      </c>
      <c r="BW7" s="32">
        <f t="shared" ca="1" si="127"/>
        <v>1.7593179453103538</v>
      </c>
      <c r="BX7" s="32">
        <f t="shared" ca="1" si="128"/>
        <v>1.9334870661892138</v>
      </c>
      <c r="BY7" s="32">
        <f t="shared" ca="1" si="129"/>
        <v>4.8671996588290156</v>
      </c>
      <c r="BZ7" s="32">
        <f t="shared" ca="1" si="130"/>
        <v>9.2312061244558006</v>
      </c>
      <c r="CA7" s="32">
        <f t="shared" ca="1" si="131"/>
        <v>4.8671996588290156</v>
      </c>
      <c r="CB7" s="32">
        <f t="shared" ca="1" si="132"/>
        <v>4.9068525670834493</v>
      </c>
      <c r="CC7" s="32">
        <f t="shared" ca="1" si="133"/>
        <v>9.1486909941207735</v>
      </c>
      <c r="CD7" s="32">
        <f t="shared" ca="1" si="134"/>
        <v>4.9068525670834493</v>
      </c>
      <c r="CE7" s="32">
        <f t="shared" ca="1" si="135"/>
        <v>1.1905708535647868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10</v>
      </c>
      <c r="D8" s="132">
        <f>Plantilla!G9</f>
        <v>0</v>
      </c>
      <c r="E8" s="28">
        <f>Plantilla!M9</f>
        <v>43419</v>
      </c>
      <c r="F8" s="42">
        <f>Plantilla!Q9</f>
        <v>6</v>
      </c>
      <c r="G8" s="43">
        <f t="shared" si="68"/>
        <v>0.92582009977255142</v>
      </c>
      <c r="H8" s="43">
        <f t="shared" si="69"/>
        <v>0.99928545900129484</v>
      </c>
      <c r="I8" s="138">
        <f ca="1">Plantilla!N9</f>
        <v>0.88782946175134669</v>
      </c>
      <c r="J8" s="34">
        <f>Plantilla!I9</f>
        <v>4.7</v>
      </c>
      <c r="K8" s="41">
        <f>Plantilla!X9</f>
        <v>0</v>
      </c>
      <c r="L8" s="41">
        <f>Plantilla!Y9</f>
        <v>11.111111111111111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4.049603174603174</v>
      </c>
      <c r="S8" s="41">
        <f t="shared" si="71"/>
        <v>0.22999999999999998</v>
      </c>
      <c r="T8" s="41">
        <f t="shared" si="72"/>
        <v>0.47444444444444445</v>
      </c>
      <c r="U8" s="41">
        <f t="shared" ca="1" si="73"/>
        <v>2.5774460684868123</v>
      </c>
      <c r="V8" s="41">
        <f t="shared" ca="1" si="74"/>
        <v>2.7819706854838024</v>
      </c>
      <c r="W8" s="32">
        <f t="shared" ca="1" si="75"/>
        <v>4.6240636934127677</v>
      </c>
      <c r="X8" s="32">
        <f t="shared" ca="1" si="76"/>
        <v>7.0253145034698923</v>
      </c>
      <c r="Y8" s="32">
        <f t="shared" ca="1" si="77"/>
        <v>4.6240636934127677</v>
      </c>
      <c r="Z8" s="32">
        <f t="shared" ca="1" si="78"/>
        <v>6.6538566618568025</v>
      </c>
      <c r="AA8" s="32">
        <f t="shared" ca="1" si="79"/>
        <v>12.895071050110081</v>
      </c>
      <c r="AB8" s="32">
        <f t="shared" ca="1" si="80"/>
        <v>3.3269283309284012</v>
      </c>
      <c r="AC8" s="32">
        <f t="shared" ca="1" si="81"/>
        <v>3.0425824654817548</v>
      </c>
      <c r="AD8" s="32">
        <f t="shared" ca="1" si="82"/>
        <v>4.8743368569416106</v>
      </c>
      <c r="AE8" s="32">
        <f t="shared" ca="1" si="83"/>
        <v>9.323136369229589</v>
      </c>
      <c r="AF8" s="32">
        <f t="shared" ca="1" si="84"/>
        <v>2.4371684284708053</v>
      </c>
      <c r="AG8" s="32">
        <f t="shared" ca="1" si="85"/>
        <v>4.921824576514604</v>
      </c>
      <c r="AH8" s="32">
        <f t="shared" ca="1" si="86"/>
        <v>11.863465366101275</v>
      </c>
      <c r="AI8" s="32">
        <f t="shared" ca="1" si="87"/>
        <v>5.3385594147455731</v>
      </c>
      <c r="AJ8" s="32">
        <f t="shared" ca="1" si="88"/>
        <v>2.1349213098128281</v>
      </c>
      <c r="AK8" s="32">
        <f t="shared" ca="1" si="89"/>
        <v>3.4009684441313941</v>
      </c>
      <c r="AL8" s="32">
        <f t="shared" ca="1" si="90"/>
        <v>9.7228835717830009</v>
      </c>
      <c r="AM8" s="32">
        <f t="shared" ca="1" si="91"/>
        <v>9.1297103034779372</v>
      </c>
      <c r="AN8" s="32">
        <f t="shared" ca="1" si="92"/>
        <v>0.46492130981282803</v>
      </c>
      <c r="AO8" s="32">
        <f t="shared" ca="1" si="93"/>
        <v>1.6800661767174172</v>
      </c>
      <c r="AP8" s="32">
        <f t="shared" ca="1" si="94"/>
        <v>3.4816691835297222</v>
      </c>
      <c r="AQ8" s="32">
        <f t="shared" ca="1" si="95"/>
        <v>7.6596722037653882</v>
      </c>
      <c r="AR8" s="32">
        <f t="shared" ca="1" si="96"/>
        <v>1.7408345917648611</v>
      </c>
      <c r="AS8" s="32">
        <f t="shared" ca="1" si="97"/>
        <v>12.068058182415028</v>
      </c>
      <c r="AT8" s="32">
        <f t="shared" ca="1" si="98"/>
        <v>1.4204862206412947</v>
      </c>
      <c r="AU8" s="32">
        <f t="shared" ca="1" si="99"/>
        <v>2.3118431192695552</v>
      </c>
      <c r="AV8" s="32">
        <f t="shared" ca="1" si="100"/>
        <v>0.71024311032064735</v>
      </c>
      <c r="AW8" s="32">
        <f t="shared" ca="1" si="101"/>
        <v>2.4371684284708053</v>
      </c>
      <c r="AX8" s="32">
        <f t="shared" ca="1" si="102"/>
        <v>5.1580284200440332</v>
      </c>
      <c r="AY8" s="32">
        <f t="shared" ca="1" si="103"/>
        <v>1.2185842142354026</v>
      </c>
      <c r="AZ8" s="32">
        <f t="shared" ca="1" si="104"/>
        <v>12.78395993899897</v>
      </c>
      <c r="BA8" s="32">
        <f t="shared" ca="1" si="105"/>
        <v>2.7644847217095965</v>
      </c>
      <c r="BB8" s="32">
        <f t="shared" ca="1" si="106"/>
        <v>4.9406762121027183</v>
      </c>
      <c r="BC8" s="32">
        <f t="shared" ca="1" si="107"/>
        <v>1.3822423608547982</v>
      </c>
      <c r="BD8" s="32">
        <f t="shared" ca="1" si="108"/>
        <v>3.7524656755820334</v>
      </c>
      <c r="BE8" s="32">
        <f t="shared" ca="1" si="109"/>
        <v>4.4874847254383079</v>
      </c>
      <c r="BF8" s="32">
        <f t="shared" ca="1" si="110"/>
        <v>11.262668706258093</v>
      </c>
      <c r="BG8" s="32">
        <f t="shared" ca="1" si="111"/>
        <v>6.7619403857700835</v>
      </c>
      <c r="BH8" s="32">
        <f t="shared" ca="1" si="112"/>
        <v>2.6333629167273229</v>
      </c>
      <c r="BI8" s="32">
        <f t="shared" ca="1" si="113"/>
        <v>6.2541094593033888</v>
      </c>
      <c r="BJ8" s="32">
        <f t="shared" ca="1" si="114"/>
        <v>3.4042987572290615</v>
      </c>
      <c r="BK8" s="32">
        <f t="shared" ca="1" si="115"/>
        <v>4.8706887367586074</v>
      </c>
      <c r="BL8" s="32">
        <f t="shared" ca="1" si="116"/>
        <v>6.0888952723993857</v>
      </c>
      <c r="BM8" s="32">
        <f t="shared" ca="1" si="117"/>
        <v>0.56819448825651786</v>
      </c>
      <c r="BN8" s="32">
        <f t="shared" ca="1" si="118"/>
        <v>2.3211127890198147</v>
      </c>
      <c r="BO8" s="32">
        <f t="shared" ca="1" si="119"/>
        <v>0.87686483140748561</v>
      </c>
      <c r="BP8" s="32">
        <f t="shared" ca="1" si="120"/>
        <v>3.8991077813946857</v>
      </c>
      <c r="BQ8" s="32">
        <f t="shared" ca="1" si="121"/>
        <v>8.9090296244098184</v>
      </c>
      <c r="BR8" s="32">
        <f t="shared" ca="1" si="122"/>
        <v>1.4751203060505753</v>
      </c>
      <c r="BS8" s="32">
        <f t="shared" ca="1" si="123"/>
        <v>3.6622001782312625</v>
      </c>
      <c r="BT8" s="32">
        <f t="shared" ca="1" si="124"/>
        <v>3.1463973362268596</v>
      </c>
      <c r="BU8" s="32">
        <f t="shared" ca="1" si="125"/>
        <v>8.0666787215083495</v>
      </c>
      <c r="BV8" s="32">
        <f t="shared" ca="1" si="126"/>
        <v>6.1692155739755066</v>
      </c>
      <c r="BW8" s="32">
        <f t="shared" ca="1" si="127"/>
        <v>1.6171689281147046</v>
      </c>
      <c r="BX8" s="32">
        <f t="shared" ca="1" si="128"/>
        <v>5.1902877352335821</v>
      </c>
      <c r="BY8" s="32">
        <f t="shared" ca="1" si="129"/>
        <v>4.2991574139327486</v>
      </c>
      <c r="BZ8" s="32">
        <f t="shared" ca="1" si="130"/>
        <v>9.3053103198842688</v>
      </c>
      <c r="CA8" s="32">
        <f t="shared" ca="1" si="131"/>
        <v>4.2991574139327486</v>
      </c>
      <c r="CB8" s="32">
        <f t="shared" ca="1" si="132"/>
        <v>4.3336927562820726</v>
      </c>
      <c r="CC8" s="32">
        <f t="shared" ca="1" si="133"/>
        <v>9.8159554422038759</v>
      </c>
      <c r="CD8" s="32">
        <f t="shared" ca="1" si="134"/>
        <v>4.3336927562820726</v>
      </c>
      <c r="CE8" s="32">
        <f t="shared" ca="1" si="135"/>
        <v>3.1959899847497426</v>
      </c>
    </row>
    <row r="9" spans="1:83" x14ac:dyDescent="0.25">
      <c r="A9">
        <f>Plantilla!D10</f>
        <v>0</v>
      </c>
      <c r="B9">
        <f>Plantilla!E10</f>
        <v>22</v>
      </c>
      <c r="C9" s="30">
        <f ca="1">Plantilla!F10</f>
        <v>98</v>
      </c>
      <c r="D9" s="132">
        <f>Plantilla!G10</f>
        <v>0</v>
      </c>
      <c r="E9" s="28">
        <f>Plantilla!M10</f>
        <v>0</v>
      </c>
      <c r="F9" s="42">
        <f>Plantilla!Q10</f>
        <v>0</v>
      </c>
      <c r="G9" s="43">
        <f t="shared" si="68"/>
        <v>0</v>
      </c>
      <c r="H9" s="43">
        <f t="shared" si="69"/>
        <v>0.37606990231680526</v>
      </c>
      <c r="I9" s="138">
        <f ca="1">Plantilla!N10</f>
        <v>1</v>
      </c>
      <c r="J9" s="34">
        <f>Plantilla!I10</f>
        <v>0</v>
      </c>
      <c r="K9" s="41">
        <f>Plantilla!X10</f>
        <v>0</v>
      </c>
      <c r="L9" s="41">
        <f>Plantilla!Y10</f>
        <v>0</v>
      </c>
      <c r="M9" s="41">
        <f>Plantilla!Z10</f>
        <v>0</v>
      </c>
      <c r="N9" s="41">
        <f>Plantilla!AA10</f>
        <v>0</v>
      </c>
      <c r="O9" s="41">
        <f>Plantilla!AB10</f>
        <v>0</v>
      </c>
      <c r="P9" s="41">
        <f>Plantilla!AC10</f>
        <v>0</v>
      </c>
      <c r="Q9" s="41">
        <f>Plantilla!AD10</f>
        <v>0</v>
      </c>
      <c r="R9" s="41">
        <f t="shared" si="70"/>
        <v>0.375</v>
      </c>
      <c r="S9" s="41">
        <f t="shared" si="71"/>
        <v>0</v>
      </c>
      <c r="T9" s="41">
        <f t="shared" si="72"/>
        <v>0</v>
      </c>
      <c r="U9" s="41" t="e">
        <f t="shared" ca="1" si="73"/>
        <v>#NUM!</v>
      </c>
      <c r="V9" s="41" t="e">
        <f t="shared" ca="1" si="74"/>
        <v>#NUM!</v>
      </c>
      <c r="W9" s="32" t="e">
        <f t="shared" ca="1" si="75"/>
        <v>#NUM!</v>
      </c>
      <c r="X9" s="32" t="e">
        <f t="shared" ca="1" si="76"/>
        <v>#NUM!</v>
      </c>
      <c r="Y9" s="32" t="e">
        <f t="shared" ca="1" si="77"/>
        <v>#NUM!</v>
      </c>
      <c r="Z9" s="32" t="e">
        <f t="shared" ca="1" si="78"/>
        <v>#NUM!</v>
      </c>
      <c r="AA9" s="32" t="e">
        <f t="shared" ca="1" si="79"/>
        <v>#NUM!</v>
      </c>
      <c r="AB9" s="32" t="e">
        <f t="shared" ca="1" si="80"/>
        <v>#NUM!</v>
      </c>
      <c r="AC9" s="32" t="e">
        <f t="shared" ca="1" si="81"/>
        <v>#NUM!</v>
      </c>
      <c r="AD9" s="32" t="e">
        <f t="shared" ca="1" si="82"/>
        <v>#NUM!</v>
      </c>
      <c r="AE9" s="32" t="e">
        <f t="shared" ca="1" si="83"/>
        <v>#NUM!</v>
      </c>
      <c r="AF9" s="32" t="e">
        <f t="shared" ca="1" si="84"/>
        <v>#NUM!</v>
      </c>
      <c r="AG9" s="32" t="e">
        <f t="shared" ca="1" si="85"/>
        <v>#NUM!</v>
      </c>
      <c r="AH9" s="32" t="e">
        <f t="shared" ca="1" si="86"/>
        <v>#NUM!</v>
      </c>
      <c r="AI9" s="32" t="e">
        <f t="shared" ca="1" si="87"/>
        <v>#NUM!</v>
      </c>
      <c r="AJ9" s="32" t="e">
        <f t="shared" ca="1" si="88"/>
        <v>#NUM!</v>
      </c>
      <c r="AK9" s="32" t="e">
        <f t="shared" ca="1" si="89"/>
        <v>#NUM!</v>
      </c>
      <c r="AL9" s="32" t="e">
        <f t="shared" ca="1" si="90"/>
        <v>#NUM!</v>
      </c>
      <c r="AM9" s="32" t="e">
        <f t="shared" ca="1" si="91"/>
        <v>#NUM!</v>
      </c>
      <c r="AN9" s="32" t="e">
        <f t="shared" ca="1" si="92"/>
        <v>#NUM!</v>
      </c>
      <c r="AO9" s="32" t="e">
        <f t="shared" ca="1" si="93"/>
        <v>#NUM!</v>
      </c>
      <c r="AP9" s="32" t="e">
        <f t="shared" ca="1" si="94"/>
        <v>#NUM!</v>
      </c>
      <c r="AQ9" s="32" t="e">
        <f t="shared" ca="1" si="95"/>
        <v>#NUM!</v>
      </c>
      <c r="AR9" s="32" t="e">
        <f t="shared" ca="1" si="96"/>
        <v>#NUM!</v>
      </c>
      <c r="AS9" s="32" t="e">
        <f t="shared" ca="1" si="97"/>
        <v>#NUM!</v>
      </c>
      <c r="AT9" s="32" t="e">
        <f t="shared" ca="1" si="98"/>
        <v>#NUM!</v>
      </c>
      <c r="AU9" s="32" t="e">
        <f t="shared" ca="1" si="99"/>
        <v>#NUM!</v>
      </c>
      <c r="AV9" s="32" t="e">
        <f t="shared" ca="1" si="100"/>
        <v>#NUM!</v>
      </c>
      <c r="AW9" s="32" t="e">
        <f t="shared" ca="1" si="101"/>
        <v>#NUM!</v>
      </c>
      <c r="AX9" s="32" t="e">
        <f t="shared" ca="1" si="102"/>
        <v>#NUM!</v>
      </c>
      <c r="AY9" s="32" t="e">
        <f t="shared" ca="1" si="103"/>
        <v>#NUM!</v>
      </c>
      <c r="AZ9" s="32" t="e">
        <f t="shared" ca="1" si="104"/>
        <v>#NUM!</v>
      </c>
      <c r="BA9" s="32" t="e">
        <f t="shared" ca="1" si="105"/>
        <v>#NUM!</v>
      </c>
      <c r="BB9" s="32" t="e">
        <f t="shared" ca="1" si="106"/>
        <v>#NUM!</v>
      </c>
      <c r="BC9" s="32" t="e">
        <f t="shared" ca="1" si="107"/>
        <v>#NUM!</v>
      </c>
      <c r="BD9" s="32" t="e">
        <f t="shared" ca="1" si="108"/>
        <v>#NUM!</v>
      </c>
      <c r="BE9" s="32" t="e">
        <f t="shared" ca="1" si="109"/>
        <v>#NUM!</v>
      </c>
      <c r="BF9" s="32" t="e">
        <f t="shared" ca="1" si="110"/>
        <v>#NUM!</v>
      </c>
      <c r="BG9" s="32" t="e">
        <f t="shared" ca="1" si="111"/>
        <v>#NUM!</v>
      </c>
      <c r="BH9" s="32" t="e">
        <f t="shared" ca="1" si="112"/>
        <v>#NUM!</v>
      </c>
      <c r="BI9" s="32" t="e">
        <f t="shared" ca="1" si="113"/>
        <v>#NUM!</v>
      </c>
      <c r="BJ9" s="32" t="e">
        <f t="shared" ca="1" si="114"/>
        <v>#NUM!</v>
      </c>
      <c r="BK9" s="32" t="e">
        <f t="shared" ca="1" si="115"/>
        <v>#NUM!</v>
      </c>
      <c r="BL9" s="32" t="e">
        <f t="shared" ca="1" si="116"/>
        <v>#NUM!</v>
      </c>
      <c r="BM9" s="32" t="e">
        <f t="shared" ca="1" si="117"/>
        <v>#NUM!</v>
      </c>
      <c r="BN9" s="32" t="e">
        <f t="shared" ca="1" si="118"/>
        <v>#NUM!</v>
      </c>
      <c r="BO9" s="32" t="e">
        <f t="shared" ca="1" si="119"/>
        <v>#NUM!</v>
      </c>
      <c r="BP9" s="32" t="e">
        <f t="shared" ca="1" si="120"/>
        <v>#NUM!</v>
      </c>
      <c r="BQ9" s="32" t="e">
        <f t="shared" ca="1" si="121"/>
        <v>#NUM!</v>
      </c>
      <c r="BR9" s="32" t="e">
        <f t="shared" ca="1" si="122"/>
        <v>#NUM!</v>
      </c>
      <c r="BS9" s="32" t="e">
        <f t="shared" ca="1" si="123"/>
        <v>#NUM!</v>
      </c>
      <c r="BT9" s="32" t="e">
        <f t="shared" ca="1" si="124"/>
        <v>#NUM!</v>
      </c>
      <c r="BU9" s="32" t="e">
        <f t="shared" ca="1" si="125"/>
        <v>#NUM!</v>
      </c>
      <c r="BV9" s="32" t="e">
        <f t="shared" ca="1" si="126"/>
        <v>#NUM!</v>
      </c>
      <c r="BW9" s="32" t="e">
        <f t="shared" ca="1" si="127"/>
        <v>#NUM!</v>
      </c>
      <c r="BX9" s="32" t="e">
        <f t="shared" ca="1" si="128"/>
        <v>#NUM!</v>
      </c>
      <c r="BY9" s="32" t="e">
        <f t="shared" ca="1" si="129"/>
        <v>#NUM!</v>
      </c>
      <c r="BZ9" s="32" t="e">
        <f t="shared" ca="1" si="130"/>
        <v>#NUM!</v>
      </c>
      <c r="CA9" s="32" t="e">
        <f t="shared" ca="1" si="131"/>
        <v>#NUM!</v>
      </c>
      <c r="CB9" s="32" t="e">
        <f t="shared" ca="1" si="132"/>
        <v>#NUM!</v>
      </c>
      <c r="CC9" s="32" t="e">
        <f t="shared" ca="1" si="133"/>
        <v>#NUM!</v>
      </c>
      <c r="CD9" s="32" t="e">
        <f t="shared" ca="1" si="134"/>
        <v>#NUM!</v>
      </c>
      <c r="CE9" s="32" t="e">
        <f t="shared" ca="1" si="135"/>
        <v>#NUM!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102</v>
      </c>
      <c r="D10" s="132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8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12.4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3.05</v>
      </c>
      <c r="S10" s="41">
        <f t="shared" si="71"/>
        <v>0.44000000000000006</v>
      </c>
      <c r="T10" s="41">
        <f t="shared" si="72"/>
        <v>0.58600000000000008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5.044378915429923</v>
      </c>
      <c r="X10" s="32">
        <f t="shared" ca="1" si="76"/>
        <v>7.6685965404582239</v>
      </c>
      <c r="Y10" s="32">
        <f t="shared" ca="1" si="77"/>
        <v>5.044378915429923</v>
      </c>
      <c r="Z10" s="32">
        <f t="shared" ca="1" si="78"/>
        <v>7.3570954414224969</v>
      </c>
      <c r="AA10" s="32">
        <f t="shared" ca="1" si="79"/>
        <v>14.257936901981584</v>
      </c>
      <c r="AB10" s="32">
        <f t="shared" ca="1" si="80"/>
        <v>3.6785477207112485</v>
      </c>
      <c r="AC10" s="32">
        <f t="shared" ca="1" si="81"/>
        <v>1.3941889826716167</v>
      </c>
      <c r="AD10" s="32">
        <f t="shared" ca="1" si="82"/>
        <v>5.3895001489490388</v>
      </c>
      <c r="AE10" s="32">
        <f t="shared" ca="1" si="83"/>
        <v>10.308488380132685</v>
      </c>
      <c r="AF10" s="32">
        <f t="shared" ca="1" si="84"/>
        <v>2.6947500744745194</v>
      </c>
      <c r="AG10" s="32">
        <f t="shared" ca="1" si="85"/>
        <v>2.2553057072629095</v>
      </c>
      <c r="AH10" s="32">
        <f t="shared" ca="1" si="86"/>
        <v>13.117301949823057</v>
      </c>
      <c r="AI10" s="32">
        <f t="shared" ca="1" si="87"/>
        <v>5.9027858774203752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10.750484424094115</v>
      </c>
      <c r="AM10" s="32">
        <f t="shared" ca="1" si="91"/>
        <v>10.094619326602961</v>
      </c>
      <c r="AN10" s="32">
        <f t="shared" ca="1" si="92"/>
        <v>0.81127546263092443</v>
      </c>
      <c r="AO10" s="32">
        <f t="shared" ca="1" si="93"/>
        <v>1.4134858277706959</v>
      </c>
      <c r="AP10" s="32">
        <f t="shared" ca="1" si="94"/>
        <v>3.849642963535028</v>
      </c>
      <c r="AQ10" s="32">
        <f t="shared" ca="1" si="95"/>
        <v>8.4692145197770596</v>
      </c>
      <c r="AR10" s="32">
        <f t="shared" ca="1" si="96"/>
        <v>1.924821481767514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2.6947500744745194</v>
      </c>
      <c r="AX10" s="32">
        <f t="shared" ca="1" si="102"/>
        <v>5.703174760792634</v>
      </c>
      <c r="AY10" s="32">
        <f t="shared" ca="1" si="103"/>
        <v>1.3473750372372597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4.1490596384766407</v>
      </c>
      <c r="BE10" s="32">
        <f t="shared" ca="1" si="109"/>
        <v>4.9617620418895907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6.9150993974610682</v>
      </c>
      <c r="BJ10" s="32">
        <f t="shared" ca="1" si="114"/>
        <v>3.7640953421231385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2.5664286423566849</v>
      </c>
      <c r="BO10" s="32">
        <f t="shared" ca="1" si="119"/>
        <v>0.96953970933474776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4.0492540801627692</v>
      </c>
      <c r="BT10" s="32">
        <f t="shared" ca="1" si="124"/>
        <v>3.4789366040835064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63</v>
      </c>
      <c r="D11" s="132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38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11.555555555555555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3.6319444444444446</v>
      </c>
      <c r="S11" s="41">
        <f t="shared" si="71"/>
        <v>0.44000000000000006</v>
      </c>
      <c r="T11" s="41">
        <f t="shared" si="72"/>
        <v>0.55222222222222217</v>
      </c>
      <c r="U11" s="41">
        <f t="shared" ca="1" si="73"/>
        <v>4.1167041325929219</v>
      </c>
      <c r="V11" s="41">
        <f t="shared" ca="1" si="74"/>
        <v>4.5058638453174051</v>
      </c>
      <c r="W11" s="32">
        <f t="shared" ca="1" si="75"/>
        <v>4.8226726993678337</v>
      </c>
      <c r="X11" s="32">
        <f t="shared" ca="1" si="76"/>
        <v>7.3265075848230694</v>
      </c>
      <c r="Y11" s="32">
        <f t="shared" ca="1" si="77"/>
        <v>4.8226726993678337</v>
      </c>
      <c r="Z11" s="32">
        <f t="shared" ca="1" si="78"/>
        <v>6.9280768761441038</v>
      </c>
      <c r="AA11" s="32">
        <f t="shared" ca="1" si="79"/>
        <v>13.426505573922681</v>
      </c>
      <c r="AB11" s="32">
        <f t="shared" ca="1" si="80"/>
        <v>3.4640384380720519</v>
      </c>
      <c r="AC11" s="32">
        <f t="shared" ca="1" si="81"/>
        <v>1.1592861043713758</v>
      </c>
      <c r="AD11" s="32">
        <f t="shared" ca="1" si="82"/>
        <v>5.0752191069427735</v>
      </c>
      <c r="AE11" s="32">
        <f t="shared" ca="1" si="83"/>
        <v>9.7073635299460985</v>
      </c>
      <c r="AF11" s="32">
        <f t="shared" ca="1" si="84"/>
        <v>2.5376095534713867</v>
      </c>
      <c r="AG11" s="32">
        <f t="shared" ca="1" si="85"/>
        <v>1.8753157570713432</v>
      </c>
      <c r="AH11" s="32">
        <f t="shared" ca="1" si="86"/>
        <v>12.352385128008867</v>
      </c>
      <c r="AI11" s="32">
        <f t="shared" ca="1" si="87"/>
        <v>5.5585733076039894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10.123585202737701</v>
      </c>
      <c r="AM11" s="32">
        <f t="shared" ca="1" si="91"/>
        <v>9.5059659463372572</v>
      </c>
      <c r="AN11" s="32">
        <f t="shared" ca="1" si="92"/>
        <v>0.81344865306730996</v>
      </c>
      <c r="AO11" s="32">
        <f t="shared" ca="1" si="93"/>
        <v>1.5848336052897321</v>
      </c>
      <c r="AP11" s="32">
        <f t="shared" ca="1" si="94"/>
        <v>3.6251565049591239</v>
      </c>
      <c r="AQ11" s="32">
        <f t="shared" ca="1" si="95"/>
        <v>7.9753443109100717</v>
      </c>
      <c r="AR11" s="32">
        <f t="shared" ca="1" si="96"/>
        <v>1.8125782524795619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2.5376095534713867</v>
      </c>
      <c r="AX11" s="32">
        <f t="shared" ca="1" si="102"/>
        <v>5.370602229569073</v>
      </c>
      <c r="AY11" s="32">
        <f t="shared" ca="1" si="103"/>
        <v>1.2688047767356934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3.9071131220114999</v>
      </c>
      <c r="BE11" s="32">
        <f t="shared" ca="1" si="109"/>
        <v>4.6724239397250926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6.5118552033524999</v>
      </c>
      <c r="BJ11" s="32">
        <f t="shared" ca="1" si="114"/>
        <v>3.5445974715155879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2.4167710033060823</v>
      </c>
      <c r="BO11" s="32">
        <f t="shared" ca="1" si="119"/>
        <v>0.91300237902674231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3.8131275829940408</v>
      </c>
      <c r="BT11" s="32">
        <f t="shared" ca="1" si="124"/>
        <v>3.2760673600371342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102</v>
      </c>
      <c r="D12" s="132" t="str">
        <f>Plantilla!G13</f>
        <v>IMP</v>
      </c>
      <c r="E12" s="28">
        <f>Plantilla!M13</f>
        <v>43051</v>
      </c>
      <c r="F12" s="42">
        <f>Plantilla!Q13</f>
        <v>5</v>
      </c>
      <c r="G12" s="43">
        <f t="shared" si="68"/>
        <v>0.84515425472851657</v>
      </c>
      <c r="H12" s="43">
        <f t="shared" si="69"/>
        <v>0.92504826128926143</v>
      </c>
      <c r="I12" s="138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11.222222222222221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3.3277777777777779</v>
      </c>
      <c r="S12" s="41">
        <f t="shared" si="71"/>
        <v>0.45250000000000001</v>
      </c>
      <c r="T12" s="41">
        <f t="shared" si="72"/>
        <v>0.53888888888888897</v>
      </c>
      <c r="U12" s="41">
        <f t="shared" ca="1" si="73"/>
        <v>4.1057060419124038</v>
      </c>
      <c r="V12" s="41">
        <f t="shared" ca="1" si="74"/>
        <v>4.4938260846310047</v>
      </c>
      <c r="W12" s="32">
        <f t="shared" ca="1" si="75"/>
        <v>4.7193122487632557</v>
      </c>
      <c r="X12" s="32">
        <f t="shared" ca="1" si="76"/>
        <v>7.1680409849026683</v>
      </c>
      <c r="Y12" s="32">
        <f t="shared" ca="1" si="77"/>
        <v>4.7193122487632557</v>
      </c>
      <c r="Z12" s="32">
        <f t="shared" ca="1" si="78"/>
        <v>6.749362108089163</v>
      </c>
      <c r="AA12" s="32">
        <f t="shared" ca="1" si="79"/>
        <v>13.080159124203805</v>
      </c>
      <c r="AB12" s="32">
        <f t="shared" ca="1" si="80"/>
        <v>3.3746810540445815</v>
      </c>
      <c r="AC12" s="32">
        <f t="shared" ca="1" si="81"/>
        <v>1.1561889826716167</v>
      </c>
      <c r="AD12" s="32">
        <f t="shared" ca="1" si="82"/>
        <v>4.9443001489490381</v>
      </c>
      <c r="AE12" s="32">
        <f t="shared" ca="1" si="83"/>
        <v>9.4569550467993508</v>
      </c>
      <c r="AF12" s="32">
        <f t="shared" ca="1" si="84"/>
        <v>2.4721500744745191</v>
      </c>
      <c r="AG12" s="32">
        <f t="shared" ca="1" si="85"/>
        <v>1.8703057072629097</v>
      </c>
      <c r="AH12" s="32">
        <f t="shared" ca="1" si="86"/>
        <v>12.033746394267501</v>
      </c>
      <c r="AI12" s="32">
        <f t="shared" ca="1" si="87"/>
        <v>5.4151858774203747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9.8624399796496682</v>
      </c>
      <c r="AM12" s="32">
        <f t="shared" ca="1" si="91"/>
        <v>9.2607526599362924</v>
      </c>
      <c r="AN12" s="32">
        <f t="shared" ca="1" si="92"/>
        <v>0.81127546263092443</v>
      </c>
      <c r="AO12" s="32">
        <f t="shared" ca="1" si="93"/>
        <v>1.4934858277706957</v>
      </c>
      <c r="AP12" s="32">
        <f t="shared" ca="1" si="94"/>
        <v>3.5316429635350275</v>
      </c>
      <c r="AQ12" s="32">
        <f t="shared" ca="1" si="95"/>
        <v>7.7696145197770594</v>
      </c>
      <c r="AR12" s="32">
        <f t="shared" ca="1" si="96"/>
        <v>1.7658214817675137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2.4721500744745191</v>
      </c>
      <c r="AX12" s="32">
        <f t="shared" ca="1" si="102"/>
        <v>5.232063649681522</v>
      </c>
      <c r="AY12" s="32">
        <f t="shared" ca="1" si="103"/>
        <v>1.2360750372372595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3.8063263051433069</v>
      </c>
      <c r="BE12" s="32">
        <f t="shared" ca="1" si="109"/>
        <v>4.5518953752229239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6.3438771752388448</v>
      </c>
      <c r="BJ12" s="32">
        <f t="shared" ca="1" si="114"/>
        <v>3.4531620087898047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2.3544286423566847</v>
      </c>
      <c r="BO12" s="32">
        <f t="shared" ca="1" si="119"/>
        <v>0.88945082044585877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3.7147651912738802</v>
      </c>
      <c r="BT12" s="32">
        <f t="shared" ca="1" si="124"/>
        <v>3.1915588263057284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98</v>
      </c>
      <c r="D13" s="132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38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9.8571428571428577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3.1571428571428575</v>
      </c>
      <c r="S13" s="41">
        <f t="shared" si="71"/>
        <v>0.52500000000000002</v>
      </c>
      <c r="T13" s="41">
        <f t="shared" si="72"/>
        <v>0.54428571428571426</v>
      </c>
      <c r="U13" s="41">
        <f t="shared" si="73"/>
        <v>6.8806579540581092</v>
      </c>
      <c r="V13" s="41">
        <f t="shared" si="74"/>
        <v>7.4266495656564908</v>
      </c>
      <c r="W13" s="32">
        <f t="shared" si="75"/>
        <v>4.8436725136185546</v>
      </c>
      <c r="X13" s="32">
        <f t="shared" si="76"/>
        <v>7.3289460817494483</v>
      </c>
      <c r="Y13" s="32">
        <f t="shared" si="77"/>
        <v>4.8436725136185546</v>
      </c>
      <c r="Z13" s="32">
        <f t="shared" si="78"/>
        <v>6.3411770772688953</v>
      </c>
      <c r="AA13" s="32">
        <f t="shared" si="79"/>
        <v>12.289102862924215</v>
      </c>
      <c r="AB13" s="32">
        <f t="shared" si="80"/>
        <v>3.1705885386344477</v>
      </c>
      <c r="AC13" s="32">
        <f t="shared" si="81"/>
        <v>1.9354064813759633</v>
      </c>
      <c r="AD13" s="32">
        <f t="shared" si="82"/>
        <v>4.6452808821853537</v>
      </c>
      <c r="AE13" s="32">
        <f t="shared" si="83"/>
        <v>8.8850213698942078</v>
      </c>
      <c r="AF13" s="32">
        <f t="shared" si="84"/>
        <v>2.3226404410926769</v>
      </c>
      <c r="AG13" s="32">
        <f t="shared" si="85"/>
        <v>3.1308046022258234</v>
      </c>
      <c r="AH13" s="32">
        <f t="shared" si="86"/>
        <v>11.305974633890278</v>
      </c>
      <c r="AI13" s="32">
        <f t="shared" si="87"/>
        <v>5.0876885852506248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9.2659835586448587</v>
      </c>
      <c r="AM13" s="32">
        <f t="shared" si="91"/>
        <v>8.7006848269503436</v>
      </c>
      <c r="AN13" s="32">
        <f t="shared" si="92"/>
        <v>1.241137320965487</v>
      </c>
      <c r="AO13" s="32">
        <f t="shared" si="93"/>
        <v>1.6096616245221742</v>
      </c>
      <c r="AP13" s="32">
        <f t="shared" si="94"/>
        <v>3.3180577729895382</v>
      </c>
      <c r="AQ13" s="32">
        <f t="shared" si="95"/>
        <v>7.2997271005769839</v>
      </c>
      <c r="AR13" s="32">
        <f t="shared" si="96"/>
        <v>1.6590288864947691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2.3226404410926769</v>
      </c>
      <c r="AX13" s="32">
        <f t="shared" si="102"/>
        <v>4.9156411451696869</v>
      </c>
      <c r="AY13" s="32">
        <f t="shared" si="103"/>
        <v>1.1613202205463384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3.5761289331109465</v>
      </c>
      <c r="BE13" s="32">
        <f t="shared" si="109"/>
        <v>4.2766077962976263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5.9602148885182444</v>
      </c>
      <c r="BJ13" s="32">
        <f t="shared" si="114"/>
        <v>3.2443231558119932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2.2120385153263586</v>
      </c>
      <c r="BO13" s="32">
        <f t="shared" si="119"/>
        <v>0.83565899467884674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3.4901052130704771</v>
      </c>
      <c r="BT13" s="32">
        <f t="shared" si="124"/>
        <v>2.9985410985535084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98</v>
      </c>
      <c r="D14" s="132" t="str">
        <f>Plantilla!G15</f>
        <v>IMP</v>
      </c>
      <c r="E14" s="28">
        <f>Plantilla!M15</f>
        <v>43054</v>
      </c>
      <c r="F14" s="42">
        <f>Plantilla!Q15</f>
        <v>6</v>
      </c>
      <c r="G14" s="43">
        <f t="shared" si="68"/>
        <v>0.92582009977255142</v>
      </c>
      <c r="H14" s="43">
        <f t="shared" si="69"/>
        <v>0.99928545900129484</v>
      </c>
      <c r="I14" s="138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10.25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2.96875</v>
      </c>
      <c r="S14" s="41">
        <f t="shared" si="71"/>
        <v>0.48008333333333331</v>
      </c>
      <c r="T14" s="41">
        <f t="shared" si="72"/>
        <v>0.5</v>
      </c>
      <c r="U14" s="41">
        <f t="shared" ca="1" si="73"/>
        <v>4.4852508374201481</v>
      </c>
      <c r="V14" s="41">
        <f t="shared" ca="1" si="74"/>
        <v>4.841162924534097</v>
      </c>
      <c r="W14" s="32">
        <f t="shared" ca="1" si="75"/>
        <v>4.4393572822946386</v>
      </c>
      <c r="X14" s="32">
        <f t="shared" ca="1" si="76"/>
        <v>6.7376603682043283</v>
      </c>
      <c r="Y14" s="32">
        <f t="shared" ca="1" si="77"/>
        <v>4.4393572822946386</v>
      </c>
      <c r="Z14" s="32">
        <f t="shared" ca="1" si="78"/>
        <v>6.2408262974387565</v>
      </c>
      <c r="AA14" s="32">
        <f t="shared" ca="1" si="79"/>
        <v>12.094624607439449</v>
      </c>
      <c r="AB14" s="32">
        <f t="shared" ca="1" si="80"/>
        <v>3.1204131487193782</v>
      </c>
      <c r="AC14" s="32">
        <f t="shared" ca="1" si="81"/>
        <v>1.6290206565705887</v>
      </c>
      <c r="AD14" s="32">
        <f t="shared" ca="1" si="82"/>
        <v>4.5717681016121121</v>
      </c>
      <c r="AE14" s="32">
        <f t="shared" ca="1" si="83"/>
        <v>8.7444135911787217</v>
      </c>
      <c r="AF14" s="32">
        <f t="shared" ca="1" si="84"/>
        <v>2.2858840508060561</v>
      </c>
      <c r="AG14" s="32">
        <f t="shared" ca="1" si="85"/>
        <v>2.635180473864188</v>
      </c>
      <c r="AH14" s="32">
        <f t="shared" ca="1" si="86"/>
        <v>11.127054638844294</v>
      </c>
      <c r="AI14" s="32">
        <f t="shared" ca="1" si="87"/>
        <v>5.0071745874799314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9.1193469540093446</v>
      </c>
      <c r="AM14" s="32">
        <f t="shared" ca="1" si="91"/>
        <v>8.5629942220671289</v>
      </c>
      <c r="AN14" s="32">
        <f t="shared" ca="1" si="92"/>
        <v>0.80905230944238793</v>
      </c>
      <c r="AO14" s="32">
        <f t="shared" ca="1" si="93"/>
        <v>1.3862518869425611</v>
      </c>
      <c r="AP14" s="32">
        <f t="shared" ca="1" si="94"/>
        <v>3.2655486440086516</v>
      </c>
      <c r="AQ14" s="32">
        <f t="shared" ca="1" si="95"/>
        <v>7.1842070168190331</v>
      </c>
      <c r="AR14" s="32">
        <f t="shared" ca="1" si="96"/>
        <v>1.6327743220043258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2.2858840508060561</v>
      </c>
      <c r="AX14" s="32">
        <f t="shared" ca="1" si="102"/>
        <v>4.8378498429757801</v>
      </c>
      <c r="AY14" s="32">
        <f t="shared" ca="1" si="103"/>
        <v>1.142942025403028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3.5195357607648794</v>
      </c>
      <c r="BE14" s="32">
        <f t="shared" ca="1" si="109"/>
        <v>4.2089293633889282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5.8658929346081328</v>
      </c>
      <c r="BJ14" s="32">
        <f t="shared" ca="1" si="114"/>
        <v>3.1929808963640149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2.1770324293391008</v>
      </c>
      <c r="BO14" s="32">
        <f t="shared" ca="1" si="119"/>
        <v>0.8224344733058826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3.4348733885128033</v>
      </c>
      <c r="BT14" s="32">
        <f t="shared" ca="1" si="124"/>
        <v>2.9510884042152257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67</v>
      </c>
      <c r="D15" s="132" t="str">
        <f>Plantilla!G16</f>
        <v>POT</v>
      </c>
      <c r="E15" s="28">
        <f>Plantilla!M16</f>
        <v>43591</v>
      </c>
      <c r="F15" s="42">
        <f>Plantilla!Q16</f>
        <v>6</v>
      </c>
      <c r="G15" s="43">
        <f t="shared" si="68"/>
        <v>0.92582009977255142</v>
      </c>
      <c r="H15" s="43">
        <f t="shared" si="69"/>
        <v>0.99928545900129484</v>
      </c>
      <c r="I15" s="138">
        <f ca="1">Plantilla!N16</f>
        <v>0.48078231046272396</v>
      </c>
      <c r="J15" s="34">
        <f>Plantilla!I16</f>
        <v>7.3</v>
      </c>
      <c r="K15" s="41">
        <f>Plantilla!X16</f>
        <v>0</v>
      </c>
      <c r="L15" s="41">
        <f>Plantilla!Y16</f>
        <v>9.1111111111111107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3.2996031746031744</v>
      </c>
      <c r="S15" s="41">
        <f t="shared" si="71"/>
        <v>0.86</v>
      </c>
      <c r="T15" s="41">
        <f t="shared" si="72"/>
        <v>0.87444444444444436</v>
      </c>
      <c r="U15" s="41">
        <f t="shared" ca="1" si="73"/>
        <v>17.24976849809838</v>
      </c>
      <c r="V15" s="41">
        <f t="shared" ca="1" si="74"/>
        <v>18.618566215534834</v>
      </c>
      <c r="W15" s="32">
        <f t="shared" ca="1" si="75"/>
        <v>3.939297432880835</v>
      </c>
      <c r="X15" s="32">
        <f t="shared" ca="1" si="76"/>
        <v>5.9789786015836093</v>
      </c>
      <c r="Y15" s="32">
        <f t="shared" ca="1" si="77"/>
        <v>3.939297432880835</v>
      </c>
      <c r="Z15" s="32">
        <f t="shared" ca="1" si="78"/>
        <v>5.5433831332949719</v>
      </c>
      <c r="AA15" s="32">
        <f t="shared" ca="1" si="79"/>
        <v>10.742990568401108</v>
      </c>
      <c r="AB15" s="32">
        <f t="shared" ca="1" si="80"/>
        <v>2.7716915666474859</v>
      </c>
      <c r="AC15" s="32">
        <f t="shared" ca="1" si="81"/>
        <v>3.4823873108350192</v>
      </c>
      <c r="AD15" s="32">
        <f t="shared" ca="1" si="82"/>
        <v>4.0608504348556194</v>
      </c>
      <c r="AE15" s="32">
        <f t="shared" ca="1" si="83"/>
        <v>7.7671821809540011</v>
      </c>
      <c r="AF15" s="32">
        <f t="shared" ca="1" si="84"/>
        <v>2.0304252174278097</v>
      </c>
      <c r="AG15" s="32">
        <f t="shared" ca="1" si="85"/>
        <v>5.6332735910566489</v>
      </c>
      <c r="AH15" s="32">
        <f t="shared" ca="1" si="86"/>
        <v>9.8835513229290193</v>
      </c>
      <c r="AI15" s="32">
        <f t="shared" ca="1" si="87"/>
        <v>4.4475980953180585</v>
      </c>
      <c r="AJ15" s="32">
        <f t="shared" ca="1" si="88"/>
        <v>2.4435238693674299</v>
      </c>
      <c r="AK15" s="32">
        <f t="shared" ca="1" si="89"/>
        <v>4.4875451208865185</v>
      </c>
      <c r="AL15" s="32">
        <f t="shared" ca="1" si="90"/>
        <v>8.1002148885744365</v>
      </c>
      <c r="AM15" s="32">
        <f t="shared" ca="1" si="91"/>
        <v>7.6060373224279845</v>
      </c>
      <c r="AN15" s="32">
        <f t="shared" ca="1" si="92"/>
        <v>3.1115238693674305</v>
      </c>
      <c r="AO15" s="32">
        <f t="shared" ca="1" si="93"/>
        <v>1.4202669979852338</v>
      </c>
      <c r="AP15" s="32">
        <f t="shared" ca="1" si="94"/>
        <v>2.9006074534682993</v>
      </c>
      <c r="AQ15" s="32">
        <f t="shared" ca="1" si="95"/>
        <v>6.3813363976302577</v>
      </c>
      <c r="AR15" s="32">
        <f t="shared" ca="1" si="96"/>
        <v>1.4503037267341496</v>
      </c>
      <c r="AS15" s="32">
        <f t="shared" ca="1" si="97"/>
        <v>13.812494207681757</v>
      </c>
      <c r="AT15" s="32">
        <f t="shared" ca="1" si="98"/>
        <v>1.1407157580191285</v>
      </c>
      <c r="AU15" s="32">
        <f t="shared" ca="1" si="99"/>
        <v>2.5462835381288267</v>
      </c>
      <c r="AV15" s="32">
        <f t="shared" ca="1" si="100"/>
        <v>0.57035787900956425</v>
      </c>
      <c r="AW15" s="32">
        <f t="shared" ca="1" si="101"/>
        <v>2.0304252174278097</v>
      </c>
      <c r="AX15" s="32">
        <f t="shared" ca="1" si="102"/>
        <v>4.2971962273604438</v>
      </c>
      <c r="AY15" s="32">
        <f t="shared" ca="1" si="103"/>
        <v>1.0152126087139048</v>
      </c>
      <c r="AZ15" s="32">
        <f t="shared" ca="1" si="104"/>
        <v>14.631879457289998</v>
      </c>
      <c r="BA15" s="32">
        <f t="shared" ca="1" si="105"/>
        <v>2.2200083598372267</v>
      </c>
      <c r="BB15" s="32">
        <f t="shared" ca="1" si="106"/>
        <v>4.804879866681075</v>
      </c>
      <c r="BC15" s="32">
        <f t="shared" ca="1" si="107"/>
        <v>1.1100041799186133</v>
      </c>
      <c r="BD15" s="32">
        <f t="shared" ca="1" si="108"/>
        <v>3.1262102554047222</v>
      </c>
      <c r="BE15" s="32">
        <f t="shared" ca="1" si="109"/>
        <v>3.7385607178035856</v>
      </c>
      <c r="BF15" s="32">
        <f t="shared" ca="1" si="110"/>
        <v>12.890685801872488</v>
      </c>
      <c r="BG15" s="32">
        <f t="shared" ca="1" si="111"/>
        <v>7.1447408375308079</v>
      </c>
      <c r="BH15" s="32">
        <f t="shared" ca="1" si="112"/>
        <v>2.1147115206354612</v>
      </c>
      <c r="BI15" s="32">
        <f t="shared" ca="1" si="113"/>
        <v>5.2103504256745374</v>
      </c>
      <c r="BJ15" s="32">
        <f t="shared" ca="1" si="114"/>
        <v>2.8361495100578926</v>
      </c>
      <c r="BK15" s="32">
        <f t="shared" ca="1" si="115"/>
        <v>5.5747460732274892</v>
      </c>
      <c r="BL15" s="32">
        <f t="shared" ca="1" si="116"/>
        <v>6.8999769313857442</v>
      </c>
      <c r="BM15" s="32">
        <f t="shared" ca="1" si="117"/>
        <v>0.45628630320765134</v>
      </c>
      <c r="BN15" s="32">
        <f t="shared" ca="1" si="118"/>
        <v>1.9337383023121995</v>
      </c>
      <c r="BO15" s="32">
        <f t="shared" ca="1" si="119"/>
        <v>0.73052335865127538</v>
      </c>
      <c r="BP15" s="32">
        <f t="shared" ca="1" si="120"/>
        <v>4.4627232344734491</v>
      </c>
      <c r="BQ15" s="32">
        <f t="shared" ca="1" si="121"/>
        <v>10.14145412493208</v>
      </c>
      <c r="BR15" s="32">
        <f t="shared" ca="1" si="122"/>
        <v>1.1845894410198643</v>
      </c>
      <c r="BS15" s="32">
        <f t="shared" ca="1" si="123"/>
        <v>3.0510093214259144</v>
      </c>
      <c r="BT15" s="32">
        <f t="shared" ca="1" si="124"/>
        <v>2.6212896986898704</v>
      </c>
      <c r="BU15" s="32">
        <f t="shared" ca="1" si="125"/>
        <v>9.2327159375499885</v>
      </c>
      <c r="BV15" s="32">
        <f t="shared" ca="1" si="126"/>
        <v>7.0511035428459774</v>
      </c>
      <c r="BW15" s="32">
        <f t="shared" ca="1" si="127"/>
        <v>1.2986610168217769</v>
      </c>
      <c r="BX15" s="32">
        <f t="shared" ca="1" si="128"/>
        <v>5.9405430596597393</v>
      </c>
      <c r="BY15" s="32">
        <f t="shared" ca="1" si="129"/>
        <v>4.3889234829623751</v>
      </c>
      <c r="BZ15" s="32">
        <f t="shared" ca="1" si="130"/>
        <v>9.7970676974799673</v>
      </c>
      <c r="CA15" s="32">
        <f t="shared" ca="1" si="131"/>
        <v>4.3889234829623751</v>
      </c>
      <c r="CB15" s="32">
        <f t="shared" ca="1" si="132"/>
        <v>5.1769466161773838</v>
      </c>
      <c r="CC15" s="32">
        <f t="shared" ca="1" si="133"/>
        <v>11.869757262744294</v>
      </c>
      <c r="CD15" s="32">
        <f t="shared" ca="1" si="134"/>
        <v>5.1769466161773838</v>
      </c>
      <c r="CE15" s="32">
        <f t="shared" ca="1" si="135"/>
        <v>3.6579698643224994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72</v>
      </c>
      <c r="D16" s="132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38">
        <f ca="1">Plantilla!N17</f>
        <v>0.89595496648943951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12.802161619274107</v>
      </c>
      <c r="V16" s="41">
        <f t="shared" ca="1" si="74"/>
        <v>13.818034360096501</v>
      </c>
      <c r="W16" s="32">
        <f t="shared" ca="1" si="75"/>
        <v>3.2517697707924067</v>
      </c>
      <c r="X16" s="32">
        <f t="shared" ca="1" si="76"/>
        <v>4.9098382292016005</v>
      </c>
      <c r="Y16" s="32">
        <f t="shared" ca="1" si="77"/>
        <v>3.2517697707924067</v>
      </c>
      <c r="Z16" s="32">
        <f t="shared" ca="1" si="78"/>
        <v>4.0392041256917315</v>
      </c>
      <c r="AA16" s="32">
        <f t="shared" ca="1" si="79"/>
        <v>7.8279149722707979</v>
      </c>
      <c r="AB16" s="32">
        <f t="shared" ca="1" si="80"/>
        <v>2.0196020628458657</v>
      </c>
      <c r="AC16" s="32">
        <f t="shared" ca="1" si="81"/>
        <v>3.0530437634004497</v>
      </c>
      <c r="AD16" s="32">
        <f t="shared" ca="1" si="82"/>
        <v>2.9589518595183617</v>
      </c>
      <c r="AE16" s="32">
        <f t="shared" ca="1" si="83"/>
        <v>5.6595825249517864</v>
      </c>
      <c r="AF16" s="32">
        <f t="shared" ca="1" si="84"/>
        <v>1.4794759297591809</v>
      </c>
      <c r="AG16" s="32">
        <f t="shared" ca="1" si="85"/>
        <v>4.9387472643242569</v>
      </c>
      <c r="AH16" s="32">
        <f t="shared" ca="1" si="86"/>
        <v>7.2016817744891348</v>
      </c>
      <c r="AI16" s="32">
        <f t="shared" ca="1" si="87"/>
        <v>3.2407567985201102</v>
      </c>
      <c r="AJ16" s="32">
        <f t="shared" ca="1" si="88"/>
        <v>2.1422618003692233</v>
      </c>
      <c r="AK16" s="32">
        <f t="shared" ca="1" si="89"/>
        <v>2.2508140036952291</v>
      </c>
      <c r="AL16" s="32">
        <f t="shared" ca="1" si="90"/>
        <v>5.9022478890921812</v>
      </c>
      <c r="AM16" s="32">
        <f t="shared" ca="1" si="91"/>
        <v>5.5421638003677245</v>
      </c>
      <c r="AN16" s="32">
        <f t="shared" ca="1" si="92"/>
        <v>2.3092618003692231</v>
      </c>
      <c r="AO16" s="32">
        <f t="shared" ca="1" si="93"/>
        <v>1.1414395120139897</v>
      </c>
      <c r="AP16" s="32">
        <f t="shared" ca="1" si="94"/>
        <v>2.1135370425131157</v>
      </c>
      <c r="AQ16" s="32">
        <f t="shared" ca="1" si="95"/>
        <v>4.6497814935288542</v>
      </c>
      <c r="AR16" s="32">
        <f t="shared" ca="1" si="96"/>
        <v>1.0567685212565578</v>
      </c>
      <c r="AS16" s="32">
        <f t="shared" ca="1" si="97"/>
        <v>12.109551733823631</v>
      </c>
      <c r="AT16" s="32">
        <f t="shared" ca="1" si="98"/>
        <v>0.76304561306187046</v>
      </c>
      <c r="AU16" s="32">
        <f t="shared" ca="1" si="99"/>
        <v>1.8855790868753437</v>
      </c>
      <c r="AV16" s="32">
        <f t="shared" ca="1" si="100"/>
        <v>0.38152280653093523</v>
      </c>
      <c r="AW16" s="32">
        <f t="shared" ca="1" si="101"/>
        <v>1.4794759297591809</v>
      </c>
      <c r="AX16" s="32">
        <f t="shared" ca="1" si="102"/>
        <v>3.1311659889083194</v>
      </c>
      <c r="AY16" s="32">
        <f t="shared" ca="1" si="103"/>
        <v>0.73973796487959043</v>
      </c>
      <c r="AZ16" s="32">
        <f t="shared" ca="1" si="104"/>
        <v>12.827914972270797</v>
      </c>
      <c r="BA16" s="32">
        <f t="shared" ca="1" si="105"/>
        <v>1.4850041546511785</v>
      </c>
      <c r="BB16" s="32">
        <f t="shared" ca="1" si="106"/>
        <v>3.4353894830545428</v>
      </c>
      <c r="BC16" s="32">
        <f t="shared" ca="1" si="107"/>
        <v>0.74250207732558926</v>
      </c>
      <c r="BD16" s="32">
        <f t="shared" ca="1" si="108"/>
        <v>2.2779232569308019</v>
      </c>
      <c r="BE16" s="32">
        <f t="shared" ca="1" si="109"/>
        <v>2.7241144103502375</v>
      </c>
      <c r="BF16" s="32">
        <f t="shared" ca="1" si="110"/>
        <v>11.301393090570572</v>
      </c>
      <c r="BG16" s="32">
        <f t="shared" ca="1" si="111"/>
        <v>4.0461414103487394</v>
      </c>
      <c r="BH16" s="32">
        <f t="shared" ca="1" si="112"/>
        <v>1.4145691749839291</v>
      </c>
      <c r="BI16" s="32">
        <f t="shared" ca="1" si="113"/>
        <v>3.7965387615513371</v>
      </c>
      <c r="BJ16" s="32">
        <f t="shared" ca="1" si="114"/>
        <v>2.0665695526794909</v>
      </c>
      <c r="BK16" s="32">
        <f t="shared" ca="1" si="115"/>
        <v>4.8874356044351739</v>
      </c>
      <c r="BL16" s="32">
        <f t="shared" ca="1" si="116"/>
        <v>3.7559726857646778</v>
      </c>
      <c r="BM16" s="32">
        <f t="shared" ca="1" si="117"/>
        <v>0.30521824522474816</v>
      </c>
      <c r="BN16" s="32">
        <f t="shared" ca="1" si="118"/>
        <v>1.4090246950087435</v>
      </c>
      <c r="BO16" s="32">
        <f t="shared" ca="1" si="119"/>
        <v>0.53229821811441425</v>
      </c>
      <c r="BP16" s="32">
        <f t="shared" ca="1" si="120"/>
        <v>3.912514066542593</v>
      </c>
      <c r="BQ16" s="32">
        <f t="shared" ca="1" si="121"/>
        <v>5.5066153210069126</v>
      </c>
      <c r="BR16" s="32">
        <f t="shared" ca="1" si="122"/>
        <v>0.79239352125655782</v>
      </c>
      <c r="BS16" s="32">
        <f t="shared" ca="1" si="123"/>
        <v>2.2231278521249065</v>
      </c>
      <c r="BT16" s="32">
        <f t="shared" ca="1" si="124"/>
        <v>1.9100112532340747</v>
      </c>
      <c r="BU16" s="32">
        <f t="shared" ca="1" si="125"/>
        <v>8.0944143475028731</v>
      </c>
      <c r="BV16" s="32">
        <f t="shared" ca="1" si="126"/>
        <v>3.8200255668490306</v>
      </c>
      <c r="BW16" s="32">
        <f t="shared" ca="1" si="127"/>
        <v>0.86869808256274472</v>
      </c>
      <c r="BX16" s="32">
        <f t="shared" ca="1" si="128"/>
        <v>5.208133478741944</v>
      </c>
      <c r="BY16" s="32">
        <f t="shared" ca="1" si="129"/>
        <v>2.8857603672197527</v>
      </c>
      <c r="BZ16" s="32">
        <f t="shared" ca="1" si="130"/>
        <v>7.1678572587769187</v>
      </c>
      <c r="CA16" s="32">
        <f t="shared" ca="1" si="131"/>
        <v>2.8857603672197527</v>
      </c>
      <c r="CB16" s="32">
        <f t="shared" ca="1" si="132"/>
        <v>3.4547076943913737</v>
      </c>
      <c r="CC16" s="32">
        <f t="shared" ca="1" si="133"/>
        <v>8.9937905970387231</v>
      </c>
      <c r="CD16" s="32">
        <f t="shared" ca="1" si="134"/>
        <v>3.4547076943913737</v>
      </c>
      <c r="CE16" s="32">
        <f t="shared" ca="1" si="135"/>
        <v>3.2069787430676993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27</v>
      </c>
      <c r="D17" s="132" t="str">
        <f>Plantilla!G18</f>
        <v>IMP</v>
      </c>
      <c r="E17" s="28">
        <f>Plantilla!M18</f>
        <v>43045</v>
      </c>
      <c r="F17" s="42">
        <f>Plantilla!Q18</f>
        <v>4</v>
      </c>
      <c r="G17" s="43">
        <f t="shared" si="68"/>
        <v>0.7559289460184544</v>
      </c>
      <c r="H17" s="43">
        <f t="shared" si="69"/>
        <v>0.84430867747355465</v>
      </c>
      <c r="I17" s="138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3.4248016125191882</v>
      </c>
      <c r="V17" s="41">
        <f t="shared" ca="1" si="74"/>
        <v>3.8252136464751558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Stanisław Zdankiewicz</v>
      </c>
      <c r="B18">
        <f>Plantilla!E19</f>
        <v>29</v>
      </c>
      <c r="C18" s="30">
        <f ca="1">Plantilla!F19</f>
        <v>61</v>
      </c>
      <c r="D18" s="132" t="str">
        <f>Plantilla!G19</f>
        <v>IMP</v>
      </c>
      <c r="E18" s="28">
        <f>Plantilla!M19</f>
        <v>43687</v>
      </c>
      <c r="F18" s="42">
        <f>Plantilla!Q19</f>
        <v>2</v>
      </c>
      <c r="G18" s="43">
        <f t="shared" si="68"/>
        <v>0.53452248382484879</v>
      </c>
      <c r="H18" s="43">
        <f t="shared" si="69"/>
        <v>0.65356167049702141</v>
      </c>
      <c r="I18" s="138">
        <f ca="1">Plantilla!N19</f>
        <v>0.11210737430592951</v>
      </c>
      <c r="J18" s="34">
        <f>Plantilla!I19</f>
        <v>8.9</v>
      </c>
      <c r="K18" s="41">
        <f>Plantilla!X19</f>
        <v>0</v>
      </c>
      <c r="L18" s="41">
        <f>Plantilla!Y19</f>
        <v>1</v>
      </c>
      <c r="M18" s="41">
        <f>Plantilla!Z19</f>
        <v>6</v>
      </c>
      <c r="N18" s="41">
        <f>Plantilla!AA19</f>
        <v>3</v>
      </c>
      <c r="O18" s="41">
        <f>Plantilla!AB19</f>
        <v>7</v>
      </c>
      <c r="P18" s="41">
        <f>Plantilla!AC19</f>
        <v>12</v>
      </c>
      <c r="Q18" s="41">
        <f>Plantilla!AD19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0.73655098479619208</v>
      </c>
      <c r="V18" s="41">
        <f t="shared" ca="1" si="74"/>
        <v>0.90058230775445469</v>
      </c>
      <c r="W18" s="32">
        <f t="shared" ca="1" si="75"/>
        <v>1.4789597055037551</v>
      </c>
      <c r="X18" s="32">
        <f t="shared" ca="1" si="76"/>
        <v>2.2039472850003978</v>
      </c>
      <c r="Y18" s="32">
        <f t="shared" ca="1" si="77"/>
        <v>1.4789597055037551</v>
      </c>
      <c r="Z18" s="32">
        <f t="shared" ca="1" si="78"/>
        <v>1.2270277297135597</v>
      </c>
      <c r="AA18" s="32">
        <f t="shared" ca="1" si="79"/>
        <v>2.3779607164991465</v>
      </c>
      <c r="AB18" s="32">
        <f t="shared" ca="1" si="80"/>
        <v>0.61351386485677983</v>
      </c>
      <c r="AC18" s="32">
        <f t="shared" ca="1" si="81"/>
        <v>1.7559546505267967</v>
      </c>
      <c r="AD18" s="32">
        <f t="shared" ca="1" si="82"/>
        <v>0.8988691508366774</v>
      </c>
      <c r="AE18" s="32">
        <f t="shared" ca="1" si="83"/>
        <v>1.7192655980288829</v>
      </c>
      <c r="AF18" s="32">
        <f t="shared" ca="1" si="84"/>
        <v>0.4494345754183387</v>
      </c>
      <c r="AG18" s="32">
        <f t="shared" ca="1" si="85"/>
        <v>2.8405148758521714</v>
      </c>
      <c r="AH18" s="32">
        <f t="shared" ca="1" si="86"/>
        <v>2.187723859179215</v>
      </c>
      <c r="AI18" s="32">
        <f t="shared" ca="1" si="87"/>
        <v>0.98447573663064658</v>
      </c>
      <c r="AJ18" s="32">
        <f t="shared" ca="1" si="88"/>
        <v>1.2321194396553574</v>
      </c>
      <c r="AK18" s="32">
        <f t="shared" ca="1" si="89"/>
        <v>2.574240901301498</v>
      </c>
      <c r="AL18" s="32">
        <f t="shared" ca="1" si="90"/>
        <v>1.7929823802403564</v>
      </c>
      <c r="AM18" s="32">
        <f t="shared" ca="1" si="91"/>
        <v>1.6835961872813956</v>
      </c>
      <c r="AN18" s="32">
        <f t="shared" ca="1" si="92"/>
        <v>0.23011943965535747</v>
      </c>
      <c r="AO18" s="32">
        <f t="shared" ca="1" si="93"/>
        <v>1.044852686351754</v>
      </c>
      <c r="AP18" s="32">
        <f t="shared" ca="1" si="94"/>
        <v>0.64204939345476963</v>
      </c>
      <c r="AQ18" s="32">
        <f t="shared" ca="1" si="95"/>
        <v>1.412508665600493</v>
      </c>
      <c r="AR18" s="32">
        <f t="shared" ca="1" si="96"/>
        <v>0.32102469672738482</v>
      </c>
      <c r="AS18" s="32">
        <f t="shared" ca="1" si="97"/>
        <v>6.9647949163751939</v>
      </c>
      <c r="AT18" s="32">
        <f t="shared" ca="1" si="98"/>
        <v>1.089134893144889</v>
      </c>
      <c r="AU18" s="32">
        <f t="shared" ca="1" si="99"/>
        <v>3.3197424899342503</v>
      </c>
      <c r="AV18" s="32">
        <f t="shared" ca="1" si="100"/>
        <v>0.54456744657244449</v>
      </c>
      <c r="AW18" s="32">
        <f t="shared" ca="1" si="101"/>
        <v>0.4494345754183387</v>
      </c>
      <c r="AX18" s="32">
        <f t="shared" ca="1" si="102"/>
        <v>0.9511842865996587</v>
      </c>
      <c r="AY18" s="32">
        <f t="shared" ca="1" si="103"/>
        <v>0.22471728770916935</v>
      </c>
      <c r="AZ18" s="32">
        <f t="shared" ca="1" si="104"/>
        <v>7.3779607164991461</v>
      </c>
      <c r="BA18" s="32">
        <f t="shared" ca="1" si="105"/>
        <v>2.1196240612742838</v>
      </c>
      <c r="BB18" s="32">
        <f t="shared" ca="1" si="106"/>
        <v>5.6662563547910301</v>
      </c>
      <c r="BC18" s="32">
        <f t="shared" ca="1" si="107"/>
        <v>1.0598120306371419</v>
      </c>
      <c r="BD18" s="32">
        <f t="shared" ca="1" si="108"/>
        <v>0.69198656850125162</v>
      </c>
      <c r="BE18" s="32">
        <f t="shared" ca="1" si="109"/>
        <v>0.8275303293417029</v>
      </c>
      <c r="BF18" s="32">
        <f t="shared" ca="1" si="110"/>
        <v>6.4999833912357481</v>
      </c>
      <c r="BG18" s="32">
        <f t="shared" ca="1" si="111"/>
        <v>5.1520070769677409</v>
      </c>
      <c r="BH18" s="32">
        <f t="shared" ca="1" si="112"/>
        <v>2.0190885326762942</v>
      </c>
      <c r="BI18" s="32">
        <f t="shared" ca="1" si="113"/>
        <v>1.153310947502086</v>
      </c>
      <c r="BJ18" s="32">
        <f t="shared" ca="1" si="114"/>
        <v>0.62778162915577473</v>
      </c>
      <c r="BK18" s="32">
        <f t="shared" ca="1" si="115"/>
        <v>2.8110030329861746</v>
      </c>
      <c r="BL18" s="32">
        <f t="shared" ca="1" si="116"/>
        <v>4.630337666220254</v>
      </c>
      <c r="BM18" s="32">
        <f t="shared" ca="1" si="117"/>
        <v>0.43565395725795558</v>
      </c>
      <c r="BN18" s="32">
        <f t="shared" ca="1" si="118"/>
        <v>0.42803292896984635</v>
      </c>
      <c r="BO18" s="32">
        <f t="shared" ca="1" si="119"/>
        <v>0.16170132872194198</v>
      </c>
      <c r="BP18" s="32">
        <f t="shared" ca="1" si="120"/>
        <v>2.2502780185322395</v>
      </c>
      <c r="BQ18" s="32">
        <f t="shared" ca="1" si="121"/>
        <v>6.774057481417902</v>
      </c>
      <c r="BR18" s="32">
        <f t="shared" ca="1" si="122"/>
        <v>1.1310246967273847</v>
      </c>
      <c r="BS18" s="32">
        <f t="shared" ca="1" si="123"/>
        <v>0.67534084348575751</v>
      </c>
      <c r="BT18" s="32">
        <f t="shared" ca="1" si="124"/>
        <v>0.58022241482579173</v>
      </c>
      <c r="BU18" s="32">
        <f t="shared" ca="1" si="125"/>
        <v>4.6554932121109616</v>
      </c>
      <c r="BV18" s="32">
        <f t="shared" ca="1" si="126"/>
        <v>4.690274841266735</v>
      </c>
      <c r="BW18" s="32">
        <f t="shared" ca="1" si="127"/>
        <v>1.2399381860418737</v>
      </c>
      <c r="BX18" s="32">
        <f t="shared" ca="1" si="128"/>
        <v>2.9954520508986535</v>
      </c>
      <c r="BY18" s="32">
        <f t="shared" ca="1" si="129"/>
        <v>4.4239175332960556</v>
      </c>
      <c r="BZ18" s="32">
        <f t="shared" ca="1" si="130"/>
        <v>12.348583766778038</v>
      </c>
      <c r="CA18" s="32">
        <f t="shared" ca="1" si="131"/>
        <v>4.4239175332960556</v>
      </c>
      <c r="CB18" s="32">
        <f t="shared" ca="1" si="132"/>
        <v>5.6354695263789685</v>
      </c>
      <c r="CC18" s="32">
        <f t="shared" ca="1" si="133"/>
        <v>16.469428220887334</v>
      </c>
      <c r="CD18" s="32">
        <f t="shared" ca="1" si="134"/>
        <v>5.6354695263789685</v>
      </c>
      <c r="CE18" s="32">
        <f t="shared" ca="1" si="135"/>
        <v>1.8444901791247865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102</v>
      </c>
      <c r="D19" s="132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8">
        <f ca="1">Plantilla!N20</f>
        <v>0.89189741911905607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13.856568019863381</v>
      </c>
      <c r="V19" s="41">
        <f t="shared" ca="1" si="74"/>
        <v>14.956109655983477</v>
      </c>
      <c r="W19" s="32">
        <f t="shared" ca="1" si="75"/>
        <v>3.373019936608181</v>
      </c>
      <c r="X19" s="32">
        <f t="shared" ca="1" si="76"/>
        <v>5.0891440299669659</v>
      </c>
      <c r="Y19" s="32">
        <f t="shared" ca="1" si="77"/>
        <v>3.373019936608181</v>
      </c>
      <c r="Z19" s="32">
        <f t="shared" ca="1" si="78"/>
        <v>4.1108708903663471</v>
      </c>
      <c r="AA19" s="32">
        <f t="shared" ca="1" si="79"/>
        <v>7.9668040510975722</v>
      </c>
      <c r="AB19" s="32">
        <f t="shared" ca="1" si="80"/>
        <v>2.0554354451831736</v>
      </c>
      <c r="AC19" s="32">
        <f t="shared" ca="1" si="81"/>
        <v>0.94409936416122209</v>
      </c>
      <c r="AD19" s="32">
        <f t="shared" ca="1" si="82"/>
        <v>3.0114519313148822</v>
      </c>
      <c r="AE19" s="32">
        <f t="shared" ca="1" si="83"/>
        <v>5.7599993289435441</v>
      </c>
      <c r="AF19" s="32">
        <f t="shared" ca="1" si="84"/>
        <v>1.5057259656574411</v>
      </c>
      <c r="AG19" s="32">
        <f t="shared" ca="1" si="85"/>
        <v>1.5272195596725653</v>
      </c>
      <c r="AH19" s="32">
        <f t="shared" ca="1" si="86"/>
        <v>7.329459727009767</v>
      </c>
      <c r="AI19" s="32">
        <f t="shared" ca="1" si="87"/>
        <v>3.2982568771543948</v>
      </c>
      <c r="AJ19" s="32">
        <f t="shared" ca="1" si="88"/>
        <v>0.66245627653329464</v>
      </c>
      <c r="AK19" s="32">
        <f t="shared" ca="1" si="89"/>
        <v>4.6844807820453722</v>
      </c>
      <c r="AL19" s="32">
        <f t="shared" ca="1" si="90"/>
        <v>6.0069702545275696</v>
      </c>
      <c r="AM19" s="32">
        <f t="shared" ca="1" si="91"/>
        <v>5.6404972681770804</v>
      </c>
      <c r="AN19" s="32">
        <f t="shared" ca="1" si="92"/>
        <v>2.4994562765332948</v>
      </c>
      <c r="AO19" s="32">
        <f t="shared" ca="1" si="93"/>
        <v>1.5464395667161006</v>
      </c>
      <c r="AP19" s="32">
        <f t="shared" ca="1" si="94"/>
        <v>2.1510370937963446</v>
      </c>
      <c r="AQ19" s="32">
        <f t="shared" ca="1" si="95"/>
        <v>4.7322816063519575</v>
      </c>
      <c r="AR19" s="32">
        <f t="shared" ca="1" si="96"/>
        <v>1.0755185468981723</v>
      </c>
      <c r="AS19" s="32">
        <f t="shared" ca="1" si="97"/>
        <v>3.7446630242361079</v>
      </c>
      <c r="AT19" s="32">
        <f t="shared" ca="1" si="98"/>
        <v>1.4401289710871288</v>
      </c>
      <c r="AU19" s="32">
        <f t="shared" ca="1" si="99"/>
        <v>3.2179569203049216</v>
      </c>
      <c r="AV19" s="32">
        <f t="shared" ca="1" si="100"/>
        <v>0.72006448554356439</v>
      </c>
      <c r="AW19" s="32">
        <f t="shared" ca="1" si="101"/>
        <v>1.5057259656574411</v>
      </c>
      <c r="AX19" s="32">
        <f t="shared" ca="1" si="102"/>
        <v>3.186721620439029</v>
      </c>
      <c r="AY19" s="32">
        <f t="shared" ca="1" si="103"/>
        <v>0.75286298282872055</v>
      </c>
      <c r="AZ19" s="32">
        <f t="shared" ca="1" si="104"/>
        <v>3.9668040510975722</v>
      </c>
      <c r="BA19" s="32">
        <f t="shared" ca="1" si="105"/>
        <v>2.802712536038797</v>
      </c>
      <c r="BB19" s="32">
        <f t="shared" ca="1" si="106"/>
        <v>6.0700979210436508</v>
      </c>
      <c r="BC19" s="32">
        <f t="shared" ca="1" si="107"/>
        <v>1.4013562680193985</v>
      </c>
      <c r="BD19" s="32">
        <f t="shared" ca="1" si="108"/>
        <v>2.3183399788693935</v>
      </c>
      <c r="BE19" s="32">
        <f t="shared" ca="1" si="109"/>
        <v>2.7724478097819549</v>
      </c>
      <c r="BF19" s="32">
        <f t="shared" ca="1" si="110"/>
        <v>3.4947543690169609</v>
      </c>
      <c r="BG19" s="32">
        <f t="shared" ca="1" si="111"/>
        <v>8.0624888014257401</v>
      </c>
      <c r="BH19" s="32">
        <f t="shared" ca="1" si="112"/>
        <v>2.6697775540922923</v>
      </c>
      <c r="BI19" s="32">
        <f t="shared" ca="1" si="113"/>
        <v>3.8638999647823224</v>
      </c>
      <c r="BJ19" s="32">
        <f t="shared" ca="1" si="114"/>
        <v>2.1032362694897593</v>
      </c>
      <c r="BK19" s="32">
        <f t="shared" ca="1" si="115"/>
        <v>1.511352343468175</v>
      </c>
      <c r="BL19" s="32">
        <f t="shared" ca="1" si="116"/>
        <v>7.5883200739926115</v>
      </c>
      <c r="BM19" s="32">
        <f t="shared" ca="1" si="117"/>
        <v>0.57605158843485149</v>
      </c>
      <c r="BN19" s="32">
        <f t="shared" ca="1" si="118"/>
        <v>1.434024729197563</v>
      </c>
      <c r="BO19" s="32">
        <f t="shared" ca="1" si="119"/>
        <v>0.54174267547463495</v>
      </c>
      <c r="BP19" s="32">
        <f t="shared" ca="1" si="120"/>
        <v>1.2098752355847595</v>
      </c>
      <c r="BQ19" s="32">
        <f t="shared" ca="1" si="121"/>
        <v>11.135087787489255</v>
      </c>
      <c r="BR19" s="32">
        <f t="shared" ca="1" si="122"/>
        <v>1.4955185468981722</v>
      </c>
      <c r="BS19" s="32">
        <f t="shared" ca="1" si="123"/>
        <v>2.2625723505117104</v>
      </c>
      <c r="BT19" s="32">
        <f t="shared" ca="1" si="124"/>
        <v>1.9439001884678075</v>
      </c>
      <c r="BU19" s="32">
        <f t="shared" ca="1" si="125"/>
        <v>2.5030533562425679</v>
      </c>
      <c r="BV19" s="32">
        <f t="shared" ca="1" si="126"/>
        <v>7.7307340701767711</v>
      </c>
      <c r="BW19" s="32">
        <f t="shared" ca="1" si="127"/>
        <v>1.6395314440068849</v>
      </c>
      <c r="BX19" s="32">
        <f t="shared" ca="1" si="128"/>
        <v>1.6105224447456143</v>
      </c>
      <c r="BY19" s="32">
        <f t="shared" ca="1" si="129"/>
        <v>5.3031326883996126</v>
      </c>
      <c r="BZ19" s="32">
        <f t="shared" ca="1" si="130"/>
        <v>12.379804694869199</v>
      </c>
      <c r="CA19" s="32">
        <f t="shared" ca="1" si="131"/>
        <v>5.3031326883996126</v>
      </c>
      <c r="CB19" s="32">
        <f t="shared" ca="1" si="132"/>
        <v>6.1720967016115651</v>
      </c>
      <c r="CC19" s="32">
        <f t="shared" ca="1" si="133"/>
        <v>15.004554745952575</v>
      </c>
      <c r="CD19" s="32">
        <f t="shared" ca="1" si="134"/>
        <v>6.1720967016115651</v>
      </c>
      <c r="CE19" s="32">
        <f t="shared" ca="1" si="135"/>
        <v>0.99170101277439304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77</v>
      </c>
      <c r="D20" s="132" t="str">
        <f>Plantilla!G21</f>
        <v>CAB</v>
      </c>
      <c r="E20" s="28">
        <f>Plantilla!M21</f>
        <v>43590</v>
      </c>
      <c r="F20" s="42">
        <f>Plantilla!Q21</f>
        <v>7</v>
      </c>
      <c r="G20" s="43">
        <f t="shared" ref="G20" si="138">(F20/7)^0.5</f>
        <v>1</v>
      </c>
      <c r="H20" s="43">
        <f t="shared" ref="H20" si="139">IF(F20=7,1,((F20+0.99)/7)^0.5)</f>
        <v>1</v>
      </c>
      <c r="I20" s="138">
        <f ca="1">Plantilla!N21</f>
        <v>0.48365320048545096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1.5211882009969759</v>
      </c>
      <c r="V20" s="41">
        <f t="shared" ca="1" si="74"/>
        <v>1.5211882009969759</v>
      </c>
      <c r="W20" s="32">
        <f t="shared" ca="1" si="75"/>
        <v>2.7079972994703603</v>
      </c>
      <c r="X20" s="32">
        <f t="shared" ca="1" si="76"/>
        <v>4.0888539674870961</v>
      </c>
      <c r="Y20" s="32">
        <f t="shared" ca="1" si="77"/>
        <v>2.7079972994703603</v>
      </c>
      <c r="Z20" s="32">
        <f t="shared" ca="1" si="78"/>
        <v>3.3649331117144397</v>
      </c>
      <c r="AA20" s="32">
        <f t="shared" ca="1" si="79"/>
        <v>6.5211882009969759</v>
      </c>
      <c r="AB20" s="32">
        <f t="shared" ca="1" si="80"/>
        <v>1.6824665558572198</v>
      </c>
      <c r="AC20" s="32">
        <f t="shared" ca="1" si="81"/>
        <v>1.7900427918372801</v>
      </c>
      <c r="AD20" s="32">
        <f t="shared" ca="1" si="82"/>
        <v>2.465009139976857</v>
      </c>
      <c r="AE20" s="32">
        <f t="shared" ca="1" si="83"/>
        <v>4.7148190693208134</v>
      </c>
      <c r="AF20" s="32">
        <f t="shared" ca="1" si="84"/>
        <v>1.2325045699884285</v>
      </c>
      <c r="AG20" s="32">
        <f t="shared" ca="1" si="85"/>
        <v>2.8956574573838356</v>
      </c>
      <c r="AH20" s="32">
        <f t="shared" ca="1" si="86"/>
        <v>5.999493144917218</v>
      </c>
      <c r="AI20" s="32">
        <f t="shared" ca="1" si="87"/>
        <v>2.699771915212748</v>
      </c>
      <c r="AJ20" s="32">
        <f t="shared" ca="1" si="88"/>
        <v>1.256038429566495</v>
      </c>
      <c r="AK20" s="32">
        <f t="shared" ca="1" si="89"/>
        <v>3.8344586621862216</v>
      </c>
      <c r="AL20" s="32">
        <f t="shared" ca="1" si="90"/>
        <v>4.9169759035517195</v>
      </c>
      <c r="AM20" s="32">
        <f t="shared" ca="1" si="91"/>
        <v>4.6170012463058585</v>
      </c>
      <c r="AN20" s="32">
        <f t="shared" ca="1" si="92"/>
        <v>0.25403842956649497</v>
      </c>
      <c r="AO20" s="32">
        <f t="shared" ca="1" si="93"/>
        <v>1.3843879161728432</v>
      </c>
      <c r="AP20" s="32">
        <f t="shared" ca="1" si="94"/>
        <v>1.7607208142691837</v>
      </c>
      <c r="AQ20" s="32">
        <f t="shared" ca="1" si="95"/>
        <v>3.8735857913922036</v>
      </c>
      <c r="AR20" s="32">
        <f t="shared" ca="1" si="96"/>
        <v>0.88036040713459185</v>
      </c>
      <c r="AS20" s="32">
        <f t="shared" ca="1" si="97"/>
        <v>7.1000016617411452</v>
      </c>
      <c r="AT20" s="32">
        <f t="shared" ca="1" si="98"/>
        <v>1.3863258947010355</v>
      </c>
      <c r="AU20" s="32">
        <f t="shared" ca="1" si="99"/>
        <v>3.6188510000349705</v>
      </c>
      <c r="AV20" s="32">
        <f t="shared" ca="1" si="100"/>
        <v>0.69316294735051776</v>
      </c>
      <c r="AW20" s="32">
        <f t="shared" ca="1" si="101"/>
        <v>1.2325045699884285</v>
      </c>
      <c r="AX20" s="32">
        <f t="shared" ca="1" si="102"/>
        <v>2.6084752803987907</v>
      </c>
      <c r="AY20" s="32">
        <f t="shared" ca="1" si="103"/>
        <v>0.61625228499421425</v>
      </c>
      <c r="AZ20" s="32">
        <f t="shared" ca="1" si="104"/>
        <v>7.5211882009969759</v>
      </c>
      <c r="BA20" s="32">
        <f t="shared" ca="1" si="105"/>
        <v>2.6980034719950918</v>
      </c>
      <c r="BB20" s="32">
        <f t="shared" ca="1" si="106"/>
        <v>6.4758889844636194</v>
      </c>
      <c r="BC20" s="32">
        <f t="shared" ca="1" si="107"/>
        <v>1.3490017359975459</v>
      </c>
      <c r="BD20" s="32">
        <f t="shared" ca="1" si="108"/>
        <v>1.89766576649012</v>
      </c>
      <c r="BE20" s="32">
        <f t="shared" ca="1" si="109"/>
        <v>2.2693734939469477</v>
      </c>
      <c r="BF20" s="32">
        <f t="shared" ca="1" si="110"/>
        <v>6.626166805078336</v>
      </c>
      <c r="BG20" s="32">
        <f t="shared" ca="1" si="111"/>
        <v>7.1023363106863115</v>
      </c>
      <c r="BH20" s="32">
        <f t="shared" ca="1" si="112"/>
        <v>2.5700349278688424</v>
      </c>
      <c r="BI20" s="32">
        <f t="shared" ca="1" si="113"/>
        <v>3.1627762774835331</v>
      </c>
      <c r="BJ20" s="32">
        <f t="shared" ca="1" si="114"/>
        <v>1.7215936850632017</v>
      </c>
      <c r="BK20" s="32">
        <f t="shared" ca="1" si="115"/>
        <v>2.865572704579848</v>
      </c>
      <c r="BL20" s="32">
        <f t="shared" ca="1" si="116"/>
        <v>6.5322327733856431</v>
      </c>
      <c r="BM20" s="32">
        <f t="shared" ca="1" si="117"/>
        <v>0.55453035788041416</v>
      </c>
      <c r="BN20" s="32">
        <f t="shared" ca="1" si="118"/>
        <v>1.1738138761794557</v>
      </c>
      <c r="BO20" s="32">
        <f t="shared" ca="1" si="119"/>
        <v>0.44344079766779437</v>
      </c>
      <c r="BP20" s="32">
        <f t="shared" ca="1" si="120"/>
        <v>2.2939624013040776</v>
      </c>
      <c r="BQ20" s="32">
        <f t="shared" ca="1" si="121"/>
        <v>9.571105169339253</v>
      </c>
      <c r="BR20" s="32">
        <f t="shared" ca="1" si="122"/>
        <v>1.439646121420306</v>
      </c>
      <c r="BS20" s="32">
        <f t="shared" ca="1" si="123"/>
        <v>1.8520174490831409</v>
      </c>
      <c r="BT20" s="32">
        <f t="shared" ca="1" si="124"/>
        <v>1.5911699210432622</v>
      </c>
      <c r="BU20" s="32">
        <f t="shared" ca="1" si="125"/>
        <v>4.7458697548290916</v>
      </c>
      <c r="BV20" s="32">
        <f t="shared" ca="1" si="126"/>
        <v>6.6360348684637218</v>
      </c>
      <c r="BW20" s="32">
        <f t="shared" ca="1" si="127"/>
        <v>1.5782787108904095</v>
      </c>
      <c r="BX20" s="32">
        <f t="shared" ca="1" si="128"/>
        <v>3.0536024096047725</v>
      </c>
      <c r="BY20" s="32">
        <f t="shared" ca="1" si="129"/>
        <v>5.3222533384337094</v>
      </c>
      <c r="BZ20" s="32">
        <f t="shared" ca="1" si="130"/>
        <v>13.673429342894023</v>
      </c>
      <c r="CA20" s="32">
        <f t="shared" ca="1" si="131"/>
        <v>5.3222533384337094</v>
      </c>
      <c r="CB20" s="32">
        <f t="shared" ca="1" si="132"/>
        <v>6.4709859635068305</v>
      </c>
      <c r="CC20" s="32">
        <f t="shared" ca="1" si="133"/>
        <v>17.456220932879145</v>
      </c>
      <c r="CD20" s="32">
        <f t="shared" ca="1" si="134"/>
        <v>6.4709859635068305</v>
      </c>
      <c r="CE20" s="32">
        <f t="shared" ca="1" si="135"/>
        <v>1.880297050249244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8" priority="20" operator="greaterThan">
      <formula>15</formula>
    </cfRule>
  </conditionalFormatting>
  <conditionalFormatting sqref="R3:R20">
    <cfRule type="cellIs" dxfId="7" priority="19" operator="greaterThan">
      <formula>3.2</formula>
    </cfRule>
  </conditionalFormatting>
  <conditionalFormatting sqref="S3:T20">
    <cfRule type="cellIs" dxfId="6" priority="18" operator="greaterThan">
      <formula>0.6</formula>
    </cfRule>
  </conditionalFormatting>
  <conditionalFormatting sqref="W3:AI20 AK3:AM20 AO3:BD20 BF3:CE20">
    <cfRule type="cellIs" dxfId="5" priority="17" operator="greaterThan">
      <formula>12.5</formula>
    </cfRule>
  </conditionalFormatting>
  <conditionalFormatting sqref="J3:J20">
    <cfRule type="cellIs" dxfId="4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373</v>
      </c>
      <c r="L1" s="132"/>
      <c r="M1" s="132"/>
      <c r="N1" s="132"/>
      <c r="W1" s="47"/>
    </row>
    <row r="2" spans="1:23" x14ac:dyDescent="0.25">
      <c r="B2" s="28">
        <v>43636</v>
      </c>
      <c r="L2" s="132"/>
      <c r="M2" s="132"/>
      <c r="N2" s="132"/>
      <c r="U2" s="139"/>
      <c r="W2" s="47"/>
    </row>
    <row r="3" spans="1:23" x14ac:dyDescent="0.25">
      <c r="A3" s="10" t="s">
        <v>374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0">
        <v>1</v>
      </c>
      <c r="M3" s="140">
        <v>0.5</v>
      </c>
      <c r="N3" s="10" t="s">
        <v>375</v>
      </c>
      <c r="O3" s="142" t="s">
        <v>376</v>
      </c>
      <c r="P3" s="142" t="s">
        <v>377</v>
      </c>
      <c r="Q3" s="142" t="s">
        <v>47</v>
      </c>
      <c r="R3" s="142" t="s">
        <v>378</v>
      </c>
      <c r="S3" s="141" t="s">
        <v>62</v>
      </c>
      <c r="T3" s="147" t="s">
        <v>379</v>
      </c>
      <c r="U3" s="74" t="s">
        <v>85</v>
      </c>
      <c r="W3" s="47"/>
    </row>
    <row r="4" spans="1:23" x14ac:dyDescent="0.25">
      <c r="A4" s="143" t="str">
        <f>Plantilla!A4</f>
        <v>#1</v>
      </c>
      <c r="B4" s="144" t="str">
        <f>Plantilla!D4</f>
        <v>Cosme Fonteboa</v>
      </c>
      <c r="C4" s="143">
        <f>Plantilla!E4</f>
        <v>22</v>
      </c>
      <c r="D4" s="146">
        <f ca="1">Plantilla!F4</f>
        <v>109</v>
      </c>
      <c r="E4" s="41">
        <f>Plantilla!X4</f>
        <v>15</v>
      </c>
      <c r="F4" s="41">
        <f>Plantilla!Y4</f>
        <v>11.111111111111111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5"/>
      <c r="M4" s="145"/>
      <c r="N4" s="145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3" t="str">
        <f>Plantilla!A5</f>
        <v>#19</v>
      </c>
      <c r="B5" s="144" t="str">
        <f>Plantilla!D5</f>
        <v>Nicolae Hornet</v>
      </c>
      <c r="C5" s="143">
        <f>Plantilla!E5</f>
        <v>23</v>
      </c>
      <c r="D5" s="146">
        <f ca="1">Plantilla!F5</f>
        <v>22</v>
      </c>
      <c r="E5" s="41">
        <f>Plantilla!X5</f>
        <v>6</v>
      </c>
      <c r="F5" s="41">
        <f>Plantilla!Y5</f>
        <v>4.75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5"/>
      <c r="M5" s="145"/>
      <c r="N5" s="145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3" t="str">
        <f>Plantilla!A6</f>
        <v>#2</v>
      </c>
      <c r="B6" s="144" t="str">
        <f>Plantilla!D6</f>
        <v>Miguel Fernández</v>
      </c>
      <c r="C6" s="143">
        <f>Plantilla!E6</f>
        <v>22</v>
      </c>
      <c r="D6" s="146">
        <f ca="1">Plantilla!F6</f>
        <v>106</v>
      </c>
      <c r="E6" s="41">
        <f>Plantilla!X6</f>
        <v>0</v>
      </c>
      <c r="F6" s="41">
        <f>Plantilla!Y6</f>
        <v>15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5">
        <f>1/3</f>
        <v>0.33333333333333331</v>
      </c>
      <c r="M6" s="145">
        <f t="shared" ref="M6:M15" si="0">L6/2</f>
        <v>0.16666666666666666</v>
      </c>
      <c r="N6" s="145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3" t="str">
        <f>Plantilla!A7</f>
        <v>#13</v>
      </c>
      <c r="B7" s="144" t="str">
        <f>Plantilla!D7</f>
        <v>Iván Real Figueroa</v>
      </c>
      <c r="C7" s="143">
        <f>Plantilla!E7</f>
        <v>22</v>
      </c>
      <c r="D7" s="146">
        <f ca="1">Plantilla!F7</f>
        <v>87</v>
      </c>
      <c r="E7" s="41">
        <f>Plantilla!X7</f>
        <v>0</v>
      </c>
      <c r="F7" s="41">
        <f>Plantilla!Y7</f>
        <v>14.9375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5">
        <f>1/4</f>
        <v>0.25</v>
      </c>
      <c r="M7" s="145">
        <f t="shared" si="0"/>
        <v>0.125</v>
      </c>
      <c r="N7" s="145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3" t="str">
        <f>Plantilla!A8</f>
        <v>#4</v>
      </c>
      <c r="B8" s="144" t="str">
        <f>Plantilla!D8</f>
        <v>Berto Abandero</v>
      </c>
      <c r="C8" s="143">
        <f>Plantilla!E8</f>
        <v>23</v>
      </c>
      <c r="D8" s="146">
        <f ca="1">Plantilla!F8</f>
        <v>25</v>
      </c>
      <c r="E8" s="41">
        <f>Plantilla!X8</f>
        <v>0</v>
      </c>
      <c r="F8" s="41">
        <f>Plantilla!Y8</f>
        <v>13.083333333333334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5">
        <f>1/4</f>
        <v>0.25</v>
      </c>
      <c r="M8" s="145">
        <f t="shared" si="0"/>
        <v>0.125</v>
      </c>
      <c r="N8" s="145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3" t="str">
        <f>Plantilla!A9</f>
        <v>#2</v>
      </c>
      <c r="B9" s="144" t="str">
        <f>Plantilla!D9</f>
        <v>Guillermo Pedrajas</v>
      </c>
      <c r="C9" s="143">
        <f>Plantilla!E9</f>
        <v>23</v>
      </c>
      <c r="D9" s="146">
        <f ca="1">Plantilla!F9</f>
        <v>10</v>
      </c>
      <c r="E9" s="41">
        <f>Plantilla!X9</f>
        <v>0</v>
      </c>
      <c r="F9" s="41">
        <f>Plantilla!Y9</f>
        <v>11.111111111111111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5">
        <f>1/3</f>
        <v>0.33333333333333331</v>
      </c>
      <c r="M9" s="145">
        <f t="shared" si="0"/>
        <v>0.16666666666666666</v>
      </c>
      <c r="N9" s="145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3" t="str">
        <f>Plantilla!A10</f>
        <v>#23</v>
      </c>
      <c r="B10" s="144">
        <f>Plantilla!D10</f>
        <v>0</v>
      </c>
      <c r="C10" s="143">
        <f>Plantilla!E10</f>
        <v>22</v>
      </c>
      <c r="D10" s="146">
        <f ca="1">Plantilla!F10</f>
        <v>98</v>
      </c>
      <c r="E10" s="41">
        <f>Plantilla!X10</f>
        <v>0</v>
      </c>
      <c r="F10" s="41">
        <f>Plantilla!Y10</f>
        <v>0</v>
      </c>
      <c r="G10" s="41">
        <f>Plantilla!Z10</f>
        <v>0</v>
      </c>
      <c r="H10" s="41">
        <f>Plantilla!AA10</f>
        <v>0</v>
      </c>
      <c r="I10" s="41">
        <f>Plantilla!AB10</f>
        <v>0</v>
      </c>
      <c r="J10" s="41">
        <f>Plantilla!AC10</f>
        <v>0</v>
      </c>
      <c r="K10" s="41">
        <f>Plantilla!AD10</f>
        <v>0</v>
      </c>
      <c r="L10" s="145"/>
      <c r="M10" s="145"/>
      <c r="N10" s="145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3" t="str">
        <f>Plantilla!A11</f>
        <v>#9</v>
      </c>
      <c r="B11" s="144" t="str">
        <f>Plantilla!D11</f>
        <v>Francesc Añigas</v>
      </c>
      <c r="C11" s="143">
        <f>Plantilla!E11</f>
        <v>22</v>
      </c>
      <c r="D11" s="146">
        <f ca="1">Plantilla!F11</f>
        <v>102</v>
      </c>
      <c r="E11" s="41">
        <f>Plantilla!X11</f>
        <v>0</v>
      </c>
      <c r="F11" s="41">
        <f>Plantilla!Y11</f>
        <v>12.4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5">
        <f>1/7</f>
        <v>0.14285714285714285</v>
      </c>
      <c r="M11" s="145">
        <f t="shared" si="0"/>
        <v>7.1428571428571425E-2</v>
      </c>
      <c r="N11" s="145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3" t="str">
        <f>Plantilla!A12</f>
        <v>#3</v>
      </c>
      <c r="B12" s="144" t="str">
        <f>Plantilla!D12</f>
        <v>Will Duffill</v>
      </c>
      <c r="C12" s="143">
        <f>Plantilla!E12</f>
        <v>22</v>
      </c>
      <c r="D12" s="146">
        <f ca="1">Plantilla!F12</f>
        <v>63</v>
      </c>
      <c r="E12" s="41">
        <f>Plantilla!X12</f>
        <v>0</v>
      </c>
      <c r="F12" s="41">
        <f>Plantilla!Y12</f>
        <v>11.555555555555555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5">
        <f>1/8</f>
        <v>0.125</v>
      </c>
      <c r="M12" s="145">
        <f t="shared" si="0"/>
        <v>6.25E-2</v>
      </c>
      <c r="N12" s="145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3" t="str">
        <f>Plantilla!A13</f>
        <v>#5</v>
      </c>
      <c r="B13" s="144" t="str">
        <f>Plantilla!D13</f>
        <v>Valeri Gomis</v>
      </c>
      <c r="C13" s="143">
        <f>Plantilla!E13</f>
        <v>22</v>
      </c>
      <c r="D13" s="146">
        <f ca="1">Plantilla!F13</f>
        <v>102</v>
      </c>
      <c r="E13" s="41">
        <f>Plantilla!X13</f>
        <v>0</v>
      </c>
      <c r="F13" s="41">
        <f>Plantilla!Y13</f>
        <v>11.222222222222221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5">
        <f>1/7</f>
        <v>0.14285714285714285</v>
      </c>
      <c r="M13" s="145">
        <f t="shared" si="0"/>
        <v>7.1428571428571425E-2</v>
      </c>
      <c r="N13" s="145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3" t="str">
        <f>Plantilla!A14</f>
        <v>#8</v>
      </c>
      <c r="B14" s="144" t="str">
        <f>Plantilla!D14</f>
        <v>Enrique Cubas</v>
      </c>
      <c r="C14" s="143">
        <f>Plantilla!E14</f>
        <v>22</v>
      </c>
      <c r="D14" s="146">
        <f ca="1">Plantilla!F14</f>
        <v>98</v>
      </c>
      <c r="E14" s="41">
        <f>Plantilla!X14</f>
        <v>0</v>
      </c>
      <c r="F14" s="41">
        <f>Plantilla!Y14</f>
        <v>9.8571428571428577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5">
        <f>1/9</f>
        <v>0.1111111111111111</v>
      </c>
      <c r="M14" s="145">
        <f t="shared" si="0"/>
        <v>5.5555555555555552E-2</v>
      </c>
      <c r="N14" s="145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3" t="str">
        <f>Plantilla!A15</f>
        <v>#11</v>
      </c>
      <c r="B15" s="144" t="str">
        <f>Plantilla!D15</f>
        <v>J. G. Peñuela</v>
      </c>
      <c r="C15" s="143">
        <f>Plantilla!E15</f>
        <v>22</v>
      </c>
      <c r="D15" s="146">
        <f ca="1">Plantilla!F15</f>
        <v>98</v>
      </c>
      <c r="E15" s="41">
        <f>Plantilla!X15</f>
        <v>0</v>
      </c>
      <c r="F15" s="41">
        <f>Plantilla!Y15</f>
        <v>10.25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5">
        <f>1/8</f>
        <v>0.125</v>
      </c>
      <c r="M15" s="145">
        <f t="shared" si="0"/>
        <v>6.25E-2</v>
      </c>
      <c r="N15" s="145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3" t="str">
        <f>Plantilla!A16</f>
        <v>#12</v>
      </c>
      <c r="B16" s="144" t="str">
        <f>Plantilla!D16</f>
        <v>David Garcia-Spiess</v>
      </c>
      <c r="C16" s="143">
        <f>Plantilla!E16</f>
        <v>30</v>
      </c>
      <c r="D16" s="146">
        <f ca="1">Plantilla!F16</f>
        <v>67</v>
      </c>
      <c r="E16" s="41">
        <f>Plantilla!X16</f>
        <v>0</v>
      </c>
      <c r="F16" s="41">
        <f>Plantilla!Y16</f>
        <v>9.1111111111111107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5"/>
      <c r="M16" s="145"/>
      <c r="N16" s="145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3" t="str">
        <f>Plantilla!A17</f>
        <v>#26</v>
      </c>
      <c r="B17" s="144" t="str">
        <f>Plantilla!D17</f>
        <v>Fabien Fabre</v>
      </c>
      <c r="C17" s="143">
        <f>Plantilla!E17</f>
        <v>31</v>
      </c>
      <c r="D17" s="146">
        <f ca="1">Plantilla!F17</f>
        <v>72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5"/>
      <c r="M17" s="145"/>
      <c r="N17" s="145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3" t="str">
        <f>Plantilla!A18</f>
        <v>#21</v>
      </c>
      <c r="B18" s="144" t="str">
        <f>Plantilla!D18</f>
        <v>Fernando Gazón</v>
      </c>
      <c r="C18" s="143">
        <f>Plantilla!E18</f>
        <v>23</v>
      </c>
      <c r="D18" s="146">
        <f ca="1">Plantilla!F18</f>
        <v>27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5"/>
      <c r="M18" s="145"/>
      <c r="N18" s="145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3" t="str">
        <f>Plantilla!A19</f>
        <v>#36</v>
      </c>
      <c r="B19" s="144" t="str">
        <f>Plantilla!D19</f>
        <v>Stanisław Zdankiewicz</v>
      </c>
      <c r="C19" s="143">
        <f>Plantilla!E19</f>
        <v>29</v>
      </c>
      <c r="D19" s="146">
        <f ca="1">Plantilla!F19</f>
        <v>61</v>
      </c>
      <c r="E19" s="41">
        <f>Plantilla!X19</f>
        <v>0</v>
      </c>
      <c r="F19" s="41">
        <f>Plantilla!Y19</f>
        <v>1</v>
      </c>
      <c r="G19" s="41">
        <f>Plantilla!Z19</f>
        <v>6</v>
      </c>
      <c r="H19" s="41">
        <f>Plantilla!AA19</f>
        <v>3</v>
      </c>
      <c r="I19" s="41">
        <f>Plantilla!AB19</f>
        <v>7</v>
      </c>
      <c r="J19" s="41">
        <f>Plantilla!AC19</f>
        <v>12</v>
      </c>
      <c r="K19" s="41">
        <f>Plantilla!AD19</f>
        <v>0</v>
      </c>
      <c r="L19" s="145"/>
      <c r="M19" s="145"/>
      <c r="N19" s="145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3" t="str">
        <f>Plantilla!A20</f>
        <v>#38</v>
      </c>
      <c r="B20" s="144" t="str">
        <f>Plantilla!D20</f>
        <v>Emilio Rojas</v>
      </c>
      <c r="C20" s="143">
        <f>Plantilla!E20</f>
        <v>31</v>
      </c>
      <c r="D20" s="146">
        <f ca="1">Plantilla!F20</f>
        <v>102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5"/>
      <c r="M20" s="145"/>
      <c r="N20" s="145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3" t="str">
        <f>Plantilla!A21</f>
        <v>#25</v>
      </c>
      <c r="B21" s="144" t="str">
        <f>Plantilla!D21</f>
        <v>Leo Hilpinen</v>
      </c>
      <c r="C21" s="143">
        <f>Plantilla!E21</f>
        <v>30</v>
      </c>
      <c r="D21" s="146">
        <f ca="1">Plantilla!F21</f>
        <v>77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5"/>
      <c r="M21" s="145"/>
      <c r="N21" s="145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2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2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2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2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2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2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2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2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2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2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2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2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2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2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2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705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712</v>
      </c>
      <c r="S2" s="37" t="s">
        <v>713</v>
      </c>
      <c r="T2" s="37" t="s">
        <v>714</v>
      </c>
      <c r="U2" s="37" t="s">
        <v>715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2"/>
      <c r="E3" s="50">
        <v>9700000</v>
      </c>
      <c r="F3" s="138">
        <f ca="1">Plantilla!N4</f>
        <v>0.89595496648943951</v>
      </c>
      <c r="G3" s="448">
        <f>Plantilla!V4</f>
        <v>27520</v>
      </c>
      <c r="H3" s="34">
        <f>Plantilla!I4</f>
        <v>5</v>
      </c>
      <c r="I3" s="41">
        <f>Plantilla!X4</f>
        <v>15</v>
      </c>
      <c r="J3" s="41">
        <f>Plantilla!Y4</f>
        <v>11.111111111111111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13.617436437459071</v>
      </c>
      <c r="Q3" s="32">
        <f t="shared" ref="Q3:Q10" ca="1" si="1">((I3+F3+(LOG(H3)*4/3))*0.866)+((J3+F3+(LOG(H3)*4/3))*0.425)</f>
        <v>20.072060451423823</v>
      </c>
      <c r="R3">
        <v>51.5</v>
      </c>
      <c r="S3">
        <v>45</v>
      </c>
      <c r="T3">
        <v>0</v>
      </c>
      <c r="U3">
        <v>-1</v>
      </c>
      <c r="V3" s="132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2"/>
      <c r="E4" s="50"/>
      <c r="F4" s="138">
        <f ca="1">Plantilla!N5</f>
        <v>1</v>
      </c>
      <c r="G4" s="448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4.75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5.9360930335294695</v>
      </c>
      <c r="Q4" s="32">
        <f t="shared" ca="1" si="1"/>
        <v>8.757285058747474</v>
      </c>
      <c r="R4">
        <v>7.5</v>
      </c>
      <c r="S4">
        <v>9</v>
      </c>
      <c r="T4">
        <v>0</v>
      </c>
      <c r="U4">
        <v>-1</v>
      </c>
      <c r="V4" s="132">
        <f t="shared" ref="V4:V10" si="2">U4+T4+S4+R4</f>
        <v>15.5</v>
      </c>
    </row>
    <row r="5" spans="1:22" x14ac:dyDescent="0.25">
      <c r="A5" t="s">
        <v>716</v>
      </c>
      <c r="B5">
        <v>23</v>
      </c>
      <c r="C5">
        <v>96</v>
      </c>
      <c r="E5" s="50">
        <v>8000000</v>
      </c>
      <c r="F5" s="138">
        <f ca="1">$F$3</f>
        <v>0.89595496648943951</v>
      </c>
      <c r="G5" s="448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13.451463889369002</v>
      </c>
      <c r="Q5" s="32">
        <f t="shared" ca="1" si="1"/>
        <v>19.774200322079473</v>
      </c>
      <c r="R5">
        <v>61.5</v>
      </c>
      <c r="S5">
        <v>30</v>
      </c>
      <c r="T5">
        <v>0</v>
      </c>
      <c r="U5">
        <v>10</v>
      </c>
      <c r="V5" s="132">
        <f t="shared" si="2"/>
        <v>101.5</v>
      </c>
    </row>
    <row r="6" spans="1:22" x14ac:dyDescent="0.25">
      <c r="A6" t="s">
        <v>717</v>
      </c>
      <c r="B6">
        <v>23</v>
      </c>
      <c r="C6">
        <v>53</v>
      </c>
      <c r="E6" s="50">
        <v>9282257</v>
      </c>
      <c r="F6" s="138">
        <f t="shared" ref="F6:F10" ca="1" si="3">$F$3</f>
        <v>0.89595496648943951</v>
      </c>
      <c r="G6" s="448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12.220490592382458</v>
      </c>
      <c r="Q6" s="32">
        <f t="shared" ca="1" si="1"/>
        <v>17.869582307864551</v>
      </c>
      <c r="R6">
        <v>61.5</v>
      </c>
      <c r="S6">
        <v>6</v>
      </c>
      <c r="T6">
        <v>0</v>
      </c>
      <c r="U6">
        <v>14</v>
      </c>
      <c r="V6" s="132">
        <f t="shared" si="2"/>
        <v>81.5</v>
      </c>
    </row>
    <row r="7" spans="1:22" x14ac:dyDescent="0.25">
      <c r="A7" t="s">
        <v>718</v>
      </c>
      <c r="B7">
        <v>23</v>
      </c>
      <c r="C7">
        <v>18</v>
      </c>
      <c r="D7" t="s">
        <v>192</v>
      </c>
      <c r="E7" s="50">
        <v>9000000</v>
      </c>
      <c r="F7" s="138">
        <f t="shared" ca="1" si="3"/>
        <v>0.89595496648943951</v>
      </c>
      <c r="G7" s="448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12.999780370723279</v>
      </c>
      <c r="Q7" s="32">
        <f t="shared" ca="1" si="1"/>
        <v>19.173641991527781</v>
      </c>
      <c r="R7">
        <v>43.5</v>
      </c>
      <c r="S7">
        <v>46</v>
      </c>
      <c r="T7">
        <v>10</v>
      </c>
      <c r="U7">
        <v>2</v>
      </c>
      <c r="V7" s="132">
        <f t="shared" si="2"/>
        <v>101.5</v>
      </c>
    </row>
    <row r="8" spans="1:22" x14ac:dyDescent="0.25">
      <c r="A8" t="s">
        <v>719</v>
      </c>
      <c r="B8">
        <v>23</v>
      </c>
      <c r="C8">
        <v>14</v>
      </c>
      <c r="E8" s="50">
        <v>10250000</v>
      </c>
      <c r="F8" s="138">
        <f t="shared" ca="1" si="3"/>
        <v>0.89595496648943951</v>
      </c>
      <c r="G8" s="448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14.242525968039921</v>
      </c>
      <c r="Q8" s="32">
        <f t="shared" ca="1" si="1"/>
        <v>20.826088229942197</v>
      </c>
      <c r="R8">
        <v>106</v>
      </c>
      <c r="S8">
        <v>10</v>
      </c>
      <c r="T8">
        <v>0</v>
      </c>
      <c r="U8">
        <v>0</v>
      </c>
      <c r="V8" s="132">
        <f t="shared" si="2"/>
        <v>116</v>
      </c>
    </row>
    <row r="9" spans="1:22" x14ac:dyDescent="0.25">
      <c r="B9">
        <v>20</v>
      </c>
      <c r="C9">
        <v>25</v>
      </c>
      <c r="E9" s="50"/>
      <c r="F9" s="138">
        <f t="shared" ca="1" si="3"/>
        <v>0.89595496648943951</v>
      </c>
      <c r="G9" s="448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6.1977987478304382</v>
      </c>
      <c r="Q9" s="32">
        <f t="shared" ca="1" si="1"/>
        <v>9.1148123521753668</v>
      </c>
      <c r="R9">
        <v>7.5</v>
      </c>
      <c r="S9">
        <v>9</v>
      </c>
      <c r="T9">
        <v>0</v>
      </c>
      <c r="U9">
        <v>-1</v>
      </c>
      <c r="V9" s="132">
        <f t="shared" si="2"/>
        <v>15.5</v>
      </c>
    </row>
    <row r="10" spans="1:22" x14ac:dyDescent="0.25">
      <c r="B10">
        <v>21</v>
      </c>
      <c r="C10">
        <v>82</v>
      </c>
      <c r="E10" s="50"/>
      <c r="F10" s="138">
        <f t="shared" ca="1" si="3"/>
        <v>0.89595496648943951</v>
      </c>
      <c r="G10" s="448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7.6971976627833136</v>
      </c>
      <c r="Q10" s="32">
        <f t="shared" ca="1" si="1"/>
        <v>11.348985318044969</v>
      </c>
      <c r="R10">
        <v>7.5</v>
      </c>
      <c r="S10">
        <v>9</v>
      </c>
      <c r="T10">
        <v>0</v>
      </c>
      <c r="U10">
        <v>-1</v>
      </c>
      <c r="V10" s="132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10" sqref="A1:T10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2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705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2"/>
      <c r="E3" s="50"/>
      <c r="F3" s="42">
        <f>Plantilla!Q4</f>
        <v>6</v>
      </c>
      <c r="G3" s="43">
        <f t="shared" ref="G3:G4" si="0">(F3/7)^0.5</f>
        <v>0.92582009977255142</v>
      </c>
      <c r="H3" s="43">
        <f t="shared" ref="H3:H4" si="1">IF(F3=7,1,((F3+0.99)/7)^0.5)</f>
        <v>0.99928545900129484</v>
      </c>
      <c r="I3" s="43"/>
      <c r="J3" s="138">
        <f ca="1">Plantilla!N4</f>
        <v>0.89595496648943951</v>
      </c>
      <c r="K3" s="34">
        <f>Plantilla!I4</f>
        <v>5</v>
      </c>
      <c r="L3" s="41">
        <f>Plantilla!X4</f>
        <v>15</v>
      </c>
      <c r="M3" s="41">
        <f>Plantilla!Y4</f>
        <v>11.111111111111111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13.617436437459071</v>
      </c>
      <c r="T3" s="32">
        <f t="shared" ref="T3:T10" ca="1" si="3">((L3+J3+(LOG(K3)*4/3))*0.866)+((M3+J3+(LOG(K3)*4/3))*0.425)</f>
        <v>20.072060451423823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2"/>
      <c r="E4" s="50"/>
      <c r="F4" s="42">
        <f>Plantilla!Q5</f>
        <v>6</v>
      </c>
      <c r="G4" s="43">
        <f t="shared" si="0"/>
        <v>0.92582009977255142</v>
      </c>
      <c r="H4" s="43">
        <f t="shared" si="1"/>
        <v>0.99928545900129484</v>
      </c>
      <c r="I4" s="43"/>
      <c r="J4" s="138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4.75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5.9360930335294695</v>
      </c>
      <c r="T4" s="32">
        <f t="shared" ca="1" si="3"/>
        <v>8.757285058747474</v>
      </c>
    </row>
    <row r="5" spans="1:21" x14ac:dyDescent="0.25">
      <c r="A5" t="s">
        <v>704</v>
      </c>
      <c r="B5">
        <v>19</v>
      </c>
      <c r="C5">
        <v>34</v>
      </c>
      <c r="E5" s="50">
        <v>1100000</v>
      </c>
      <c r="I5">
        <v>2150</v>
      </c>
      <c r="J5" s="138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706</v>
      </c>
      <c r="B6">
        <v>19</v>
      </c>
      <c r="C6">
        <v>33</v>
      </c>
      <c r="E6" s="50">
        <v>1050000</v>
      </c>
      <c r="I6">
        <v>2390</v>
      </c>
      <c r="J6" s="138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707</v>
      </c>
      <c r="B7">
        <v>19</v>
      </c>
      <c r="C7">
        <v>78</v>
      </c>
      <c r="E7" s="50">
        <v>1849000</v>
      </c>
      <c r="I7">
        <v>3670</v>
      </c>
      <c r="J7" s="138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708</v>
      </c>
      <c r="B8">
        <v>20</v>
      </c>
      <c r="C8">
        <v>52</v>
      </c>
      <c r="E8" s="50">
        <v>1198000</v>
      </c>
      <c r="I8">
        <v>2330</v>
      </c>
      <c r="J8" s="138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709</v>
      </c>
      <c r="B9">
        <v>20</v>
      </c>
      <c r="C9">
        <v>25</v>
      </c>
      <c r="E9" s="50">
        <v>750000</v>
      </c>
      <c r="I9">
        <v>1730</v>
      </c>
      <c r="J9" s="138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710</v>
      </c>
      <c r="B10">
        <v>21</v>
      </c>
      <c r="C10">
        <v>82</v>
      </c>
      <c r="D10" t="s">
        <v>711</v>
      </c>
      <c r="E10" s="50">
        <v>900000</v>
      </c>
      <c r="I10">
        <v>650</v>
      </c>
      <c r="J10" s="138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8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8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8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7" sqref="F7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6" width="7" bestFit="1" customWidth="1"/>
    <col min="37" max="37" width="8" bestFit="1" customWidth="1"/>
    <col min="38" max="38" width="8.1406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43698</v>
      </c>
      <c r="I2" s="29">
        <f>AVERAGE(I4:I21)</f>
        <v>4.7294117647058824</v>
      </c>
      <c r="J2" s="29"/>
      <c r="N2" s="32">
        <f ca="1">AVERAGE(N4:N21)</f>
        <v>0.88609719372678408</v>
      </c>
      <c r="O2" s="29">
        <f>AVERAGE(O4:O21)</f>
        <v>5.8529411764705879</v>
      </c>
      <c r="Q2" s="29">
        <f>AVERAGE(Q4:Q21)</f>
        <v>5.5294117647058822</v>
      </c>
      <c r="R2" s="64">
        <f>AVERAGE(R4:R21)</f>
        <v>0.83304943794690578</v>
      </c>
      <c r="S2" s="64">
        <f>AVERAGE(S4:S21)</f>
        <v>0.92006666890846689</v>
      </c>
      <c r="T2" s="33">
        <f>SUM(T4:T21)</f>
        <v>1154940</v>
      </c>
      <c r="U2" s="33">
        <f>SUM(U4:U21)</f>
        <v>37110</v>
      </c>
      <c r="V2" s="33">
        <f>SUM(V4:V21)</f>
        <v>175618</v>
      </c>
      <c r="W2" s="34">
        <f>T2/V2</f>
        <v>6.5764329396758878</v>
      </c>
      <c r="AD2" s="32">
        <f>AVERAGE(AD5:AD21)</f>
        <v>4.1875</v>
      </c>
      <c r="AE2" s="30">
        <f>AVERAGE(AE5:AE21)</f>
        <v>102.36750000000001</v>
      </c>
      <c r="AF2" s="30">
        <f>AVERAGE(AF5:AF21)</f>
        <v>2028.5555555555557</v>
      </c>
      <c r="AG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370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242</v>
      </c>
      <c r="AF3" s="10" t="s">
        <v>193</v>
      </c>
      <c r="AG3" s="14" t="s">
        <v>21</v>
      </c>
      <c r="AH3" s="14" t="s">
        <v>25</v>
      </c>
      <c r="AI3" s="14" t="s">
        <v>26</v>
      </c>
      <c r="AJ3" s="14" t="s">
        <v>68</v>
      </c>
      <c r="AK3" s="14" t="s">
        <v>99</v>
      </c>
      <c r="AL3" s="14" t="s">
        <v>100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11.026785714285714</v>
      </c>
      <c r="D4" s="443" t="s">
        <v>359</v>
      </c>
      <c r="E4" s="1">
        <v>22</v>
      </c>
      <c r="F4" s="2">
        <f ca="1">$D$2-$D$1-1097-112-112</f>
        <v>109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2">
        <v>43415</v>
      </c>
      <c r="N4" s="73">
        <f t="shared" ref="N4:N9" ca="1" si="0">IF((TODAY()-M4)&gt;335,1,((TODAY()-M4)^0.64)/(336^0.64))</f>
        <v>0.89595496648943951</v>
      </c>
      <c r="O4" s="24">
        <v>6.5</v>
      </c>
      <c r="P4" s="19">
        <f>O4*10+19</f>
        <v>84</v>
      </c>
      <c r="Q4" s="25">
        <v>6</v>
      </c>
      <c r="R4" s="63">
        <f>(Q4/7)^0.5</f>
        <v>0.92582009977255142</v>
      </c>
      <c r="S4" s="63">
        <f>IF(Q4=7,1,((Q4+0.99)/7)^0.5)</f>
        <v>0.99928545900129484</v>
      </c>
      <c r="T4" s="27">
        <v>71810</v>
      </c>
      <c r="U4" s="27">
        <f t="shared" ref="U4:U21" si="1">T4-AT4</f>
        <v>620</v>
      </c>
      <c r="V4" s="7">
        <v>27520</v>
      </c>
      <c r="W4" s="8">
        <f>T4/V4</f>
        <v>2.609375</v>
      </c>
      <c r="X4" s="20">
        <v>15</v>
      </c>
      <c r="Y4" s="21">
        <f>11+1/9</f>
        <v>11.111111111111111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100.5</v>
      </c>
      <c r="AF4" s="9">
        <v>1746</v>
      </c>
      <c r="AG4" s="8">
        <f t="shared" ref="AG4:AG21" ca="1" si="2">(((Y4+LOG(I4)*4/3+N4)+(AB4+LOG(I4)*4/3+N4)*2)/8)*(Q4/7)^0.5</f>
        <v>1.9204814079354082</v>
      </c>
      <c r="AH4" s="22">
        <f t="shared" ref="AH4" ca="1" si="3">(AD4+1+(LOG(I4)*4/3)+N4)*(Q4/7)^0.5</f>
        <v>3.5439606215485937</v>
      </c>
      <c r="AI4" s="22">
        <f t="shared" ref="AI4" ca="1" si="4">(AD4+1+N4+(LOG(I4)*4/3))*(IF(Q4=7, (Q4/7)^0.5, ((Q4+1)/7)^0.5))</f>
        <v>3.8279149722707979</v>
      </c>
      <c r="AJ4" s="22">
        <f t="shared" ref="AJ4" ca="1" si="5">(Z4+N4+(LOG(I4)*4/3))</f>
        <v>1.8279149722707979</v>
      </c>
      <c r="AK4" s="68">
        <f t="shared" ref="AK4" ca="1" si="6">(Z4+N4+(LOG(I4)*4/3))*(Q4/7)^0.5</f>
        <v>1.6923204220034906</v>
      </c>
      <c r="AL4" s="68">
        <f t="shared" ref="AL4" ca="1" si="7">(Z4+N4+(LOG(I4)*4/3))*(IF(Q4=7, (Q4/7)^0.5, ((Q4+1)/7)^0.5))</f>
        <v>1.8279149722707979</v>
      </c>
      <c r="AM4" s="8">
        <f t="shared" ref="AM4:AM21" ca="1" si="8">(AD4+LOG(I4)*4/3+N4)*0.7+(AC4+LOG(I4)*4/3+N4)*0.3</f>
        <v>2.8279149722707979</v>
      </c>
      <c r="AN4" s="8">
        <f t="shared" ref="AN4:AN21" ca="1" si="9">(0.5*(AC4+LOG(I4)*4/3+N4)+ 0.3*(AD4+LOG(I4)*4/3+N4))/10</f>
        <v>0.22623319778166384</v>
      </c>
      <c r="AO4" s="8">
        <f t="shared" ref="AO4:AO21" ca="1" si="10">(0.4*(Y4+LOG(I4)*4/3+N4)+0.3*(AD4+LOG(I4)*4/3+N4))/10</f>
        <v>0.60239849250340027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71190</v>
      </c>
    </row>
    <row r="5" spans="1:46" x14ac:dyDescent="0.25">
      <c r="A5" s="15" t="s">
        <v>358</v>
      </c>
      <c r="B5" s="15" t="s">
        <v>27</v>
      </c>
      <c r="C5" s="69">
        <f t="shared" ref="C5:C21" ca="1" si="11">((34*112)-(E5*112)-(F5))/112</f>
        <v>10.803571428571429</v>
      </c>
      <c r="D5" s="121" t="s">
        <v>337</v>
      </c>
      <c r="E5" s="16">
        <v>23</v>
      </c>
      <c r="F5" s="2">
        <f ca="1">$D$2-$D$1-880+32-112-112-112-112-112</f>
        <v>22</v>
      </c>
      <c r="G5" s="17"/>
      <c r="H5" s="107">
        <v>5</v>
      </c>
      <c r="I5" s="26">
        <v>1.4</v>
      </c>
      <c r="J5" s="21">
        <f t="shared" ref="J5:J9" si="12">LOG(I5)*4/3</f>
        <v>0.19483738090431735</v>
      </c>
      <c r="K5" s="6">
        <f t="shared" ref="K5:K9" si="13">(H5)*(H5)*(I5)</f>
        <v>35</v>
      </c>
      <c r="L5" s="6">
        <f t="shared" ref="L5:L9" si="14">(H5+1)*(H5+1)*I5</f>
        <v>50.4</v>
      </c>
      <c r="M5" s="72">
        <v>43190</v>
      </c>
      <c r="N5" s="73">
        <f t="shared" ca="1" si="0"/>
        <v>1</v>
      </c>
      <c r="O5" s="18">
        <v>6</v>
      </c>
      <c r="P5" s="19">
        <f t="shared" ref="P5:P9" si="15">O5*10+19</f>
        <v>79</v>
      </c>
      <c r="Q5" s="25">
        <v>6</v>
      </c>
      <c r="R5" s="63">
        <f t="shared" ref="R5:R9" si="16">(Q5/7)^0.5</f>
        <v>0.92582009977255142</v>
      </c>
      <c r="S5" s="63">
        <f t="shared" ref="S5:S9" si="17">IF(Q5=7,1,((Q5+0.99)/7)^0.5)</f>
        <v>0.99928545900129484</v>
      </c>
      <c r="T5" s="27">
        <v>3290</v>
      </c>
      <c r="U5" s="27">
        <f t="shared" si="1"/>
        <v>80</v>
      </c>
      <c r="V5" s="27">
        <v>1170</v>
      </c>
      <c r="W5" s="8">
        <f t="shared" ref="W5:W9" si="18">T5/V5</f>
        <v>2.8119658119658117</v>
      </c>
      <c r="X5" s="20">
        <v>6</v>
      </c>
      <c r="Y5" s="21">
        <v>4.75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0.96453235794025594</v>
      </c>
      <c r="AH5" s="22">
        <f ca="1">(AD5+1+(LOG(I5)*4/3)+N5)*(Q5/7)^0.5</f>
        <v>2.9578446627459121</v>
      </c>
      <c r="AI5" s="22">
        <f ca="1">(AD5+1+N5+(LOG(I5)*4/3))*(IF(Q5=7, (Q5/7)^0.5, ((Q5+1)/7)^0.5))</f>
        <v>3.1948373809043176</v>
      </c>
      <c r="AJ5" s="22">
        <f ca="1">(Z5+N5+(LOG(I5)*4/3))</f>
        <v>1.1948373809043173</v>
      </c>
      <c r="AK5" s="68">
        <f ca="1">(Z5+N5+(LOG(I5)*4/3))*(Q5/7)^0.5</f>
        <v>1.106204463200809</v>
      </c>
      <c r="AL5" s="68">
        <f ca="1">(Z5+N5+(LOG(I5)*4/3))*(IF(Q5=7, (Q5/7)^0.5, ((Q5+1)/7)^0.5))</f>
        <v>1.1948373809043173</v>
      </c>
      <c r="AM5" s="8">
        <f t="shared" ca="1" si="8"/>
        <v>2.1948373809043176</v>
      </c>
      <c r="AN5" s="8">
        <f t="shared" ca="1" si="9"/>
        <v>0.17558699047234541</v>
      </c>
      <c r="AO5" s="8">
        <f t="shared" ca="1" si="10"/>
        <v>0.30363861666330222</v>
      </c>
      <c r="AP5" s="71">
        <f t="shared" ref="AP5:AP9" si="19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3210</v>
      </c>
    </row>
    <row r="6" spans="1:46" x14ac:dyDescent="0.25">
      <c r="A6" s="15" t="s">
        <v>31</v>
      </c>
      <c r="B6" s="23" t="s">
        <v>240</v>
      </c>
      <c r="C6" s="69">
        <f t="shared" ca="1" si="11"/>
        <v>11.053571428571429</v>
      </c>
      <c r="D6" s="443" t="s">
        <v>348</v>
      </c>
      <c r="E6" s="1">
        <v>22</v>
      </c>
      <c r="F6" s="2">
        <f ca="1">$D$2-$D$1-1100-112-112</f>
        <v>106</v>
      </c>
      <c r="G6" s="3"/>
      <c r="H6" s="107">
        <v>5</v>
      </c>
      <c r="I6" s="5">
        <v>2.8</v>
      </c>
      <c r="J6" s="21">
        <f t="shared" ref="J6" si="20">LOG(I6)*4/3</f>
        <v>0.59621070845629232</v>
      </c>
      <c r="K6" s="6">
        <f t="shared" ref="K6" si="21">(H6)*(H6)*(I6)</f>
        <v>70</v>
      </c>
      <c r="L6" s="6">
        <f t="shared" ref="L6" si="22">(H6+1)*(H6+1)*I6</f>
        <v>100.8</v>
      </c>
      <c r="M6" s="72">
        <v>43395</v>
      </c>
      <c r="N6" s="73">
        <f t="shared" ca="1" si="0"/>
        <v>0.93597908592588497</v>
      </c>
      <c r="O6" s="24">
        <v>6.1</v>
      </c>
      <c r="P6" s="19">
        <f t="shared" si="15"/>
        <v>80</v>
      </c>
      <c r="Q6" s="25">
        <v>4</v>
      </c>
      <c r="R6" s="63">
        <f t="shared" ref="R6" si="23">(Q6/7)^0.5</f>
        <v>0.7559289460184544</v>
      </c>
      <c r="S6" s="63">
        <f t="shared" ref="S6" si="24">IF(Q6=7,1,((Q6+0.99)/7)^0.5)</f>
        <v>0.84430867747355465</v>
      </c>
      <c r="T6" s="27">
        <v>91570</v>
      </c>
      <c r="U6" s="27">
        <f t="shared" si="1"/>
        <v>10010</v>
      </c>
      <c r="V6" s="7">
        <v>18250</v>
      </c>
      <c r="W6" s="8">
        <f t="shared" ref="W6" si="25">T6/V6</f>
        <v>5.0175342465753427</v>
      </c>
      <c r="X6" s="20">
        <v>0</v>
      </c>
      <c r="Y6" s="21">
        <f>15+0/16</f>
        <v>15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120</v>
      </c>
      <c r="AF6" s="9">
        <v>2033</v>
      </c>
      <c r="AG6" s="8">
        <f t="shared" ca="1" si="2"/>
        <v>2.9855951739501152</v>
      </c>
      <c r="AH6" s="22">
        <f t="shared" ref="AH6" ca="1" si="26">(AD6+1+(LOG(I6)*4/3)+N6)*(Q6/7)^0.5</f>
        <v>2.6700845084044609</v>
      </c>
      <c r="AI6" s="22">
        <f t="shared" ref="AI6" ca="1" si="27">(AD6+1+N6+(LOG(I6)*4/3))*(IF(Q6=7, (Q6/7)^0.5, ((Q6+1)/7)^0.5))</f>
        <v>2.9852452332307413</v>
      </c>
      <c r="AJ6" s="22">
        <f t="shared" ref="AJ6" ca="1" si="28">(Z6+N6+(LOG(I6)*4/3))</f>
        <v>6.5321897943821767</v>
      </c>
      <c r="AK6" s="68">
        <f t="shared" ref="AK6" ca="1" si="29">(Z6+N6+(LOG(I6)*4/3))*(Q6/7)^0.5</f>
        <v>4.937871346459823</v>
      </c>
      <c r="AL6" s="68">
        <f t="shared" ref="AL6" ca="1" si="30">(Z6+N6+(LOG(I6)*4/3))*(IF(Q6=7, (Q6/7)^0.5, ((Q6+1)/7)^0.5))</f>
        <v>5.5207079974162907</v>
      </c>
      <c r="AM6" s="8">
        <f t="shared" ca="1" si="8"/>
        <v>2.8321897943821774</v>
      </c>
      <c r="AN6" s="8">
        <f t="shared" ca="1" si="9"/>
        <v>0.25257518355057418</v>
      </c>
      <c r="AO6" s="8">
        <f t="shared" ca="1" si="10"/>
        <v>0.73725328560675241</v>
      </c>
      <c r="AP6" s="71">
        <f t="shared" ref="AP6" si="31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81560</v>
      </c>
    </row>
    <row r="7" spans="1:46" x14ac:dyDescent="0.25">
      <c r="A7" s="15" t="s">
        <v>33</v>
      </c>
      <c r="B7" s="15" t="s">
        <v>240</v>
      </c>
      <c r="C7" s="69">
        <f t="shared" ca="1" si="11"/>
        <v>11.223214285714286</v>
      </c>
      <c r="D7" s="443" t="s">
        <v>352</v>
      </c>
      <c r="E7" s="16">
        <v>22</v>
      </c>
      <c r="F7" s="2">
        <f ca="1">$D$2-$D$1-1102-17-112-112</f>
        <v>87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2">
        <v>43410</v>
      </c>
      <c r="N7" s="73">
        <f t="shared" ca="1" si="0"/>
        <v>0.90605394289764585</v>
      </c>
      <c r="O7" s="18">
        <v>6.6</v>
      </c>
      <c r="P7" s="19">
        <f>O7*10+19</f>
        <v>85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112410</v>
      </c>
      <c r="U7" s="27">
        <f t="shared" si="1"/>
        <v>1880</v>
      </c>
      <c r="V7" s="27">
        <v>19870</v>
      </c>
      <c r="W7" s="8">
        <f>T7/V7</f>
        <v>5.6572722697533973</v>
      </c>
      <c r="X7" s="20">
        <v>0</v>
      </c>
      <c r="Y7" s="21">
        <f>14+15/16</f>
        <v>14.9375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121.5</v>
      </c>
      <c r="AF7" s="9">
        <v>2023</v>
      </c>
      <c r="AG7" s="8">
        <f t="shared" ca="1" si="2"/>
        <v>3.5267723590584708</v>
      </c>
      <c r="AH7" s="22">
        <f t="shared" ref="AH7" ca="1" si="32">(AD7+1+(LOG(I7)*4/3)+N7)*(Q7/7)^0.5</f>
        <v>2.4803634612737149</v>
      </c>
      <c r="AI7" s="22">
        <f t="shared" ref="AI7" ca="1" si="33">(AD7+1+N7+(LOG(I7)*4/3))*(IF(Q7=7, (Q7/7)^0.5, ((Q7+1)/7)^0.5))</f>
        <v>2.6790987383867257</v>
      </c>
      <c r="AJ7" s="22">
        <f t="shared" ref="AJ7" ca="1" si="34">(Z7+N7+(LOG(I7)*4/3))</f>
        <v>6.6790987383867266</v>
      </c>
      <c r="AK7" s="68">
        <f t="shared" ref="AK7" ca="1" si="35">(Z7+N7+(LOG(I7)*4/3))*(Q7/7)^0.5</f>
        <v>6.1836438603639214</v>
      </c>
      <c r="AL7" s="68">
        <f t="shared" ref="AL7" ca="1" si="36">(Z7+N7+(LOG(I7)*4/3))*(IF(Q7=7, (Q7/7)^0.5, ((Q7+1)/7)^0.5))</f>
        <v>6.6790987383867266</v>
      </c>
      <c r="AM7" s="8">
        <f t="shared" ca="1" si="8"/>
        <v>1.9790987383867258</v>
      </c>
      <c r="AN7" s="8">
        <f t="shared" ca="1" si="9"/>
        <v>0.18432789907093805</v>
      </c>
      <c r="AO7" s="8">
        <f t="shared" ca="1" si="10"/>
        <v>0.71503691168707084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110530</v>
      </c>
    </row>
    <row r="8" spans="1:46" x14ac:dyDescent="0.25">
      <c r="A8" s="15" t="s">
        <v>38</v>
      </c>
      <c r="B8" s="15" t="s">
        <v>240</v>
      </c>
      <c r="C8" s="69">
        <f t="shared" ca="1" si="11"/>
        <v>10.776785714285714</v>
      </c>
      <c r="D8" s="443" t="s">
        <v>347</v>
      </c>
      <c r="E8" s="16">
        <v>23</v>
      </c>
      <c r="F8" s="2">
        <f ca="1">$D$2-$D$1-1069-112-112-112</f>
        <v>25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2">
        <v>43383</v>
      </c>
      <c r="N8" s="73">
        <f t="shared" ca="1" si="0"/>
        <v>0.95953675915519743</v>
      </c>
      <c r="O8" s="18">
        <v>6.2</v>
      </c>
      <c r="P8" s="19">
        <f>O8*10+19</f>
        <v>81</v>
      </c>
      <c r="Q8" s="25">
        <v>6</v>
      </c>
      <c r="R8" s="63">
        <f>(Q8/7)^0.5</f>
        <v>0.92582009977255142</v>
      </c>
      <c r="S8" s="63">
        <f>IF(Q8=7,1,((Q8+0.99)/7)^0.5)</f>
        <v>0.99928545900129484</v>
      </c>
      <c r="T8" s="27">
        <v>94430</v>
      </c>
      <c r="U8" s="27">
        <f t="shared" si="1"/>
        <v>-700</v>
      </c>
      <c r="V8" s="27">
        <v>11670</v>
      </c>
      <c r="W8" s="8">
        <f>T8/V8</f>
        <v>8.0916880891173957</v>
      </c>
      <c r="X8" s="20">
        <v>0</v>
      </c>
      <c r="Y8" s="21">
        <f>13+1/12</f>
        <v>13.083333333333334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114.5</v>
      </c>
      <c r="AF8" s="9">
        <v>1937</v>
      </c>
      <c r="AG8" s="8">
        <f t="shared" ca="1" si="2"/>
        <v>4.4694177764586414</v>
      </c>
      <c r="AH8" s="22">
        <f ca="1">(AD8+1+(LOG(I8)*4/3)+N8)*(Q8/7)^0.5</f>
        <v>4.4090177057345707</v>
      </c>
      <c r="AI8" s="22">
        <f ca="1">(AD8+1+N8+(LOG(I8)*4/3))*(IF(Q8=7, (Q8/7)^0.5, ((Q8+1)/7)^0.5))</f>
        <v>4.762283414259147</v>
      </c>
      <c r="AJ8" s="22">
        <f ca="1">(Z8+N8+(LOG(I8)*4/3))</f>
        <v>4.762283414259147</v>
      </c>
      <c r="AK8" s="68">
        <f ca="1">(Z8+N8+(LOG(I8)*4/3))*(Q8/7)^0.5</f>
        <v>4.4090177057345707</v>
      </c>
      <c r="AL8" s="68">
        <f ca="1">(Z8+N8+(LOG(I8)*4/3))*(IF(Q8=7, (Q8/7)^0.5, ((Q8+1)/7)^0.5))</f>
        <v>4.762283414259147</v>
      </c>
      <c r="AM8" s="8">
        <f t="shared" ca="1" si="8"/>
        <v>4.0622834142591469</v>
      </c>
      <c r="AN8" s="8">
        <f t="shared" ca="1" si="9"/>
        <v>0.35098267314073173</v>
      </c>
      <c r="AO8" s="8">
        <f t="shared" ca="1" si="10"/>
        <v>0.70669317233147377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95130</v>
      </c>
    </row>
    <row r="9" spans="1:46" x14ac:dyDescent="0.25">
      <c r="A9" s="15" t="s">
        <v>31</v>
      </c>
      <c r="B9" s="15" t="s">
        <v>240</v>
      </c>
      <c r="C9" s="69">
        <f t="shared" ca="1" si="11"/>
        <v>10.910714285714286</v>
      </c>
      <c r="D9" s="443" t="s">
        <v>356</v>
      </c>
      <c r="E9" s="1">
        <v>23</v>
      </c>
      <c r="F9" s="2">
        <f ca="1">$D$2-$D$1-880+55-112-112-14-21-112-112-112</f>
        <v>10</v>
      </c>
      <c r="G9" s="3"/>
      <c r="H9" s="4">
        <v>4</v>
      </c>
      <c r="I9" s="5">
        <v>4.7</v>
      </c>
      <c r="J9" s="21">
        <f t="shared" si="12"/>
        <v>0.8961304772476234</v>
      </c>
      <c r="K9" s="6">
        <f t="shared" si="13"/>
        <v>75.2</v>
      </c>
      <c r="L9" s="6">
        <f t="shared" si="14"/>
        <v>117.5</v>
      </c>
      <c r="M9" s="72">
        <v>43419</v>
      </c>
      <c r="N9" s="73">
        <f t="shared" ca="1" si="0"/>
        <v>0.88782946175134669</v>
      </c>
      <c r="O9" s="24">
        <v>6.3</v>
      </c>
      <c r="P9" s="19">
        <f t="shared" si="15"/>
        <v>82</v>
      </c>
      <c r="Q9" s="25">
        <v>6</v>
      </c>
      <c r="R9" s="63">
        <f t="shared" si="16"/>
        <v>0.92582009977255142</v>
      </c>
      <c r="S9" s="63">
        <f t="shared" si="17"/>
        <v>0.99928545900129484</v>
      </c>
      <c r="T9" s="27">
        <v>93490</v>
      </c>
      <c r="U9" s="27">
        <f t="shared" si="1"/>
        <v>2340</v>
      </c>
      <c r="V9" s="7">
        <v>7670</v>
      </c>
      <c r="W9" s="8">
        <f t="shared" si="18"/>
        <v>12.189048239895698</v>
      </c>
      <c r="X9" s="20">
        <v>0</v>
      </c>
      <c r="Y9" s="21">
        <f>11+1/9</f>
        <v>11.111111111111111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119.5</v>
      </c>
      <c r="AF9" s="9">
        <v>2010</v>
      </c>
      <c r="AG9" s="8">
        <f t="shared" ca="1" si="2"/>
        <v>4.0213812160034932</v>
      </c>
      <c r="AH9" s="22">
        <f ca="1">(AD9+1+(LOG(I9)*4/3)+N9)*(Q9/7)^0.5</f>
        <v>3.5032661682593642</v>
      </c>
      <c r="AI9" s="22">
        <f ca="1">(AD9+1+N9+(LOG(I9)*4/3))*(IF(Q9=7, (Q9/7)^0.5, ((Q9+1)/7)^0.5))</f>
        <v>3.78395993899897</v>
      </c>
      <c r="AJ9" s="22">
        <f ca="1">(Z9+N9+(LOG(I9)*4/3))</f>
        <v>12.78395993899897</v>
      </c>
      <c r="AK9" s="68">
        <f ca="1">(Z9+N9+(LOG(I9)*4/3))*(Q9/7)^0.5</f>
        <v>11.835647066212328</v>
      </c>
      <c r="AL9" s="68">
        <f ca="1">(Z9+N9+(LOG(I9)*4/3))*(IF(Q9=7, (Q9/7)^0.5, ((Q9+1)/7)^0.5))</f>
        <v>12.78395993899897</v>
      </c>
      <c r="AM9" s="8">
        <f t="shared" ca="1" si="8"/>
        <v>3.6839599389989699</v>
      </c>
      <c r="AN9" s="8">
        <f t="shared" ca="1" si="9"/>
        <v>0.37271679511991762</v>
      </c>
      <c r="AO9" s="8">
        <f t="shared" ca="1" si="10"/>
        <v>0.59932164017437239</v>
      </c>
      <c r="AP9" s="71">
        <f t="shared" si="19"/>
        <v>6.1499999999999999E-2</v>
      </c>
      <c r="AQ9" s="19">
        <v>0</v>
      </c>
      <c r="AR9" s="19">
        <v>2</v>
      </c>
      <c r="AS9" s="19">
        <v>2</v>
      </c>
      <c r="AT9" s="27">
        <v>91150</v>
      </c>
    </row>
    <row r="10" spans="1:46" x14ac:dyDescent="0.25">
      <c r="A10" s="15" t="s">
        <v>195</v>
      </c>
      <c r="B10" s="15" t="s">
        <v>113</v>
      </c>
      <c r="C10" s="69">
        <f t="shared" ca="1" si="11"/>
        <v>11.125</v>
      </c>
      <c r="D10" s="121"/>
      <c r="E10" s="1">
        <v>22</v>
      </c>
      <c r="F10" s="2">
        <f ca="1">$D$2-$D$1-880-4-112-112-112-112</f>
        <v>98</v>
      </c>
      <c r="G10" s="3"/>
      <c r="H10" s="4"/>
      <c r="I10" s="5"/>
      <c r="J10" s="21" t="e">
        <f>LOG(I10)*4/3</f>
        <v>#NUM!</v>
      </c>
      <c r="K10" s="6">
        <f>(H10)*(H10)*(I10)</f>
        <v>0</v>
      </c>
      <c r="L10" s="6">
        <f>(H10+1)*(H10+1)*I10</f>
        <v>0</v>
      </c>
      <c r="M10" s="72"/>
      <c r="N10" s="73">
        <f ca="1">IF((TODAY()-M10)&gt;335,1,((TODAY()-M10)^0.64)/(336^0.64))</f>
        <v>1</v>
      </c>
      <c r="O10" s="24"/>
      <c r="P10" s="19">
        <f>O10*10+19</f>
        <v>19</v>
      </c>
      <c r="Q10" s="25"/>
      <c r="R10" s="63">
        <f>(Q10/7)^0.5</f>
        <v>0</v>
      </c>
      <c r="S10" s="63">
        <f>IF(Q10=7,1,((Q10+0.99)/7)^0.5)</f>
        <v>0.37606990231680526</v>
      </c>
      <c r="T10" s="27"/>
      <c r="U10" s="27">
        <f t="shared" si="1"/>
        <v>-3300</v>
      </c>
      <c r="V10" s="7"/>
      <c r="W10" s="8" t="e">
        <f>T10/V10</f>
        <v>#DIV/0!</v>
      </c>
      <c r="X10" s="20"/>
      <c r="Y10" s="21"/>
      <c r="Z10" s="20"/>
      <c r="AA10" s="21"/>
      <c r="AB10" s="20"/>
      <c r="AC10" s="21"/>
      <c r="AD10" s="20"/>
      <c r="AE10" s="9"/>
      <c r="AF10" s="9"/>
      <c r="AG10" s="8" t="e">
        <f t="shared" ca="1" si="2"/>
        <v>#NUM!</v>
      </c>
      <c r="AH10" s="22" t="e">
        <f ca="1">(AD10+1+(LOG(I10)*4/3)+N10)*(Q10/7)^0.5</f>
        <v>#NUM!</v>
      </c>
      <c r="AI10" s="22" t="e">
        <f ca="1">(AD10+1+N10+(LOG(I10)*4/3))*(IF(Q10=7, (Q10/7)^0.5, ((Q10+1)/7)^0.5))</f>
        <v>#NUM!</v>
      </c>
      <c r="AJ10" s="22" t="e">
        <f ca="1">(Z10+N10+(LOG(I10)*4/3))</f>
        <v>#NUM!</v>
      </c>
      <c r="AK10" s="68" t="e">
        <f ca="1">(Z10+N10+(LOG(I10)*4/3))*(Q10/7)^0.5</f>
        <v>#NUM!</v>
      </c>
      <c r="AL10" s="68" t="e">
        <f ca="1">(Z10+N10+(LOG(I10)*4/3))*(IF(Q10=7, (Q10/7)^0.5, ((Q10+1)/7)^0.5))</f>
        <v>#NUM!</v>
      </c>
      <c r="AM10" s="8" t="e">
        <f t="shared" ca="1" si="8"/>
        <v>#NUM!</v>
      </c>
      <c r="AN10" s="8" t="e">
        <f t="shared" ca="1" si="9"/>
        <v>#NUM!</v>
      </c>
      <c r="AO10" s="8" t="e">
        <f t="shared" ca="1" si="10"/>
        <v>#NUM!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3300</v>
      </c>
    </row>
    <row r="11" spans="1:46" x14ac:dyDescent="0.25">
      <c r="A11" s="15" t="s">
        <v>42</v>
      </c>
      <c r="B11" s="15" t="s">
        <v>369</v>
      </c>
      <c r="C11" s="69">
        <f t="shared" ca="1" si="11"/>
        <v>11.089285714285714</v>
      </c>
      <c r="D11" s="443" t="s">
        <v>248</v>
      </c>
      <c r="E11" s="1">
        <v>22</v>
      </c>
      <c r="F11" s="2">
        <f ca="1">$D$2-$D$1-880-112-112-112-112</f>
        <v>102</v>
      </c>
      <c r="G11" s="3" t="s">
        <v>192</v>
      </c>
      <c r="H11" s="107">
        <v>5</v>
      </c>
      <c r="I11" s="5">
        <v>4.4000000000000004</v>
      </c>
      <c r="J11" s="21">
        <f t="shared" ref="J11:J13" si="37">LOG(I11)*4/3</f>
        <v>0.85793690198158323</v>
      </c>
      <c r="K11" s="6">
        <f t="shared" ref="K11:K13" si="38">(H11)*(H11)*(I11)</f>
        <v>110.00000000000001</v>
      </c>
      <c r="L11" s="6">
        <f t="shared" ref="L11:L13" si="39">(H11+1)*(H11+1)*I11</f>
        <v>158.4</v>
      </c>
      <c r="M11" s="72">
        <v>43137</v>
      </c>
      <c r="N11" s="73">
        <f t="shared" ref="N11:N17" ca="1" si="40">IF((TODAY()-M11)&gt;335,1,((TODAY()-M11)^0.64)/(336^0.64))</f>
        <v>1</v>
      </c>
      <c r="O11" s="24">
        <v>6</v>
      </c>
      <c r="P11" s="19">
        <f t="shared" ref="P11:P13" si="41">O11*10+19</f>
        <v>79</v>
      </c>
      <c r="Q11" s="25">
        <v>7</v>
      </c>
      <c r="R11" s="63">
        <f t="shared" ref="R11:R13" si="42">(Q11/7)^0.5</f>
        <v>1</v>
      </c>
      <c r="S11" s="63">
        <f t="shared" ref="S11:S13" si="43">IF(Q11=7,1,((Q11+0.99)/7)^0.5)</f>
        <v>1</v>
      </c>
      <c r="T11" s="27">
        <v>120940</v>
      </c>
      <c r="U11" s="27">
        <f t="shared" si="1"/>
        <v>5820</v>
      </c>
      <c r="V11" s="7">
        <v>8650</v>
      </c>
      <c r="W11" s="8">
        <f t="shared" ref="W11:W13" si="44">T11/V11</f>
        <v>13.98150289017341</v>
      </c>
      <c r="X11" s="20">
        <v>0</v>
      </c>
      <c r="Y11" s="21">
        <f>12+4/10</f>
        <v>12.4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129.5</v>
      </c>
      <c r="AF11" s="9">
        <v>2057</v>
      </c>
      <c r="AG11" s="8">
        <f t="shared" ca="1" si="2"/>
        <v>3.3717263382430938</v>
      </c>
      <c r="AH11" s="22">
        <f t="shared" ref="AH11:AH13" ca="1" si="45">(AD11+1+(LOG(I11)*4/3)+N11)*(Q11/7)^0.5</f>
        <v>5.8579369019815832</v>
      </c>
      <c r="AI11" s="22">
        <f t="shared" ref="AI11:AI13" ca="1" si="46">(AD11+1+N11+(LOG(I11)*4/3))*(IF(Q11=7, (Q11/7)^0.5, ((Q11+1)/7)^0.5))</f>
        <v>5.8579369019815832</v>
      </c>
      <c r="AJ11" s="22">
        <f t="shared" ref="AJ11:AJ13" ca="1" si="47">(Z11+N11+(LOG(I11)*4/3))</f>
        <v>5.8579369019815832</v>
      </c>
      <c r="AK11" s="68">
        <f t="shared" ref="AK11:AK13" ca="1" si="48">(Z11+N11+(LOG(I11)*4/3))*(Q11/7)^0.5</f>
        <v>5.8579369019815832</v>
      </c>
      <c r="AL11" s="68">
        <f t="shared" ref="AL11:AL13" ca="1" si="49">(Z11+N11+(LOG(I11)*4/3))*(IF(Q11=7, (Q11/7)^0.5, ((Q11+1)/7)^0.5))</f>
        <v>5.8579369019815832</v>
      </c>
      <c r="AM11" s="8">
        <f t="shared" ca="1" si="8"/>
        <v>6.0579369019815825</v>
      </c>
      <c r="AN11" s="8">
        <f t="shared" ca="1" si="9"/>
        <v>0.58863495215852668</v>
      </c>
      <c r="AO11" s="8">
        <f t="shared" ca="1" si="10"/>
        <v>0.71605558313871087</v>
      </c>
      <c r="AP11" s="71">
        <f t="shared" ref="AP11:AP13" si="50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115120</v>
      </c>
    </row>
    <row r="12" spans="1:46" x14ac:dyDescent="0.25">
      <c r="A12" s="15" t="s">
        <v>32</v>
      </c>
      <c r="B12" s="15" t="s">
        <v>369</v>
      </c>
      <c r="C12" s="69">
        <f t="shared" ca="1" si="11"/>
        <v>11.4375</v>
      </c>
      <c r="D12" s="443" t="s">
        <v>247</v>
      </c>
      <c r="E12" s="1">
        <v>22</v>
      </c>
      <c r="F12" s="2">
        <f ca="1">$D$2-$D$1-1367</f>
        <v>63</v>
      </c>
      <c r="G12" s="3" t="s">
        <v>44</v>
      </c>
      <c r="H12" s="4">
        <v>3</v>
      </c>
      <c r="I12" s="5">
        <v>4.5</v>
      </c>
      <c r="J12" s="21">
        <f t="shared" si="37"/>
        <v>0.87095001836712493</v>
      </c>
      <c r="K12" s="6">
        <f t="shared" si="38"/>
        <v>40.5</v>
      </c>
      <c r="L12" s="6">
        <f t="shared" si="39"/>
        <v>72</v>
      </c>
      <c r="M12" s="72">
        <v>43122</v>
      </c>
      <c r="N12" s="73">
        <f t="shared" ca="1" si="40"/>
        <v>1</v>
      </c>
      <c r="O12" s="24">
        <v>6</v>
      </c>
      <c r="P12" s="19">
        <f t="shared" si="41"/>
        <v>79</v>
      </c>
      <c r="Q12" s="25">
        <v>5</v>
      </c>
      <c r="R12" s="63">
        <f t="shared" si="42"/>
        <v>0.84515425472851657</v>
      </c>
      <c r="S12" s="63">
        <f t="shared" si="43"/>
        <v>0.92504826128926143</v>
      </c>
      <c r="T12" s="27">
        <v>108750</v>
      </c>
      <c r="U12" s="27">
        <f t="shared" si="1"/>
        <v>-3190</v>
      </c>
      <c r="V12" s="7">
        <v>9290</v>
      </c>
      <c r="W12" s="8">
        <f t="shared" si="44"/>
        <v>11.706135629709365</v>
      </c>
      <c r="X12" s="20">
        <v>0</v>
      </c>
      <c r="Y12" s="21">
        <f>11+5/9</f>
        <v>11.555555555555555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125.5</v>
      </c>
      <c r="AF12" s="9">
        <v>2156</v>
      </c>
      <c r="AG12" s="8">
        <f t="shared" ca="1" si="2"/>
        <v>3.3455859677893915</v>
      </c>
      <c r="AH12" s="22">
        <f t="shared" ca="1" si="45"/>
        <v>4.9618583873214384</v>
      </c>
      <c r="AI12" s="22">
        <f t="shared" ca="1" si="46"/>
        <v>5.4354435317643146</v>
      </c>
      <c r="AJ12" s="22">
        <f t="shared" ca="1" si="47"/>
        <v>4.8709500183671253</v>
      </c>
      <c r="AK12" s="68">
        <f t="shared" ca="1" si="48"/>
        <v>4.1167041325929219</v>
      </c>
      <c r="AL12" s="68">
        <f t="shared" ca="1" si="49"/>
        <v>4.5096234319917627</v>
      </c>
      <c r="AM12" s="8">
        <f t="shared" ca="1" si="8"/>
        <v>6.0709500183671246</v>
      </c>
      <c r="AN12" s="8">
        <f t="shared" ca="1" si="9"/>
        <v>0.58967600146937005</v>
      </c>
      <c r="AO12" s="8">
        <f t="shared" ca="1" si="10"/>
        <v>0.68318872350792104</v>
      </c>
      <c r="AP12" s="71">
        <f t="shared" si="50"/>
        <v>2.63E-2</v>
      </c>
      <c r="AQ12" s="19">
        <v>2</v>
      </c>
      <c r="AR12" s="19">
        <v>0</v>
      </c>
      <c r="AS12" s="19">
        <v>2</v>
      </c>
      <c r="AT12" s="27">
        <v>111940</v>
      </c>
    </row>
    <row r="13" spans="1:46" x14ac:dyDescent="0.25">
      <c r="A13" s="15" t="s">
        <v>40</v>
      </c>
      <c r="B13" s="15" t="s">
        <v>369</v>
      </c>
      <c r="C13" s="69">
        <f t="shared" ca="1" si="11"/>
        <v>11.089285714285714</v>
      </c>
      <c r="D13" s="443" t="s">
        <v>194</v>
      </c>
      <c r="E13" s="16">
        <v>22</v>
      </c>
      <c r="F13" s="2">
        <f ca="1">$D$2-$D$1-880-112-112-112-112</f>
        <v>102</v>
      </c>
      <c r="G13" s="17" t="s">
        <v>192</v>
      </c>
      <c r="H13" s="35">
        <v>6</v>
      </c>
      <c r="I13" s="26">
        <v>4.4000000000000004</v>
      </c>
      <c r="J13" s="21">
        <f t="shared" si="37"/>
        <v>0.85793690198158323</v>
      </c>
      <c r="K13" s="6">
        <f t="shared" si="38"/>
        <v>158.4</v>
      </c>
      <c r="L13" s="6">
        <f t="shared" si="39"/>
        <v>215.60000000000002</v>
      </c>
      <c r="M13" s="72">
        <v>43051</v>
      </c>
      <c r="N13" s="73">
        <f t="shared" ca="1" si="40"/>
        <v>1</v>
      </c>
      <c r="O13" s="18">
        <v>6</v>
      </c>
      <c r="P13" s="19">
        <f t="shared" si="41"/>
        <v>79</v>
      </c>
      <c r="Q13" s="25">
        <v>5</v>
      </c>
      <c r="R13" s="63">
        <f t="shared" si="42"/>
        <v>0.84515425472851657</v>
      </c>
      <c r="S13" s="63">
        <f t="shared" si="43"/>
        <v>0.92504826128926143</v>
      </c>
      <c r="T13" s="27">
        <v>78270</v>
      </c>
      <c r="U13" s="27">
        <f t="shared" si="1"/>
        <v>2230</v>
      </c>
      <c r="V13" s="27">
        <v>5690</v>
      </c>
      <c r="W13" s="8">
        <f t="shared" si="44"/>
        <v>13.755711775043936</v>
      </c>
      <c r="X13" s="20">
        <v>0</v>
      </c>
      <c r="Y13" s="21">
        <f>11+2/9</f>
        <v>11.222222222222221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112.5</v>
      </c>
      <c r="AF13" s="9">
        <v>1977</v>
      </c>
      <c r="AG13" s="8">
        <f t="shared" ca="1" si="2"/>
        <v>3.0843939313042732</v>
      </c>
      <c r="AH13" s="22">
        <f t="shared" ca="1" si="45"/>
        <v>4.9508602966409203</v>
      </c>
      <c r="AI13" s="22">
        <f t="shared" ca="1" si="46"/>
        <v>5.4233957270538999</v>
      </c>
      <c r="AJ13" s="22">
        <f t="shared" ca="1" si="47"/>
        <v>4.8579369019815832</v>
      </c>
      <c r="AK13" s="68">
        <f t="shared" ca="1" si="48"/>
        <v>4.1057060419124038</v>
      </c>
      <c r="AL13" s="68">
        <f t="shared" ca="1" si="49"/>
        <v>4.497575627281349</v>
      </c>
      <c r="AM13" s="8">
        <f t="shared" ca="1" si="8"/>
        <v>6.1329369019815836</v>
      </c>
      <c r="AN13" s="8">
        <f t="shared" ca="1" si="9"/>
        <v>0.60113495215852664</v>
      </c>
      <c r="AO13" s="8">
        <f t="shared" ca="1" si="10"/>
        <v>0.66894447202759966</v>
      </c>
      <c r="AP13" s="71">
        <f t="shared" si="50"/>
        <v>6.1499999999999999E-2</v>
      </c>
      <c r="AQ13" s="19">
        <v>2</v>
      </c>
      <c r="AR13" s="19">
        <v>2</v>
      </c>
      <c r="AS13" s="19">
        <v>1</v>
      </c>
      <c r="AT13" s="27">
        <v>76040</v>
      </c>
    </row>
    <row r="14" spans="1:46" x14ac:dyDescent="0.25">
      <c r="A14" s="15" t="s">
        <v>30</v>
      </c>
      <c r="B14" s="15" t="s">
        <v>369</v>
      </c>
      <c r="C14" s="69">
        <f t="shared" ca="1" si="11"/>
        <v>11.125</v>
      </c>
      <c r="D14" s="443" t="s">
        <v>190</v>
      </c>
      <c r="E14" s="16">
        <v>22</v>
      </c>
      <c r="F14" s="2">
        <f ca="1">$D$2-$D$1-880-4-112-112-112-112</f>
        <v>98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2">
        <v>43046</v>
      </c>
      <c r="N14" s="73">
        <v>1.5</v>
      </c>
      <c r="O14" s="18">
        <v>6.1</v>
      </c>
      <c r="P14" s="19">
        <f>O14*10+19</f>
        <v>80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124880</v>
      </c>
      <c r="U14" s="27">
        <f t="shared" si="1"/>
        <v>10610</v>
      </c>
      <c r="V14" s="27">
        <v>13450</v>
      </c>
      <c r="W14" s="8">
        <f>T14/V14</f>
        <v>9.2847583643122675</v>
      </c>
      <c r="X14" s="20">
        <v>0</v>
      </c>
      <c r="Y14" s="21">
        <f>9+6/7</f>
        <v>9.8571428571428577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126</v>
      </c>
      <c r="AF14" s="9">
        <v>2078</v>
      </c>
      <c r="AG14" s="8">
        <f t="shared" si="2"/>
        <v>3.4200978232797485</v>
      </c>
      <c r="AH14" s="22">
        <f>(AD14+1+(LOG(I14)*4/3)+N14)*(Q14/7)^0.5</f>
        <v>7.8064780538306611</v>
      </c>
      <c r="AI14" s="22">
        <f>(AD14+1+N14+(LOG(I14)*4/3))*(IF(Q14=7, (Q14/7)^0.5, ((Q14+1)/7)^0.5))</f>
        <v>8.4319600057813577</v>
      </c>
      <c r="AJ14" s="22">
        <f>(Z14+N14+(LOG(I14)*4/3))</f>
        <v>8.1319600057813588</v>
      </c>
      <c r="AK14" s="68">
        <f>(Z14+N14+(LOG(I14)*4/3))*(Q14/7)^0.5</f>
        <v>7.5287320238988951</v>
      </c>
      <c r="AL14" s="68">
        <f>(Z14+N14+(LOG(I14)*4/3))*(IF(Q14=7, (Q14/7)^0.5, ((Q14+1)/7)^0.5))</f>
        <v>8.1319600057813588</v>
      </c>
      <c r="AM14" s="8">
        <f t="shared" si="8"/>
        <v>8.1819600057813577</v>
      </c>
      <c r="AN14" s="8">
        <f t="shared" si="9"/>
        <v>0.71955680046250858</v>
      </c>
      <c r="AO14" s="8">
        <f t="shared" si="10"/>
        <v>0.71452291469040952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114270</v>
      </c>
    </row>
    <row r="15" spans="1:46" x14ac:dyDescent="0.25">
      <c r="A15" s="15" t="s">
        <v>35</v>
      </c>
      <c r="B15" s="15" t="s">
        <v>369</v>
      </c>
      <c r="C15" s="69">
        <f t="shared" ca="1" si="11"/>
        <v>11.125</v>
      </c>
      <c r="D15" s="443" t="s">
        <v>245</v>
      </c>
      <c r="E15" s="16">
        <v>22</v>
      </c>
      <c r="F15" s="2">
        <f ca="1">$D$2-$D$1-880-4-112-112-112-112</f>
        <v>98</v>
      </c>
      <c r="G15" s="17" t="s">
        <v>192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2">
        <v>43054</v>
      </c>
      <c r="N15" s="73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6</v>
      </c>
      <c r="R15" s="63">
        <f>(Q15/7)^0.5</f>
        <v>0.92582009977255142</v>
      </c>
      <c r="S15" s="63">
        <f>IF(Q15=7,1,((Q15+0.99)/7)^0.5)</f>
        <v>0.99928545900129484</v>
      </c>
      <c r="T15" s="27">
        <v>95200</v>
      </c>
      <c r="U15" s="27">
        <f t="shared" si="1"/>
        <v>14960</v>
      </c>
      <c r="V15" s="27">
        <v>9050</v>
      </c>
      <c r="W15" s="8">
        <f>T15/V15</f>
        <v>10.519337016574585</v>
      </c>
      <c r="X15" s="20">
        <v>0</v>
      </c>
      <c r="Y15" s="21">
        <f>10+2/8</f>
        <v>10.25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115.88</v>
      </c>
      <c r="AF15" s="9">
        <v>1986</v>
      </c>
      <c r="AG15" s="8">
        <f t="shared" ca="1" si="2"/>
        <v>3.0417673355734909</v>
      </c>
      <c r="AH15" s="22">
        <f ca="1">(AD15+1+(LOG(I15)*4/3)+N15)*(Q15/7)^0.5</f>
        <v>5.411070937192699</v>
      </c>
      <c r="AI15" s="22">
        <f ca="1">(AD15+1+N15+(LOG(I15)*4/3))*(IF(Q15=7, (Q15/7)^0.5, ((Q15+1)/7)^0.5))</f>
        <v>5.8446246074394486</v>
      </c>
      <c r="AJ15" s="22">
        <f ca="1">(Z15+N15+(LOG(I15)*4/3))</f>
        <v>6.8446246074394486</v>
      </c>
      <c r="AK15" s="68">
        <f ca="1">(Z15+N15+(LOG(I15)*4/3))*(Q15/7)^0.5</f>
        <v>6.3368910369652509</v>
      </c>
      <c r="AL15" s="68">
        <f ca="1">(Z15+N15+(LOG(I15)*4/3))*(IF(Q15=7, (Q15/7)^0.5, ((Q15+1)/7)^0.5))</f>
        <v>6.8446246074394486</v>
      </c>
      <c r="AM15" s="8">
        <f t="shared" ca="1" si="8"/>
        <v>6.2851246074394487</v>
      </c>
      <c r="AN15" s="8">
        <f t="shared" ca="1" si="9"/>
        <v>0.62765330192848934</v>
      </c>
      <c r="AO15" s="8">
        <f t="shared" ca="1" si="10"/>
        <v>0.62912372252076154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80240</v>
      </c>
    </row>
    <row r="16" spans="1:46" x14ac:dyDescent="0.25">
      <c r="A16" s="15" t="s">
        <v>39</v>
      </c>
      <c r="B16" s="15" t="s">
        <v>75</v>
      </c>
      <c r="C16" s="69">
        <f t="shared" ca="1" si="11"/>
        <v>3.4017857142857144</v>
      </c>
      <c r="D16" s="449" t="s">
        <v>367</v>
      </c>
      <c r="E16" s="16">
        <v>30</v>
      </c>
      <c r="F16" s="2">
        <f ca="1">$D$2-$D$1-880+25-112-112-60-112-112</f>
        <v>67</v>
      </c>
      <c r="G16" s="17" t="s">
        <v>101</v>
      </c>
      <c r="H16" s="4">
        <v>1</v>
      </c>
      <c r="I16" s="26">
        <v>7.3</v>
      </c>
      <c r="J16" s="21">
        <f t="shared" ref="J16:J21" si="51">LOG(I16)*4/3</f>
        <v>1.1510971468272746</v>
      </c>
      <c r="K16" s="6">
        <f t="shared" ref="K16:K17" si="52">(H16)*(H16)*(I16)</f>
        <v>7.3</v>
      </c>
      <c r="L16" s="6">
        <f t="shared" ref="L16:L17" si="53">(H16+1)*(H16+1)*I16</f>
        <v>29.2</v>
      </c>
      <c r="M16" s="72">
        <v>43591</v>
      </c>
      <c r="N16" s="73">
        <f t="shared" ca="1" si="40"/>
        <v>0.48078231046272396</v>
      </c>
      <c r="O16" s="18">
        <v>5.5</v>
      </c>
      <c r="P16" s="19">
        <f t="shared" ref="P16:P21" si="54">O16*10+19</f>
        <v>74</v>
      </c>
      <c r="Q16" s="25">
        <v>6</v>
      </c>
      <c r="R16" s="63">
        <f t="shared" ref="R16:R21" si="55">(Q16/7)^0.5</f>
        <v>0.92582009977255142</v>
      </c>
      <c r="S16" s="63">
        <f t="shared" ref="S16:S21" si="56">IF(Q16=7,1,((Q16+0.99)/7)^0.5)</f>
        <v>0.99928545900129484</v>
      </c>
      <c r="T16" s="27">
        <v>70640</v>
      </c>
      <c r="U16" s="27">
        <f t="shared" si="1"/>
        <v>-3400</v>
      </c>
      <c r="V16" s="27">
        <v>17100</v>
      </c>
      <c r="W16" s="8">
        <f t="shared" ref="W16:W21" si="57">T16/V16</f>
        <v>4.1309941520467834</v>
      </c>
      <c r="X16" s="20">
        <v>0</v>
      </c>
      <c r="Y16" s="21">
        <f>9+1/9</f>
        <v>9.1111111111111107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3.274216453643108</v>
      </c>
      <c r="AH16" s="22">
        <f t="shared" ref="AH16:AH17" ca="1" si="58">(AD16+1+(LOG(I16)*4/3)+N16)*(Q16/7)^0.5</f>
        <v>18.175588597870931</v>
      </c>
      <c r="AI16" s="22">
        <f t="shared" ref="AI16:AI17" ca="1" si="59">(AD16+1+N16+(LOG(I16)*4/3))*(IF(Q16=7, (Q16/7)^0.5, ((Q16+1)/7)^0.5))</f>
        <v>19.631879457290001</v>
      </c>
      <c r="AJ16" s="22">
        <f t="shared" ref="AJ16:AJ17" ca="1" si="60">(Z16+N16+(LOG(I16)*4/3))</f>
        <v>14.631879457289998</v>
      </c>
      <c r="AK16" s="68">
        <f t="shared" ref="AK16:AK17" ca="1" si="61">(Z16+N16+(LOG(I16)*4/3))*(Q16/7)^0.5</f>
        <v>13.546488099008171</v>
      </c>
      <c r="AL16" s="68">
        <f t="shared" ref="AL16:AL17" ca="1" si="62">(Z16+N16+(LOG(I16)*4/3))*(IF(Q16=7, (Q16/7)^0.5, ((Q16+1)/7)^0.5))</f>
        <v>14.631879457289998</v>
      </c>
      <c r="AM16" s="8">
        <f t="shared" ca="1" si="8"/>
        <v>15.631879457289999</v>
      </c>
      <c r="AN16" s="8">
        <f t="shared" ca="1" si="9"/>
        <v>0.9905503565831999</v>
      </c>
      <c r="AO16" s="8">
        <f t="shared" ca="1" si="10"/>
        <v>0.9886760064547444</v>
      </c>
      <c r="AP16" s="71">
        <f t="shared" ref="AP16:AP17" si="6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74040</v>
      </c>
    </row>
    <row r="17" spans="1:46" x14ac:dyDescent="0.25">
      <c r="A17" s="15" t="s">
        <v>239</v>
      </c>
      <c r="B17" s="23" t="s">
        <v>75</v>
      </c>
      <c r="C17" s="69">
        <f t="shared" ca="1" si="11"/>
        <v>2.3571428571428572</v>
      </c>
      <c r="D17" s="449" t="s">
        <v>354</v>
      </c>
      <c r="E17" s="1">
        <v>31</v>
      </c>
      <c r="F17" s="2">
        <f ca="1">$D$2-$D$1-880+25-112-112-55-112-112</f>
        <v>72</v>
      </c>
      <c r="G17" s="3" t="s">
        <v>192</v>
      </c>
      <c r="H17" s="107">
        <v>5</v>
      </c>
      <c r="I17" s="5">
        <v>5</v>
      </c>
      <c r="J17" s="21">
        <f t="shared" si="51"/>
        <v>0.93196000578135851</v>
      </c>
      <c r="K17" s="6">
        <f t="shared" si="52"/>
        <v>125</v>
      </c>
      <c r="L17" s="6">
        <f t="shared" si="53"/>
        <v>180</v>
      </c>
      <c r="M17" s="72">
        <v>43415</v>
      </c>
      <c r="N17" s="73">
        <f t="shared" ca="1" si="40"/>
        <v>0.89595496648943951</v>
      </c>
      <c r="O17" s="24">
        <v>5.4</v>
      </c>
      <c r="P17" s="19">
        <f t="shared" si="54"/>
        <v>73</v>
      </c>
      <c r="Q17" s="25">
        <v>6</v>
      </c>
      <c r="R17" s="63">
        <f t="shared" si="55"/>
        <v>0.92582009977255142</v>
      </c>
      <c r="S17" s="63">
        <f t="shared" si="56"/>
        <v>0.99928545900129484</v>
      </c>
      <c r="T17" s="27">
        <v>12090</v>
      </c>
      <c r="U17" s="27">
        <f t="shared" si="1"/>
        <v>-300</v>
      </c>
      <c r="V17" s="7">
        <v>5892</v>
      </c>
      <c r="W17" s="8">
        <f t="shared" si="57"/>
        <v>2.0519348268839104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2.2644492922259047</v>
      </c>
      <c r="AH17" s="22">
        <f t="shared" ca="1" si="58"/>
        <v>13.727981719046658</v>
      </c>
      <c r="AI17" s="22">
        <f t="shared" ca="1" si="59"/>
        <v>14.827914972270797</v>
      </c>
      <c r="AJ17" s="22">
        <f t="shared" ca="1" si="60"/>
        <v>12.827914972270797</v>
      </c>
      <c r="AK17" s="68">
        <f t="shared" ca="1" si="61"/>
        <v>11.876341519501555</v>
      </c>
      <c r="AL17" s="68">
        <f t="shared" ca="1" si="62"/>
        <v>12.827914972270797</v>
      </c>
      <c r="AM17" s="8">
        <f t="shared" ca="1" si="8"/>
        <v>11.727914972270796</v>
      </c>
      <c r="AN17" s="8">
        <f t="shared" ca="1" si="9"/>
        <v>0.75623319778166387</v>
      </c>
      <c r="AO17" s="8">
        <f t="shared" ca="1" si="10"/>
        <v>0.7279540480589558</v>
      </c>
      <c r="AP17" s="71">
        <f t="shared" si="63"/>
        <v>4.9399999999999999E-2</v>
      </c>
      <c r="AQ17" s="19">
        <v>2</v>
      </c>
      <c r="AR17" s="19">
        <v>1</v>
      </c>
      <c r="AS17" s="19">
        <v>1</v>
      </c>
      <c r="AT17" s="27">
        <v>12390</v>
      </c>
    </row>
    <row r="18" spans="1:46" x14ac:dyDescent="0.25">
      <c r="A18" s="15" t="s">
        <v>189</v>
      </c>
      <c r="B18" s="15" t="s">
        <v>75</v>
      </c>
      <c r="C18" s="69">
        <f t="shared" ca="1" si="11"/>
        <v>10.758928571428571</v>
      </c>
      <c r="D18" s="121" t="s">
        <v>191</v>
      </c>
      <c r="E18" s="16">
        <v>23</v>
      </c>
      <c r="F18" s="2">
        <f ca="1">$D$2-$D$1-880+37-112-112-112-112-112</f>
        <v>27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4</v>
      </c>
      <c r="R18" s="63">
        <f>(Q18/7)^0.5</f>
        <v>0.7559289460184544</v>
      </c>
      <c r="S18" s="63">
        <f>IF(Q18=7,1,((Q18+0.99)/7)^0.5)</f>
        <v>0.84430867747355465</v>
      </c>
      <c r="T18" s="27">
        <v>3600</v>
      </c>
      <c r="U18" s="27">
        <f t="shared" si="1"/>
        <v>-630</v>
      </c>
      <c r="V18" s="27">
        <v>450</v>
      </c>
      <c r="W18" s="8">
        <f>T18/V18</f>
        <v>8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1.6740764674854611</v>
      </c>
      <c r="AH18" s="22">
        <f ca="1">(AD18+1+(LOG(I18)*4/3)+N18)*(Q18/7)^0.5</f>
        <v>4.1807305585376424</v>
      </c>
      <c r="AI18" s="22">
        <f ca="1">(AD18+1+N18+(LOG(I18)*4/3))*(IF(Q18=7, (Q18/7)^0.5, ((Q18+1)/7)^0.5))</f>
        <v>4.6741988622504165</v>
      </c>
      <c r="AJ18" s="22">
        <f ca="1">(Z18+N18+(LOG(I18)*4/3))</f>
        <v>7.5305866782293833</v>
      </c>
      <c r="AK18" s="68">
        <f ca="1">(Z18+N18+(LOG(I18)*4/3))*(Q18/7)^0.5</f>
        <v>5.6925884505745517</v>
      </c>
      <c r="AL18" s="68">
        <f ca="1">(Z18+N18+(LOG(I18)*4/3))*(IF(Q18=7, (Q18/7)^0.5, ((Q18+1)/7)^0.5))</f>
        <v>6.3645073717074494</v>
      </c>
      <c r="AM18" s="8">
        <f t="shared" ca="1" si="8"/>
        <v>5.3162945213666379</v>
      </c>
      <c r="AN18" s="8">
        <f t="shared" ca="1" si="9"/>
        <v>0.49339824144789307</v>
      </c>
      <c r="AO18" s="8">
        <f t="shared" ca="1" si="10"/>
        <v>0.36914106747605685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4230</v>
      </c>
    </row>
    <row r="19" spans="1:46" x14ac:dyDescent="0.25">
      <c r="A19" s="15" t="s">
        <v>339</v>
      </c>
      <c r="B19" s="15" t="s">
        <v>43</v>
      </c>
      <c r="C19" s="69">
        <f t="shared" ca="1" si="11"/>
        <v>4.4553571428571432</v>
      </c>
      <c r="D19" s="449" t="s">
        <v>720</v>
      </c>
      <c r="E19" s="16">
        <v>29</v>
      </c>
      <c r="F19" s="2">
        <f ca="1">$D$2-$D$1-880-489</f>
        <v>61</v>
      </c>
      <c r="G19" s="17" t="s">
        <v>192</v>
      </c>
      <c r="H19" s="4">
        <v>2</v>
      </c>
      <c r="I19" s="26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72">
        <v>43687</v>
      </c>
      <c r="N19" s="73">
        <f ca="1">IF((TODAY()-M19)&gt;335,1,((TODAY()-M19)^0.64)/(336^0.64))</f>
        <v>0.11210737430592951</v>
      </c>
      <c r="O19" s="18">
        <v>5.3</v>
      </c>
      <c r="P19" s="19">
        <f>O19*10+19</f>
        <v>72</v>
      </c>
      <c r="Q19" s="25">
        <v>2</v>
      </c>
      <c r="R19" s="63">
        <f>(Q19/7)^0.5</f>
        <v>0.53452248382484879</v>
      </c>
      <c r="S19" s="63">
        <f>IF(Q19=7,1,((Q19+0.99)/7)^0.5)</f>
        <v>0.65356167049702141</v>
      </c>
      <c r="T19" s="27">
        <v>19910</v>
      </c>
      <c r="U19" s="27">
        <f t="shared" si="1"/>
        <v>0</v>
      </c>
      <c r="V19" s="27">
        <v>9648</v>
      </c>
      <c r="W19" s="8">
        <f>T19/V19</f>
        <v>2.0636401326699834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/>
      <c r="AG19" s="8">
        <f t="shared" ca="1" si="2"/>
        <v>1.2784362764701638</v>
      </c>
      <c r="AH19" s="22">
        <f ca="1">(AD19+1+(LOG(I19)*4/3)+N19)*(Q19/7)^0.5</f>
        <v>1.2710734686210408</v>
      </c>
      <c r="AI19" s="22">
        <f ca="1">(AD19+1+N19+(LOG(I19)*4/3))*(IF(Q19=7, (Q19/7)^0.5, ((Q19+1)/7)^0.5))</f>
        <v>1.5567407118555376</v>
      </c>
      <c r="AJ19" s="22">
        <f ca="1">(Z19+N19+(LOG(I19)*4/3))</f>
        <v>7.3779607164991461</v>
      </c>
      <c r="AK19" s="68">
        <f ca="1">(Z19+N19+(LOG(I19)*4/3))*(Q19/7)^0.5</f>
        <v>3.9436858877452847</v>
      </c>
      <c r="AL19" s="68">
        <f ca="1">(Z19+N19+(LOG(I19)*4/3))*(IF(Q19=7, (Q19/7)^0.5, ((Q19+1)/7)^0.5))</f>
        <v>4.8300090653954229</v>
      </c>
      <c r="AM19" s="8">
        <f t="shared" ca="1" si="8"/>
        <v>4.9779607164991466</v>
      </c>
      <c r="AN19" s="8">
        <f t="shared" ca="1" si="9"/>
        <v>0.7102368573199318</v>
      </c>
      <c r="AO19" s="8">
        <f t="shared" ca="1" si="10"/>
        <v>0.13645725015494023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19910</v>
      </c>
    </row>
    <row r="20" spans="1:46" x14ac:dyDescent="0.25">
      <c r="A20" s="15" t="s">
        <v>346</v>
      </c>
      <c r="B20" s="15" t="s">
        <v>43</v>
      </c>
      <c r="C20" s="69">
        <f t="shared" ca="1" si="11"/>
        <v>2.0892857142857144</v>
      </c>
      <c r="D20" s="449" t="s">
        <v>355</v>
      </c>
      <c r="E20" s="16">
        <v>31</v>
      </c>
      <c r="F20" s="2">
        <f ca="1">$D$2-$D$1-880+56-112-112+41-112+15-112-112</f>
        <v>102</v>
      </c>
      <c r="G20" s="17" t="s">
        <v>192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2">
        <v>43417</v>
      </c>
      <c r="N20" s="73">
        <f ca="1">IF((TODAY()-M20)&gt;335,1,((TODAY()-M20)^0.64)/(336^0.64))</f>
        <v>0.89189741911905607</v>
      </c>
      <c r="O20" s="18">
        <v>5.3</v>
      </c>
      <c r="P20" s="19">
        <f>O20*10+19</f>
        <v>72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27">
        <v>12750</v>
      </c>
      <c r="U20" s="27">
        <f t="shared" si="1"/>
        <v>50</v>
      </c>
      <c r="V20" s="27">
        <v>1812</v>
      </c>
      <c r="W20" s="8">
        <f>T20/V20</f>
        <v>7.0364238410596025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3.4860175453689157</v>
      </c>
      <c r="AH20" s="22">
        <f ca="1">(AD20+1+(LOG(I20)*4/3)+N20)*(Q20/7)^0.5</f>
        <v>14.782388119635932</v>
      </c>
      <c r="AI20" s="22">
        <f ca="1">(AD20+1+N20+(LOG(I20)*4/3))*(IF(Q20=7, (Q20/7)^0.5, ((Q20+1)/7)^0.5))</f>
        <v>15.966804051097572</v>
      </c>
      <c r="AJ20" s="22">
        <f ca="1">(Z20+N20+(LOG(I20)*4/3))</f>
        <v>3.9668040510975722</v>
      </c>
      <c r="AK20" s="68">
        <f ca="1">(Z20+N20+(LOG(I20)*4/3))*(Q20/7)^0.5</f>
        <v>3.6725469223653153</v>
      </c>
      <c r="AL20" s="68">
        <f ca="1">(Z20+N20+(LOG(I20)*4/3))*(IF(Q20=7, (Q20/7)^0.5, ((Q20+1)/7)^0.5))</f>
        <v>3.9668040510975722</v>
      </c>
      <c r="AM20" s="8">
        <f t="shared" ca="1" si="8"/>
        <v>13.751804051097571</v>
      </c>
      <c r="AN20" s="8">
        <f t="shared" ca="1" si="9"/>
        <v>0.99484432408780565</v>
      </c>
      <c r="AO20" s="8">
        <f t="shared" ca="1" si="10"/>
        <v>0.76767628357683004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442">
        <v>12700</v>
      </c>
    </row>
    <row r="21" spans="1:46" x14ac:dyDescent="0.25">
      <c r="A21" s="15" t="s">
        <v>351</v>
      </c>
      <c r="B21" s="15" t="s">
        <v>43</v>
      </c>
      <c r="C21" s="69">
        <f t="shared" ca="1" si="11"/>
        <v>3.3125</v>
      </c>
      <c r="D21" s="449" t="s">
        <v>368</v>
      </c>
      <c r="E21" s="16">
        <v>30</v>
      </c>
      <c r="F21" s="2">
        <f ca="1">$D$2-$D$1-1100+25-112-166</f>
        <v>77</v>
      </c>
      <c r="G21" s="17" t="s">
        <v>0</v>
      </c>
      <c r="H21" s="4">
        <v>3</v>
      </c>
      <c r="I21" s="26">
        <v>6</v>
      </c>
      <c r="J21" s="21">
        <f t="shared" si="51"/>
        <v>1.0375350005115249</v>
      </c>
      <c r="K21" s="6">
        <f t="shared" ref="K21" si="64">(H21)*(H21)*(I21)</f>
        <v>54</v>
      </c>
      <c r="L21" s="6">
        <f t="shared" ref="L21" si="65">(H21+1)*(H21+1)*I21</f>
        <v>96</v>
      </c>
      <c r="M21" s="72">
        <v>43590</v>
      </c>
      <c r="N21" s="73">
        <f ca="1">IF((TODAY()-M21)&gt;335,1,((TODAY()-M21)^0.64)/(336^0.64))</f>
        <v>0.48365320048545096</v>
      </c>
      <c r="O21" s="18">
        <v>5</v>
      </c>
      <c r="P21" s="19">
        <f t="shared" si="54"/>
        <v>69</v>
      </c>
      <c r="Q21" s="25">
        <v>7</v>
      </c>
      <c r="R21" s="63">
        <f t="shared" si="55"/>
        <v>1</v>
      </c>
      <c r="S21" s="63">
        <f t="shared" si="56"/>
        <v>1</v>
      </c>
      <c r="T21" s="27">
        <v>40910</v>
      </c>
      <c r="U21" s="27">
        <f t="shared" si="1"/>
        <v>30</v>
      </c>
      <c r="V21" s="27">
        <v>8436</v>
      </c>
      <c r="W21" s="8">
        <f t="shared" si="57"/>
        <v>4.8494547178757701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3.4811598610881518</v>
      </c>
      <c r="AH21" s="22">
        <f t="shared" ref="AH21" ca="1" si="66">(AD21+1+(LOG(I21)*4/3)+N21)*(Q21/7)^0.5</f>
        <v>2.5211882009969759</v>
      </c>
      <c r="AI21" s="22">
        <f t="shared" ref="AI21" ca="1" si="67">(AD21+1+N21+(LOG(I21)*4/3))*(IF(Q21=7, (Q21/7)^0.5, ((Q21+1)/7)^0.5))</f>
        <v>2.5211882009969759</v>
      </c>
      <c r="AJ21" s="22">
        <f t="shared" ref="AJ21" ca="1" si="68">(Z21+N21+(LOG(I21)*4/3))</f>
        <v>7.5211882009969759</v>
      </c>
      <c r="AK21" s="68">
        <f t="shared" ref="AK21" ca="1" si="69">(Z21+N21+(LOG(I21)*4/3))*(Q21/7)^0.5</f>
        <v>7.5211882009969759</v>
      </c>
      <c r="AL21" s="68">
        <f t="shared" ref="AL21" ca="1" si="70">(Z21+N21+(LOG(I21)*4/3))*(IF(Q21=7, (Q21/7)^0.5, ((Q21+1)/7)^0.5))</f>
        <v>7.5211882009969759</v>
      </c>
      <c r="AM21" s="8">
        <f t="shared" ca="1" si="8"/>
        <v>5.1211882009969756</v>
      </c>
      <c r="AN21" s="8">
        <f t="shared" ca="1" si="9"/>
        <v>0.72169505607975803</v>
      </c>
      <c r="AO21" s="8">
        <f t="shared" ca="1" si="10"/>
        <v>0.30648317406978831</v>
      </c>
      <c r="AP21" s="71">
        <f t="shared" ref="AP21" si="71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40880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X25">
        <f>8+2/3</f>
        <v>8.6666666666666661</v>
      </c>
      <c r="AF25" s="49"/>
    </row>
    <row r="26" spans="1:46" x14ac:dyDescent="0.25">
      <c r="X26">
        <f>7+4/3</f>
        <v>8.3333333333333339</v>
      </c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17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H4:AI21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L21">
    <cfRule type="colorScale" priority="5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41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42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4:AT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{741FBF33-63FF-421D-9A1B-2C4392D25CD0}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741FBF33-63FF-421D-9A1B-2C4392D25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G116"/>
  <sheetViews>
    <sheetView tabSelected="1" zoomScaleNormal="100" workbookViewId="0">
      <selection activeCell="Q8" sqref="Q8"/>
    </sheetView>
  </sheetViews>
  <sheetFormatPr baseColWidth="10" defaultRowHeight="15" x14ac:dyDescent="0.25"/>
  <cols>
    <col min="1" max="1" width="4" bestFit="1" customWidth="1"/>
    <col min="2" max="2" width="24.7109375" customWidth="1"/>
    <col min="3" max="3" width="6.140625" bestFit="1" customWidth="1"/>
    <col min="4" max="4" width="5.42578125" bestFit="1" customWidth="1"/>
    <col min="5" max="5" width="5.5703125" bestFit="1" customWidth="1"/>
    <col min="6" max="6" width="5" bestFit="1" customWidth="1"/>
    <col min="7" max="7" width="11.85546875" bestFit="1" customWidth="1"/>
    <col min="8" max="8" width="6.140625" bestFit="1" customWidth="1"/>
    <col min="9" max="9" width="6.28515625" bestFit="1" customWidth="1"/>
    <col min="10" max="10" width="6.140625" bestFit="1" customWidth="1"/>
    <col min="11" max="11" width="6.7109375" customWidth="1"/>
    <col min="12" max="12" width="5" bestFit="1" customWidth="1"/>
    <col min="13" max="13" width="5.28515625" bestFit="1" customWidth="1"/>
    <col min="14" max="14" width="5.5703125" bestFit="1" customWidth="1"/>
    <col min="15" max="15" width="5.42578125" bestFit="1" customWidth="1"/>
    <col min="16" max="16" width="5.5703125" bestFit="1" customWidth="1"/>
    <col min="17" max="17" width="5" bestFit="1" customWidth="1"/>
    <col min="18" max="18" width="5.5703125" bestFit="1" customWidth="1"/>
    <col min="19" max="19" width="5.140625" bestFit="1" customWidth="1"/>
    <col min="20" max="22" width="5.5703125" bestFit="1" customWidth="1"/>
    <col min="23" max="23" width="4" bestFit="1" customWidth="1"/>
    <col min="24" max="24" width="5" bestFit="1" customWidth="1"/>
    <col min="25" max="25" width="5.42578125" bestFit="1" customWidth="1"/>
    <col min="26" max="26" width="5.5703125" bestFit="1" customWidth="1"/>
    <col min="27" max="27" width="5" bestFit="1" customWidth="1"/>
    <col min="28" max="28" width="4" bestFit="1" customWidth="1"/>
    <col min="29" max="29" width="7.28515625" bestFit="1" customWidth="1"/>
    <col min="30" max="30" width="6" customWidth="1"/>
    <col min="31" max="33" width="4" bestFit="1" customWidth="1"/>
    <col min="34" max="34" width="4.7109375" bestFit="1" customWidth="1"/>
    <col min="35" max="35" width="4" bestFit="1" customWidth="1"/>
    <col min="36" max="36" width="18.42578125" bestFit="1" customWidth="1"/>
    <col min="38" max="38" width="28.42578125" bestFit="1" customWidth="1"/>
    <col min="39" max="39" width="5.28515625" bestFit="1" customWidth="1"/>
    <col min="40" max="40" width="6.28515625" bestFit="1" customWidth="1"/>
    <col min="41" max="41" width="5.5703125" style="46" bestFit="1" customWidth="1"/>
    <col min="42" max="42" width="5" bestFit="1" customWidth="1"/>
    <col min="43" max="43" width="5.7109375" bestFit="1" customWidth="1"/>
    <col min="44" max="44" width="7.42578125" bestFit="1" customWidth="1"/>
    <col min="45" max="45" width="7.5703125" bestFit="1" customWidth="1"/>
    <col min="46" max="46" width="5.5703125" bestFit="1" customWidth="1"/>
    <col min="47" max="47" width="7.28515625" bestFit="1" customWidth="1"/>
    <col min="48" max="48" width="5" bestFit="1" customWidth="1"/>
    <col min="49" max="49" width="7.28515625" bestFit="1" customWidth="1"/>
    <col min="50" max="50" width="7.42578125" bestFit="1" customWidth="1"/>
    <col min="51" max="51" width="8.140625" bestFit="1" customWidth="1"/>
    <col min="52" max="52" width="5.7109375" bestFit="1" customWidth="1"/>
    <col min="53" max="53" width="7.42578125" bestFit="1" customWidth="1"/>
    <col min="54" max="55" width="5.7109375" bestFit="1" customWidth="1"/>
    <col min="56" max="56" width="11.5703125" bestFit="1" customWidth="1"/>
  </cols>
  <sheetData>
    <row r="1" spans="1:57" x14ac:dyDescent="0.25">
      <c r="A1" s="151"/>
      <c r="B1" s="152" t="s">
        <v>408</v>
      </c>
      <c r="C1" s="152"/>
      <c r="D1" s="152"/>
      <c r="E1" s="153"/>
      <c r="F1" s="152"/>
      <c r="G1" s="153"/>
      <c r="H1" s="154"/>
      <c r="I1" s="153"/>
      <c r="J1" s="153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3"/>
      <c r="Z1" s="153"/>
      <c r="AA1" s="153"/>
      <c r="AB1" s="153"/>
      <c r="AC1" s="153"/>
      <c r="AD1" s="155"/>
      <c r="AE1" s="155"/>
      <c r="AF1" s="155"/>
      <c r="AG1" s="155"/>
      <c r="AH1" s="155"/>
      <c r="AI1" s="155"/>
      <c r="AJ1" s="154"/>
      <c r="AL1" s="295" t="s">
        <v>459</v>
      </c>
      <c r="AM1" s="296"/>
      <c r="AN1" s="296"/>
      <c r="AO1" s="297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</row>
    <row r="2" spans="1:57" x14ac:dyDescent="0.25">
      <c r="A2" s="156"/>
      <c r="B2" s="157" t="s">
        <v>3</v>
      </c>
      <c r="C2" s="157" t="s">
        <v>409</v>
      </c>
      <c r="D2" s="157" t="s">
        <v>5</v>
      </c>
      <c r="E2" s="158" t="s">
        <v>410</v>
      </c>
      <c r="F2" s="157" t="s">
        <v>411</v>
      </c>
      <c r="G2" s="158" t="s">
        <v>412</v>
      </c>
      <c r="H2" s="159" t="s">
        <v>413</v>
      </c>
      <c r="I2" s="158" t="s">
        <v>414</v>
      </c>
      <c r="J2" s="158" t="s">
        <v>7</v>
      </c>
      <c r="K2" s="157" t="s">
        <v>27</v>
      </c>
      <c r="L2" s="157" t="s">
        <v>415</v>
      </c>
      <c r="M2" s="160" t="s">
        <v>29</v>
      </c>
      <c r="N2" s="160" t="s">
        <v>415</v>
      </c>
      <c r="O2" s="157" t="s">
        <v>68</v>
      </c>
      <c r="P2" s="157" t="s">
        <v>415</v>
      </c>
      <c r="Q2" s="160" t="s">
        <v>113</v>
      </c>
      <c r="R2" s="160" t="s">
        <v>415</v>
      </c>
      <c r="S2" s="157" t="s">
        <v>69</v>
      </c>
      <c r="T2" s="157" t="s">
        <v>415</v>
      </c>
      <c r="U2" s="160" t="s">
        <v>70</v>
      </c>
      <c r="V2" s="160" t="s">
        <v>415</v>
      </c>
      <c r="W2" s="157" t="s">
        <v>46</v>
      </c>
      <c r="X2" s="157" t="s">
        <v>415</v>
      </c>
      <c r="Y2" s="161" t="s">
        <v>416</v>
      </c>
      <c r="Z2" s="161" t="s">
        <v>101</v>
      </c>
      <c r="AA2" s="158" t="s">
        <v>417</v>
      </c>
      <c r="AB2" s="158" t="s">
        <v>46</v>
      </c>
      <c r="AC2" s="158" t="s">
        <v>193</v>
      </c>
      <c r="AD2" s="162" t="s">
        <v>418</v>
      </c>
      <c r="AE2" s="162" t="s">
        <v>419</v>
      </c>
      <c r="AF2" s="162" t="s">
        <v>420</v>
      </c>
      <c r="AG2" s="162" t="s">
        <v>421</v>
      </c>
      <c r="AH2" s="162" t="s">
        <v>422</v>
      </c>
      <c r="AI2" s="162" t="s">
        <v>423</v>
      </c>
      <c r="AJ2" s="159" t="s">
        <v>424</v>
      </c>
      <c r="AL2" s="259" t="s">
        <v>3</v>
      </c>
      <c r="AM2" s="259" t="s">
        <v>409</v>
      </c>
      <c r="AN2" s="259" t="s">
        <v>5</v>
      </c>
      <c r="AO2" s="298" t="s">
        <v>410</v>
      </c>
      <c r="AP2" s="300" t="s">
        <v>27</v>
      </c>
      <c r="AQ2" s="300" t="s">
        <v>460</v>
      </c>
      <c r="AR2" s="300" t="s">
        <v>29</v>
      </c>
      <c r="AS2" s="300" t="s">
        <v>461</v>
      </c>
      <c r="AT2" s="300" t="s">
        <v>68</v>
      </c>
      <c r="AU2" s="300" t="s">
        <v>462</v>
      </c>
      <c r="AV2" s="300" t="s">
        <v>113</v>
      </c>
      <c r="AW2" s="300" t="s">
        <v>463</v>
      </c>
      <c r="AX2" s="300" t="s">
        <v>70</v>
      </c>
      <c r="AY2" s="300" t="s">
        <v>464</v>
      </c>
      <c r="AZ2" s="300" t="s">
        <v>69</v>
      </c>
      <c r="BA2" s="300" t="s">
        <v>465</v>
      </c>
      <c r="BB2" s="300" t="s">
        <v>46</v>
      </c>
      <c r="BC2" s="300" t="s">
        <v>466</v>
      </c>
      <c r="BD2" s="300" t="s">
        <v>380</v>
      </c>
    </row>
    <row r="3" spans="1:57" x14ac:dyDescent="0.25">
      <c r="A3" s="163"/>
      <c r="B3" s="180" t="s">
        <v>428</v>
      </c>
      <c r="C3" s="181">
        <v>16</v>
      </c>
      <c r="D3" s="166">
        <f ca="1">B33-2100-6-93-112+4-62-112-112</f>
        <v>107</v>
      </c>
      <c r="E3" s="167"/>
      <c r="F3" s="168">
        <f ca="1">G3-TODAY()</f>
        <v>5</v>
      </c>
      <c r="G3" s="169">
        <v>43703</v>
      </c>
      <c r="H3" s="170"/>
      <c r="I3" s="171" t="s">
        <v>429</v>
      </c>
      <c r="J3" s="170" t="s">
        <v>426</v>
      </c>
      <c r="K3" s="181"/>
      <c r="L3" s="177">
        <v>1.99</v>
      </c>
      <c r="M3" s="172">
        <v>5</v>
      </c>
      <c r="N3" s="173">
        <v>5.99</v>
      </c>
      <c r="O3" s="181"/>
      <c r="P3" s="177">
        <v>3.99</v>
      </c>
      <c r="Q3" s="181"/>
      <c r="R3" s="177">
        <v>2.99</v>
      </c>
      <c r="S3" s="181"/>
      <c r="T3" s="177">
        <v>2.99</v>
      </c>
      <c r="U3" s="181"/>
      <c r="V3" s="177">
        <v>3.99</v>
      </c>
      <c r="W3" s="181"/>
      <c r="X3" s="177">
        <v>4.99</v>
      </c>
      <c r="Y3" s="178">
        <f>7-(COUNTBLANK(K3)+COUNTBLANK(M3)+COUNTBLANK(O3)+COUNTBLANK(Q3)+COUNTBLANK(S3)+COUNTBLANK(U3)+COUNTBLANK(W3))</f>
        <v>1</v>
      </c>
      <c r="Z3" s="170">
        <f>COUNT(X3,T3,V3,R3,P3,N3,L3)</f>
        <v>7</v>
      </c>
      <c r="AA3" s="182"/>
      <c r="AB3" s="182"/>
      <c r="AC3" s="182"/>
      <c r="AD3" s="179"/>
      <c r="AE3" s="179">
        <v>4.5</v>
      </c>
      <c r="AF3" s="179">
        <v>4.5</v>
      </c>
      <c r="AG3" s="179"/>
      <c r="AH3" s="179"/>
      <c r="AI3" s="179"/>
      <c r="AJ3" s="179" t="s">
        <v>430</v>
      </c>
      <c r="AL3" s="273" t="s">
        <v>467</v>
      </c>
      <c r="AM3" s="267">
        <v>17</v>
      </c>
      <c r="AN3" s="274">
        <v>0</v>
      </c>
      <c r="AO3" s="299"/>
      <c r="AP3" s="260"/>
      <c r="AQ3" s="260"/>
      <c r="AR3" s="261">
        <v>4</v>
      </c>
      <c r="AS3" s="261">
        <v>4.99</v>
      </c>
      <c r="AT3" s="261">
        <v>5</v>
      </c>
      <c r="AU3" s="262">
        <v>5.99</v>
      </c>
      <c r="AV3" s="263">
        <v>2</v>
      </c>
      <c r="AW3" s="263">
        <v>2.99</v>
      </c>
      <c r="AX3" s="260"/>
      <c r="AY3" s="264">
        <v>3.99</v>
      </c>
      <c r="AZ3" s="263">
        <v>5</v>
      </c>
      <c r="BA3" s="265">
        <v>5.99</v>
      </c>
      <c r="BB3" s="263">
        <v>0</v>
      </c>
      <c r="BC3" s="263">
        <v>0.99</v>
      </c>
      <c r="BD3" s="266">
        <v>41367</v>
      </c>
    </row>
    <row r="4" spans="1:57" x14ac:dyDescent="0.25">
      <c r="A4" s="151"/>
      <c r="B4" s="183" t="s">
        <v>431</v>
      </c>
      <c r="C4" s="183"/>
      <c r="D4" s="183"/>
      <c r="E4" s="184"/>
      <c r="F4" s="183"/>
      <c r="G4" s="184"/>
      <c r="H4" s="185"/>
      <c r="I4" s="184"/>
      <c r="J4" s="184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4"/>
      <c r="Z4" s="184"/>
      <c r="AA4" s="184"/>
      <c r="AB4" s="184"/>
      <c r="AC4" s="184"/>
      <c r="AD4" s="186"/>
      <c r="AE4" s="186"/>
      <c r="AF4" s="186"/>
      <c r="AG4" s="186"/>
      <c r="AH4" s="186"/>
      <c r="AI4" s="186"/>
      <c r="AJ4" s="185"/>
      <c r="AL4" s="273" t="s">
        <v>468</v>
      </c>
      <c r="AM4" s="267">
        <v>17</v>
      </c>
      <c r="AN4" s="274">
        <v>0</v>
      </c>
      <c r="AO4" s="299"/>
      <c r="AP4" s="268"/>
      <c r="AQ4" s="268"/>
      <c r="AR4" s="269">
        <v>2</v>
      </c>
      <c r="AS4" s="270">
        <v>3.99</v>
      </c>
      <c r="AT4" s="262">
        <v>7</v>
      </c>
      <c r="AU4" s="262">
        <v>7</v>
      </c>
      <c r="AV4" s="261">
        <v>3</v>
      </c>
      <c r="AW4" s="261">
        <v>3.99</v>
      </c>
      <c r="AX4" s="271">
        <v>3</v>
      </c>
      <c r="AY4" s="272">
        <v>3.99</v>
      </c>
      <c r="AZ4" s="261">
        <v>4</v>
      </c>
      <c r="BA4" s="261">
        <v>4.99</v>
      </c>
      <c r="BB4" s="268"/>
      <c r="BC4" s="268"/>
      <c r="BD4" s="266">
        <v>41371</v>
      </c>
      <c r="BE4" s="163"/>
    </row>
    <row r="5" spans="1:57" x14ac:dyDescent="0.25">
      <c r="A5" s="187"/>
      <c r="B5" s="188" t="s">
        <v>432</v>
      </c>
      <c r="C5" s="188"/>
      <c r="D5" s="188"/>
      <c r="E5" s="189"/>
      <c r="F5" s="188"/>
      <c r="G5" s="190"/>
      <c r="H5" s="191"/>
      <c r="I5" s="190"/>
      <c r="J5" s="190"/>
      <c r="K5" s="192" t="s">
        <v>433</v>
      </c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0"/>
      <c r="Z5" s="190"/>
      <c r="AA5" s="190"/>
      <c r="AB5" s="190"/>
      <c r="AC5" s="190"/>
      <c r="AD5" s="193" t="s">
        <v>434</v>
      </c>
      <c r="AE5" s="193"/>
      <c r="AF5" s="193"/>
      <c r="AG5" s="193"/>
      <c r="AH5" s="193"/>
      <c r="AI5" s="193"/>
      <c r="AJ5" s="194"/>
      <c r="AL5" s="273" t="s">
        <v>469</v>
      </c>
      <c r="AM5" s="267">
        <v>19</v>
      </c>
      <c r="AN5" s="274">
        <v>1709</v>
      </c>
      <c r="AO5" s="299"/>
      <c r="AP5" s="268"/>
      <c r="AQ5" s="268"/>
      <c r="AR5" s="268"/>
      <c r="AS5" s="270">
        <v>2.99</v>
      </c>
      <c r="AT5" s="261">
        <v>6</v>
      </c>
      <c r="AU5" s="262">
        <v>6.1</v>
      </c>
      <c r="AV5" s="268"/>
      <c r="AW5" s="270">
        <v>2.99</v>
      </c>
      <c r="AX5" s="269">
        <v>2</v>
      </c>
      <c r="AY5" s="270">
        <v>3.99</v>
      </c>
      <c r="AZ5" s="263">
        <v>3</v>
      </c>
      <c r="BA5" s="263">
        <v>3.99</v>
      </c>
      <c r="BB5" s="263">
        <v>1</v>
      </c>
      <c r="BC5" s="263">
        <v>1.99</v>
      </c>
      <c r="BD5" s="266">
        <v>41391</v>
      </c>
      <c r="BE5" s="163"/>
    </row>
    <row r="6" spans="1:57" x14ac:dyDescent="0.25">
      <c r="A6" s="156"/>
      <c r="B6" s="195" t="s">
        <v>3</v>
      </c>
      <c r="C6" s="195" t="s">
        <v>409</v>
      </c>
      <c r="D6" s="195" t="s">
        <v>5</v>
      </c>
      <c r="E6" s="196" t="s">
        <v>410</v>
      </c>
      <c r="F6" s="195" t="s">
        <v>411</v>
      </c>
      <c r="G6" s="196" t="str">
        <f>G2</f>
        <v>Promoción</v>
      </c>
      <c r="H6" s="197" t="str">
        <f>H2</f>
        <v>Gen</v>
      </c>
      <c r="I6" s="196" t="str">
        <f>I2</f>
        <v>u20</v>
      </c>
      <c r="J6" s="196" t="str">
        <f>J2</f>
        <v>Lid</v>
      </c>
      <c r="K6" s="195" t="s">
        <v>27</v>
      </c>
      <c r="L6" s="195" t="str">
        <f t="shared" ref="L6:AA6" si="0">L2</f>
        <v>Pot</v>
      </c>
      <c r="M6" s="198" t="str">
        <f t="shared" si="0"/>
        <v>DEF</v>
      </c>
      <c r="N6" s="198" t="str">
        <f t="shared" si="0"/>
        <v>Pot</v>
      </c>
      <c r="O6" s="195" t="str">
        <f t="shared" si="0"/>
        <v>JUG</v>
      </c>
      <c r="P6" s="195" t="str">
        <f t="shared" si="0"/>
        <v>Pot</v>
      </c>
      <c r="Q6" s="198" t="str">
        <f t="shared" si="0"/>
        <v>LAT</v>
      </c>
      <c r="R6" s="198" t="str">
        <f t="shared" si="0"/>
        <v>Pot</v>
      </c>
      <c r="S6" s="195" t="str">
        <f t="shared" si="0"/>
        <v>PAS</v>
      </c>
      <c r="T6" s="195" t="str">
        <f t="shared" si="0"/>
        <v>Pot</v>
      </c>
      <c r="U6" s="198" t="str">
        <f t="shared" si="0"/>
        <v>ANO</v>
      </c>
      <c r="V6" s="198" t="str">
        <f t="shared" si="0"/>
        <v>Pot</v>
      </c>
      <c r="W6" s="195" t="str">
        <f t="shared" si="0"/>
        <v>BP</v>
      </c>
      <c r="X6" s="195" t="str">
        <f t="shared" si="0"/>
        <v>Pot</v>
      </c>
      <c r="Y6" s="199" t="str">
        <f t="shared" si="0"/>
        <v>HAB</v>
      </c>
      <c r="Z6" s="199" t="str">
        <f t="shared" si="0"/>
        <v>POT</v>
      </c>
      <c r="AA6" s="196" t="str">
        <f t="shared" si="0"/>
        <v>Cap</v>
      </c>
      <c r="AB6" s="196" t="s">
        <v>46</v>
      </c>
      <c r="AC6" s="196" t="str">
        <f t="shared" ref="AC6:AJ6" si="1">AC2</f>
        <v>HTMS</v>
      </c>
      <c r="AD6" s="200" t="str">
        <f t="shared" si="1"/>
        <v>PR</v>
      </c>
      <c r="AE6" s="200" t="str">
        <f t="shared" si="1"/>
        <v>DL</v>
      </c>
      <c r="AF6" s="200" t="str">
        <f t="shared" si="1"/>
        <v>DC</v>
      </c>
      <c r="AG6" s="200" t="str">
        <f t="shared" si="1"/>
        <v>In</v>
      </c>
      <c r="AH6" s="200" t="str">
        <f t="shared" si="1"/>
        <v>ExO</v>
      </c>
      <c r="AI6" s="200" t="str">
        <f t="shared" si="1"/>
        <v>DV</v>
      </c>
      <c r="AJ6" s="197" t="str">
        <f t="shared" si="1"/>
        <v>Atributs</v>
      </c>
      <c r="AL6" s="273" t="s">
        <v>470</v>
      </c>
      <c r="AM6" s="267">
        <v>17</v>
      </c>
      <c r="AN6" s="274">
        <v>0</v>
      </c>
      <c r="AO6" s="299" t="s">
        <v>471</v>
      </c>
      <c r="AP6" s="268"/>
      <c r="AQ6" s="270">
        <v>1.99</v>
      </c>
      <c r="AR6" s="268"/>
      <c r="AS6" s="270">
        <v>2.99</v>
      </c>
      <c r="AT6" s="261">
        <v>4</v>
      </c>
      <c r="AU6" s="261">
        <v>4.99</v>
      </c>
      <c r="AV6" s="275">
        <v>5</v>
      </c>
      <c r="AW6" s="301">
        <v>5.99</v>
      </c>
      <c r="AX6" s="268"/>
      <c r="AY6" s="270">
        <v>1.99</v>
      </c>
      <c r="AZ6" s="275">
        <v>5</v>
      </c>
      <c r="BA6" s="301">
        <v>5.99</v>
      </c>
      <c r="BB6" s="268"/>
      <c r="BC6" s="268"/>
      <c r="BD6" s="266">
        <v>41412</v>
      </c>
      <c r="BE6" s="163"/>
    </row>
    <row r="7" spans="1:57" x14ac:dyDescent="0.25">
      <c r="A7" s="163" t="s">
        <v>28</v>
      </c>
      <c r="B7" s="180" t="s">
        <v>435</v>
      </c>
      <c r="C7" s="181">
        <v>16</v>
      </c>
      <c r="D7" s="201">
        <f ca="1">B33-2100-6-93+31-112-29-112-112-87</f>
        <v>80</v>
      </c>
      <c r="E7" s="167"/>
      <c r="F7" s="168">
        <f t="shared" ref="F7:F10" ca="1" si="2">G7-TODAY()</f>
        <v>32</v>
      </c>
      <c r="G7" s="169">
        <v>43730</v>
      </c>
      <c r="H7" s="202"/>
      <c r="I7" s="170" t="s">
        <v>436</v>
      </c>
      <c r="J7" s="170" t="s">
        <v>426</v>
      </c>
      <c r="K7" s="181"/>
      <c r="L7" s="181"/>
      <c r="M7" s="175">
        <v>3</v>
      </c>
      <c r="N7" s="176">
        <v>3.99</v>
      </c>
      <c r="O7" s="203">
        <v>4</v>
      </c>
      <c r="P7" s="204">
        <v>5.99</v>
      </c>
      <c r="Q7" s="175">
        <v>1</v>
      </c>
      <c r="R7" s="176">
        <v>1.99</v>
      </c>
      <c r="S7" s="181"/>
      <c r="T7" s="204">
        <v>5.99</v>
      </c>
      <c r="U7" s="203">
        <v>5</v>
      </c>
      <c r="V7" s="205">
        <v>7</v>
      </c>
      <c r="W7" s="181"/>
      <c r="X7" s="181"/>
      <c r="Y7" s="178">
        <f>7-(COUNTBLANK(K7)+COUNTBLANK(M7)+COUNTBLANK(O7)+COUNTBLANK(Q7)+COUNTBLANK(S7)+COUNTBLANK(U7)+COUNTBLANK(W7))</f>
        <v>4</v>
      </c>
      <c r="Z7" s="170">
        <f>COUNT(X7,T7,V7,R7,P7,N7,L7)</f>
        <v>5</v>
      </c>
      <c r="AA7" s="182"/>
      <c r="AB7" s="182"/>
      <c r="AC7" s="182"/>
      <c r="AD7" s="179"/>
      <c r="AE7" s="179"/>
      <c r="AF7" s="179"/>
      <c r="AG7" s="179"/>
      <c r="AH7" s="179"/>
      <c r="AI7" s="179">
        <v>7</v>
      </c>
      <c r="AJ7" s="179" t="s">
        <v>430</v>
      </c>
      <c r="AL7" s="273" t="s">
        <v>472</v>
      </c>
      <c r="AM7" s="267">
        <v>17</v>
      </c>
      <c r="AN7" s="274">
        <v>1799</v>
      </c>
      <c r="AO7" s="299"/>
      <c r="AP7" s="276"/>
      <c r="AQ7" s="277">
        <v>1.99</v>
      </c>
      <c r="AR7" s="276"/>
      <c r="AS7" s="277">
        <v>2.99</v>
      </c>
      <c r="AT7" s="278">
        <v>4</v>
      </c>
      <c r="AU7" s="278">
        <v>4.99</v>
      </c>
      <c r="AV7" s="278">
        <v>5</v>
      </c>
      <c r="AW7" s="279">
        <v>5.99</v>
      </c>
      <c r="AX7" s="280">
        <v>3</v>
      </c>
      <c r="AY7" s="281">
        <v>3.99</v>
      </c>
      <c r="AZ7" s="278">
        <v>3</v>
      </c>
      <c r="BA7" s="278">
        <v>3.99</v>
      </c>
      <c r="BB7" s="276"/>
      <c r="BC7" s="276"/>
      <c r="BD7" s="302"/>
      <c r="BE7" s="163"/>
    </row>
    <row r="8" spans="1:57" x14ac:dyDescent="0.25">
      <c r="A8" s="163" t="s">
        <v>31</v>
      </c>
      <c r="B8" s="164" t="s">
        <v>671</v>
      </c>
      <c r="C8" s="165">
        <v>16</v>
      </c>
      <c r="D8" s="166">
        <f ca="1">B33-2100-6-93-112+6-36-112-112-12-112</f>
        <v>11</v>
      </c>
      <c r="E8" s="167" t="s">
        <v>192</v>
      </c>
      <c r="F8" s="168">
        <f t="shared" ca="1" si="2"/>
        <v>101</v>
      </c>
      <c r="G8" s="169">
        <v>43799</v>
      </c>
      <c r="H8" s="226" t="s">
        <v>451</v>
      </c>
      <c r="I8" s="202" t="s">
        <v>436</v>
      </c>
      <c r="J8" s="170" t="s">
        <v>426</v>
      </c>
      <c r="K8" s="165"/>
      <c r="L8" s="177">
        <v>1.99</v>
      </c>
      <c r="M8" s="165"/>
      <c r="N8" s="177">
        <v>3.99</v>
      </c>
      <c r="O8" s="165"/>
      <c r="P8" s="177">
        <v>3.99</v>
      </c>
      <c r="Q8" s="165"/>
      <c r="R8" s="204">
        <v>5.99</v>
      </c>
      <c r="S8" s="165"/>
      <c r="T8" s="177">
        <v>4.99</v>
      </c>
      <c r="U8" s="203">
        <v>5</v>
      </c>
      <c r="V8" s="205">
        <v>6.99</v>
      </c>
      <c r="W8" s="165"/>
      <c r="X8" s="165"/>
      <c r="Y8" s="178">
        <f t="shared" ref="Y8" si="3">7-(COUNTBLANK(K8)+COUNTBLANK(M8)+COUNTBLANK(O8)+COUNTBLANK(Q8)+COUNTBLANK(S8)+COUNTBLANK(U8)+COUNTBLANK(W8))</f>
        <v>1</v>
      </c>
      <c r="Z8" s="170">
        <f t="shared" ref="Z8" si="4">COUNT(X8,T8,V8,R8,P8,N8,L8)</f>
        <v>6</v>
      </c>
      <c r="AA8" s="170"/>
      <c r="AB8" s="170"/>
      <c r="AC8" s="170"/>
      <c r="AD8" s="179"/>
      <c r="AE8" s="179"/>
      <c r="AF8" s="179"/>
      <c r="AG8" s="179"/>
      <c r="AH8" s="179"/>
      <c r="AI8" s="179">
        <v>7</v>
      </c>
      <c r="AJ8" s="179" t="s">
        <v>443</v>
      </c>
      <c r="AL8" s="273" t="s">
        <v>477</v>
      </c>
      <c r="AM8" s="267">
        <v>17</v>
      </c>
      <c r="AN8" s="274">
        <v>1723</v>
      </c>
      <c r="AO8" s="299" t="s">
        <v>478</v>
      </c>
      <c r="AP8" s="276"/>
      <c r="AQ8" s="276"/>
      <c r="AR8" s="278">
        <v>2</v>
      </c>
      <c r="AS8" s="278">
        <v>2.99</v>
      </c>
      <c r="AT8" s="278">
        <v>5</v>
      </c>
      <c r="AU8" s="279">
        <v>5.99</v>
      </c>
      <c r="AV8" s="278">
        <v>5</v>
      </c>
      <c r="AW8" s="279">
        <v>5.99</v>
      </c>
      <c r="AX8" s="276"/>
      <c r="AY8" s="277">
        <v>2.99</v>
      </c>
      <c r="AZ8" s="278">
        <v>5</v>
      </c>
      <c r="BA8" s="279">
        <v>5.99</v>
      </c>
      <c r="BB8" s="276"/>
      <c r="BC8" s="277">
        <v>3.99</v>
      </c>
      <c r="BD8" s="303"/>
      <c r="BE8" s="163"/>
    </row>
    <row r="9" spans="1:57" x14ac:dyDescent="0.25">
      <c r="A9" s="163" t="s">
        <v>32</v>
      </c>
      <c r="B9" s="206" t="s">
        <v>437</v>
      </c>
      <c r="C9" s="165">
        <v>16</v>
      </c>
      <c r="D9" s="166">
        <f ca="1">88+B33-2254-6-112-112-112-82</f>
        <v>110</v>
      </c>
      <c r="E9" s="167" t="s">
        <v>101</v>
      </c>
      <c r="F9" s="168">
        <f t="shared" ca="1" si="2"/>
        <v>24</v>
      </c>
      <c r="G9" s="169">
        <v>43722</v>
      </c>
      <c r="H9" s="207" t="s">
        <v>438</v>
      </c>
      <c r="I9" s="171" t="s">
        <v>427</v>
      </c>
      <c r="J9" s="170" t="s">
        <v>426</v>
      </c>
      <c r="K9" s="181"/>
      <c r="L9" s="181"/>
      <c r="M9" s="181"/>
      <c r="N9" s="181"/>
      <c r="O9" s="181"/>
      <c r="P9" s="177">
        <v>4.99</v>
      </c>
      <c r="Q9" s="181"/>
      <c r="R9" s="177">
        <v>3.99</v>
      </c>
      <c r="S9" s="175">
        <v>2</v>
      </c>
      <c r="T9" s="176">
        <v>2.99</v>
      </c>
      <c r="U9" s="203">
        <v>5.0999999999999996</v>
      </c>
      <c r="V9" s="205">
        <v>7</v>
      </c>
      <c r="W9" s="181"/>
      <c r="X9" s="181"/>
      <c r="Y9" s="178">
        <f>7-(COUNTBLANK(K9)+COUNTBLANK(M9)+COUNTBLANK(O9)+COUNTBLANK(Q9)+COUNTBLANK(S9)+COUNTBLANK(U9)+COUNTBLANK(W9))</f>
        <v>2</v>
      </c>
      <c r="Z9" s="170">
        <f>COUNT(X9,T9,V9,R9,P9,N9,L9)</f>
        <v>4</v>
      </c>
      <c r="AA9" s="182"/>
      <c r="AB9" s="182"/>
      <c r="AC9" s="182"/>
      <c r="AD9" s="179"/>
      <c r="AE9" s="179"/>
      <c r="AF9" s="179"/>
      <c r="AG9" s="179"/>
      <c r="AH9" s="179"/>
      <c r="AI9" s="179">
        <v>6</v>
      </c>
      <c r="AJ9" s="179" t="s">
        <v>430</v>
      </c>
      <c r="AL9" s="273" t="s">
        <v>473</v>
      </c>
      <c r="AM9" s="267">
        <v>17</v>
      </c>
      <c r="AN9" s="274">
        <v>1795</v>
      </c>
      <c r="AO9" s="299"/>
      <c r="AP9" s="276"/>
      <c r="AQ9" s="276"/>
      <c r="AR9" s="278">
        <v>4</v>
      </c>
      <c r="AS9" s="278">
        <v>4.99</v>
      </c>
      <c r="AT9" s="281">
        <v>6</v>
      </c>
      <c r="AU9" s="282">
        <v>6.99</v>
      </c>
      <c r="AV9" s="280">
        <v>3</v>
      </c>
      <c r="AW9" s="281">
        <v>3.99</v>
      </c>
      <c r="AX9" s="276"/>
      <c r="AY9" s="276"/>
      <c r="AZ9" s="278">
        <v>2</v>
      </c>
      <c r="BA9" s="278">
        <v>2.99</v>
      </c>
      <c r="BB9" s="276"/>
      <c r="BC9" s="283"/>
      <c r="BD9" s="302"/>
      <c r="BE9" s="163"/>
    </row>
    <row r="10" spans="1:57" x14ac:dyDescent="0.25">
      <c r="A10" s="163" t="s">
        <v>38</v>
      </c>
      <c r="B10" s="180" t="s">
        <v>442</v>
      </c>
      <c r="C10" s="165">
        <v>16</v>
      </c>
      <c r="D10" s="166">
        <f ca="1">86+B33-2516-112-112</f>
        <v>46</v>
      </c>
      <c r="E10" s="167" t="s">
        <v>192</v>
      </c>
      <c r="F10" s="168">
        <f t="shared" ca="1" si="2"/>
        <v>66</v>
      </c>
      <c r="G10" s="169">
        <v>43764</v>
      </c>
      <c r="H10" s="207" t="s">
        <v>438</v>
      </c>
      <c r="I10" s="171" t="s">
        <v>441</v>
      </c>
      <c r="J10" s="170" t="s">
        <v>426</v>
      </c>
      <c r="K10" s="170"/>
      <c r="L10" s="170"/>
      <c r="M10" s="170"/>
      <c r="N10" s="170"/>
      <c r="O10" s="203">
        <v>4</v>
      </c>
      <c r="P10" s="205">
        <v>6.99</v>
      </c>
      <c r="Q10" s="203">
        <v>3</v>
      </c>
      <c r="R10" s="177">
        <v>4.99</v>
      </c>
      <c r="S10" s="175">
        <v>2</v>
      </c>
      <c r="T10" s="176">
        <v>2.99</v>
      </c>
      <c r="U10" s="170"/>
      <c r="V10" s="170"/>
      <c r="W10" s="170"/>
      <c r="X10" s="170"/>
      <c r="Y10" s="178">
        <f>7-(COUNTBLANK(K10)+COUNTBLANK(M10)+COUNTBLANK(O10)+COUNTBLANK(Q10)+COUNTBLANK(S10)+COUNTBLANK(U10)+COUNTBLANK(W10))</f>
        <v>3</v>
      </c>
      <c r="Z10" s="170">
        <f>COUNT(X10,T10,V10,R10,P10,N10,L10)</f>
        <v>3</v>
      </c>
      <c r="AA10" s="182"/>
      <c r="AB10" s="182"/>
      <c r="AC10" s="182"/>
      <c r="AD10" s="179"/>
      <c r="AE10" s="179"/>
      <c r="AF10" s="179"/>
      <c r="AG10" s="179">
        <v>4.5</v>
      </c>
      <c r="AH10" s="179">
        <v>4</v>
      </c>
      <c r="AI10" s="179"/>
      <c r="AJ10" s="179" t="s">
        <v>443</v>
      </c>
      <c r="AL10" s="273" t="s">
        <v>476</v>
      </c>
      <c r="AM10" s="267">
        <v>17</v>
      </c>
      <c r="AN10" s="274">
        <v>1729</v>
      </c>
      <c r="AO10" s="299" t="s">
        <v>415</v>
      </c>
      <c r="AP10" s="276"/>
      <c r="AQ10" s="276"/>
      <c r="AR10" s="278">
        <v>6</v>
      </c>
      <c r="AS10" s="279">
        <v>6.99</v>
      </c>
      <c r="AT10" s="278">
        <v>5</v>
      </c>
      <c r="AU10" s="279">
        <v>5.99</v>
      </c>
      <c r="AV10" s="278">
        <v>3</v>
      </c>
      <c r="AW10" s="278">
        <v>3.99</v>
      </c>
      <c r="AX10" s="276"/>
      <c r="AY10" s="277">
        <v>2.99</v>
      </c>
      <c r="AZ10" s="276"/>
      <c r="BA10" s="277">
        <v>2.99</v>
      </c>
      <c r="BB10" s="276"/>
      <c r="BC10" s="277">
        <v>3.99</v>
      </c>
      <c r="BD10" s="303"/>
      <c r="BE10" s="285"/>
    </row>
    <row r="11" spans="1:57" x14ac:dyDescent="0.25">
      <c r="A11" s="151"/>
      <c r="B11" s="209" t="s">
        <v>444</v>
      </c>
      <c r="C11" s="209"/>
      <c r="D11" s="209"/>
      <c r="E11" s="210"/>
      <c r="F11" s="209"/>
      <c r="G11" s="210"/>
      <c r="H11" s="211"/>
      <c r="I11" s="210"/>
      <c r="J11" s="210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10"/>
      <c r="Z11" s="210"/>
      <c r="AA11" s="210"/>
      <c r="AB11" s="210"/>
      <c r="AC11" s="210"/>
      <c r="AD11" s="212"/>
      <c r="AE11" s="212"/>
      <c r="AF11" s="212"/>
      <c r="AG11" s="212"/>
      <c r="AH11" s="212"/>
      <c r="AI11" s="212"/>
      <c r="AJ11" s="211"/>
      <c r="AL11" s="273" t="s">
        <v>474</v>
      </c>
      <c r="AM11" s="267">
        <v>17</v>
      </c>
      <c r="AN11" s="274">
        <v>1764</v>
      </c>
      <c r="AO11" s="299" t="s">
        <v>475</v>
      </c>
      <c r="AP11" s="276"/>
      <c r="AQ11" s="276"/>
      <c r="AR11" s="278">
        <v>3</v>
      </c>
      <c r="AS11" s="278">
        <v>3.99</v>
      </c>
      <c r="AT11" s="281">
        <v>5</v>
      </c>
      <c r="AU11" s="284">
        <v>5.99</v>
      </c>
      <c r="AV11" s="278">
        <v>2</v>
      </c>
      <c r="AW11" s="278">
        <v>2.99</v>
      </c>
      <c r="AX11" s="276"/>
      <c r="AY11" s="277">
        <v>3.99</v>
      </c>
      <c r="AZ11" s="281">
        <v>4</v>
      </c>
      <c r="BA11" s="281">
        <v>4.99</v>
      </c>
      <c r="BB11" s="276"/>
      <c r="BC11" s="276"/>
      <c r="BD11" s="288"/>
      <c r="BE11" s="163"/>
    </row>
    <row r="12" spans="1:57" x14ac:dyDescent="0.25">
      <c r="A12" s="187"/>
      <c r="B12" s="213" t="s">
        <v>432</v>
      </c>
      <c r="C12" s="213"/>
      <c r="D12" s="213"/>
      <c r="E12" s="214"/>
      <c r="F12" s="213"/>
      <c r="G12" s="215"/>
      <c r="H12" s="216"/>
      <c r="I12" s="215"/>
      <c r="J12" s="215"/>
      <c r="K12" s="217" t="s">
        <v>433</v>
      </c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5"/>
      <c r="Z12" s="215"/>
      <c r="AA12" s="215"/>
      <c r="AB12" s="215"/>
      <c r="AC12" s="215"/>
      <c r="AD12" s="218" t="s">
        <v>434</v>
      </c>
      <c r="AE12" s="218"/>
      <c r="AF12" s="218"/>
      <c r="AG12" s="218"/>
      <c r="AH12" s="218"/>
      <c r="AI12" s="218"/>
      <c r="AJ12" s="219"/>
      <c r="AL12" s="273" t="s">
        <v>479</v>
      </c>
      <c r="AM12" s="267">
        <v>17</v>
      </c>
      <c r="AN12" s="274">
        <v>1789</v>
      </c>
      <c r="AO12" s="299" t="s">
        <v>471</v>
      </c>
      <c r="AP12" s="276"/>
      <c r="AQ12" s="277">
        <v>1.99</v>
      </c>
      <c r="AR12" s="276"/>
      <c r="AS12" s="277">
        <v>3.99</v>
      </c>
      <c r="AT12" s="281">
        <v>5</v>
      </c>
      <c r="AU12" s="284">
        <v>5.99</v>
      </c>
      <c r="AV12" s="278">
        <v>4</v>
      </c>
      <c r="AW12" s="278">
        <v>4.99</v>
      </c>
      <c r="AX12" s="276"/>
      <c r="AY12" s="277">
        <v>3.99</v>
      </c>
      <c r="AZ12" s="276"/>
      <c r="BA12" s="277">
        <v>2.99</v>
      </c>
      <c r="BB12" s="276"/>
      <c r="BC12" s="277">
        <v>3.99</v>
      </c>
      <c r="BD12" s="303"/>
      <c r="BE12" s="163"/>
    </row>
    <row r="13" spans="1:57" x14ac:dyDescent="0.25">
      <c r="A13" s="156"/>
      <c r="B13" s="220" t="s">
        <v>3</v>
      </c>
      <c r="C13" s="220" t="s">
        <v>409</v>
      </c>
      <c r="D13" s="220" t="s">
        <v>5</v>
      </c>
      <c r="E13" s="221" t="s">
        <v>410</v>
      </c>
      <c r="F13" s="220" t="s">
        <v>411</v>
      </c>
      <c r="G13" s="221" t="str">
        <f>G6</f>
        <v>Promoción</v>
      </c>
      <c r="H13" s="222" t="str">
        <f>H6</f>
        <v>Gen</v>
      </c>
      <c r="I13" s="221" t="str">
        <f>I6</f>
        <v>u20</v>
      </c>
      <c r="J13" s="221" t="str">
        <f>J6</f>
        <v>Lid</v>
      </c>
      <c r="K13" s="220" t="s">
        <v>27</v>
      </c>
      <c r="L13" s="220" t="str">
        <f t="shared" ref="L13:AA13" si="5">L6</f>
        <v>Pot</v>
      </c>
      <c r="M13" s="223" t="str">
        <f t="shared" si="5"/>
        <v>DEF</v>
      </c>
      <c r="N13" s="223" t="str">
        <f t="shared" si="5"/>
        <v>Pot</v>
      </c>
      <c r="O13" s="220" t="str">
        <f t="shared" si="5"/>
        <v>JUG</v>
      </c>
      <c r="P13" s="220" t="str">
        <f t="shared" si="5"/>
        <v>Pot</v>
      </c>
      <c r="Q13" s="223" t="str">
        <f t="shared" si="5"/>
        <v>LAT</v>
      </c>
      <c r="R13" s="223" t="str">
        <f t="shared" si="5"/>
        <v>Pot</v>
      </c>
      <c r="S13" s="220" t="str">
        <f t="shared" si="5"/>
        <v>PAS</v>
      </c>
      <c r="T13" s="220" t="str">
        <f t="shared" si="5"/>
        <v>Pot</v>
      </c>
      <c r="U13" s="223" t="str">
        <f t="shared" si="5"/>
        <v>ANO</v>
      </c>
      <c r="V13" s="223" t="str">
        <f t="shared" si="5"/>
        <v>Pot</v>
      </c>
      <c r="W13" s="220" t="str">
        <f t="shared" si="5"/>
        <v>BP</v>
      </c>
      <c r="X13" s="220" t="str">
        <f t="shared" si="5"/>
        <v>Pot</v>
      </c>
      <c r="Y13" s="224" t="str">
        <f t="shared" si="5"/>
        <v>HAB</v>
      </c>
      <c r="Z13" s="224" t="str">
        <f t="shared" si="5"/>
        <v>POT</v>
      </c>
      <c r="AA13" s="221" t="str">
        <f t="shared" si="5"/>
        <v>Cap</v>
      </c>
      <c r="AB13" s="221" t="s">
        <v>46</v>
      </c>
      <c r="AC13" s="221" t="str">
        <f t="shared" ref="AC13:AJ13" si="6">AC6</f>
        <v>HTMS</v>
      </c>
      <c r="AD13" s="225" t="str">
        <f t="shared" si="6"/>
        <v>PR</v>
      </c>
      <c r="AE13" s="225" t="str">
        <f t="shared" si="6"/>
        <v>DL</v>
      </c>
      <c r="AF13" s="225" t="str">
        <f t="shared" si="6"/>
        <v>DC</v>
      </c>
      <c r="AG13" s="225" t="str">
        <f t="shared" si="6"/>
        <v>In</v>
      </c>
      <c r="AH13" s="225" t="str">
        <f t="shared" si="6"/>
        <v>ExO</v>
      </c>
      <c r="AI13" s="225" t="str">
        <f t="shared" si="6"/>
        <v>DV</v>
      </c>
      <c r="AJ13" s="222" t="str">
        <f t="shared" si="6"/>
        <v>Atributs</v>
      </c>
      <c r="AL13" s="273" t="s">
        <v>480</v>
      </c>
      <c r="AM13" s="267">
        <v>18</v>
      </c>
      <c r="AN13" s="274">
        <v>1781</v>
      </c>
      <c r="AO13" s="299"/>
      <c r="AP13" s="276"/>
      <c r="AQ13" s="276"/>
      <c r="AR13" s="281">
        <v>6</v>
      </c>
      <c r="AS13" s="282">
        <v>6.99</v>
      </c>
      <c r="AT13" s="278">
        <v>3</v>
      </c>
      <c r="AU13" s="278">
        <v>3.99</v>
      </c>
      <c r="AV13" s="281">
        <v>5</v>
      </c>
      <c r="AW13" s="284">
        <v>5.99</v>
      </c>
      <c r="AX13" s="277">
        <v>4</v>
      </c>
      <c r="AY13" s="286">
        <v>5.99</v>
      </c>
      <c r="AZ13" s="276"/>
      <c r="BA13" s="277">
        <v>3.99</v>
      </c>
      <c r="BB13" s="276"/>
      <c r="BC13" s="276"/>
      <c r="BD13" s="303"/>
      <c r="BE13" s="285"/>
    </row>
    <row r="14" spans="1:57" x14ac:dyDescent="0.25">
      <c r="A14" s="163" t="s">
        <v>42</v>
      </c>
      <c r="B14" s="164" t="s">
        <v>675</v>
      </c>
      <c r="C14" s="165">
        <v>15</v>
      </c>
      <c r="D14" s="166">
        <f ca="1">B32-43400+6-112-110</f>
        <v>82</v>
      </c>
      <c r="E14" s="167" t="s">
        <v>192</v>
      </c>
      <c r="F14" s="168">
        <f t="shared" ref="F14:F18" ca="1" si="7">G14-TODAY()</f>
        <v>142</v>
      </c>
      <c r="G14" s="169">
        <v>43840</v>
      </c>
      <c r="H14" s="207" t="s">
        <v>438</v>
      </c>
      <c r="I14" s="202" t="s">
        <v>436</v>
      </c>
      <c r="J14" s="170" t="s">
        <v>426</v>
      </c>
      <c r="K14" s="165"/>
      <c r="L14" s="177">
        <v>1.99</v>
      </c>
      <c r="M14" s="165"/>
      <c r="N14" s="177">
        <v>4.99</v>
      </c>
      <c r="O14" s="165"/>
      <c r="P14" s="177">
        <v>3.99</v>
      </c>
      <c r="Q14" s="203">
        <v>3</v>
      </c>
      <c r="R14" s="204">
        <v>5.99</v>
      </c>
      <c r="S14" s="165"/>
      <c r="T14" s="177">
        <v>3.99</v>
      </c>
      <c r="U14" s="165"/>
      <c r="V14" s="177">
        <v>3.99</v>
      </c>
      <c r="W14" s="165"/>
      <c r="X14" s="165"/>
      <c r="Y14" s="178">
        <f t="shared" ref="Y14" si="8">7-(COUNTBLANK(K14)+COUNTBLANK(M14)+COUNTBLANK(O14)+COUNTBLANK(Q14)+COUNTBLANK(S14)+COUNTBLANK(U14)+COUNTBLANK(W14))</f>
        <v>1</v>
      </c>
      <c r="Z14" s="170">
        <f t="shared" ref="Z14" si="9">COUNT(X14,T14,V14,R14,P14,N14,L14)</f>
        <v>6</v>
      </c>
      <c r="AA14" s="170"/>
      <c r="AB14" s="170"/>
      <c r="AC14" s="170"/>
      <c r="AD14" s="179"/>
      <c r="AE14" s="179"/>
      <c r="AF14" s="179"/>
      <c r="AG14" s="179"/>
      <c r="AH14" s="179">
        <v>5</v>
      </c>
      <c r="AI14" s="179">
        <v>5.5</v>
      </c>
      <c r="AJ14" s="179" t="s">
        <v>443</v>
      </c>
      <c r="AL14" s="273" t="s">
        <v>481</v>
      </c>
      <c r="AM14" s="267">
        <v>16</v>
      </c>
      <c r="AN14" s="274">
        <v>1807</v>
      </c>
      <c r="AO14" s="299" t="s">
        <v>471</v>
      </c>
      <c r="AP14" s="276"/>
      <c r="AQ14" s="276"/>
      <c r="AR14" s="287">
        <v>3</v>
      </c>
      <c r="AS14" s="278">
        <v>3.99</v>
      </c>
      <c r="AT14" s="281">
        <v>5</v>
      </c>
      <c r="AU14" s="284">
        <v>5.99</v>
      </c>
      <c r="AV14" s="278">
        <v>7</v>
      </c>
      <c r="AW14" s="279">
        <v>7</v>
      </c>
      <c r="AX14" s="276"/>
      <c r="AY14" s="277">
        <v>1.99</v>
      </c>
      <c r="AZ14" s="281">
        <v>3</v>
      </c>
      <c r="BA14" s="281">
        <v>3.99</v>
      </c>
      <c r="BB14" s="276"/>
      <c r="BC14" s="276"/>
      <c r="BD14" s="288"/>
      <c r="BE14" s="163"/>
    </row>
    <row r="15" spans="1:57" x14ac:dyDescent="0.25">
      <c r="A15" s="163" t="s">
        <v>40</v>
      </c>
      <c r="B15" s="164" t="s">
        <v>445</v>
      </c>
      <c r="C15" s="165">
        <v>17</v>
      </c>
      <c r="D15" s="166">
        <f ca="1">B33-2100-6-93-112+6-64-112-54-112</f>
        <v>53</v>
      </c>
      <c r="E15" s="167"/>
      <c r="F15" s="168">
        <f t="shared" ca="1" si="7"/>
        <v>0</v>
      </c>
      <c r="G15" s="169">
        <f ca="1">TODAY()</f>
        <v>43698</v>
      </c>
      <c r="H15" s="170"/>
      <c r="I15" s="170" t="s">
        <v>436</v>
      </c>
      <c r="J15" s="170" t="s">
        <v>426</v>
      </c>
      <c r="K15" s="165"/>
      <c r="L15" s="177">
        <v>0.99</v>
      </c>
      <c r="M15" s="175">
        <v>3</v>
      </c>
      <c r="N15" s="176">
        <v>3.99</v>
      </c>
      <c r="O15" s="175">
        <v>4</v>
      </c>
      <c r="P15" s="176">
        <v>4.99</v>
      </c>
      <c r="Q15" s="203">
        <v>4</v>
      </c>
      <c r="R15" s="204">
        <v>5.99</v>
      </c>
      <c r="S15" s="203">
        <v>4</v>
      </c>
      <c r="T15" s="205">
        <v>6.99</v>
      </c>
      <c r="U15" s="172">
        <v>5</v>
      </c>
      <c r="V15" s="173">
        <v>5.99</v>
      </c>
      <c r="W15" s="165"/>
      <c r="X15" s="165"/>
      <c r="Y15" s="178">
        <f>7-(COUNTBLANK(K15)+COUNTBLANK(M15)+COUNTBLANK(O15)+COUNTBLANK(Q15)+COUNTBLANK(S15)+COUNTBLANK(U15)+COUNTBLANK(W15))</f>
        <v>5</v>
      </c>
      <c r="Z15" s="170">
        <f>COUNT(X15,T15,V15,R15,P15,N15,L15)</f>
        <v>6</v>
      </c>
      <c r="AA15" s="170">
        <v>5</v>
      </c>
      <c r="AB15" s="170"/>
      <c r="AC15" s="170"/>
      <c r="AD15" s="179"/>
      <c r="AE15" s="179"/>
      <c r="AF15" s="179"/>
      <c r="AG15" s="179">
        <v>5</v>
      </c>
      <c r="AH15" s="179">
        <v>5.5</v>
      </c>
      <c r="AI15" s="179"/>
      <c r="AJ15" s="179" t="s">
        <v>430</v>
      </c>
      <c r="AL15" s="273" t="s">
        <v>482</v>
      </c>
      <c r="AM15" s="267">
        <v>18</v>
      </c>
      <c r="AN15" s="274">
        <v>1778</v>
      </c>
      <c r="AO15" s="299" t="s">
        <v>415</v>
      </c>
      <c r="AP15" s="276"/>
      <c r="AQ15" s="277">
        <v>1.99</v>
      </c>
      <c r="AR15" s="278">
        <v>2</v>
      </c>
      <c r="AS15" s="278">
        <v>2.99</v>
      </c>
      <c r="AT15" s="278">
        <v>1</v>
      </c>
      <c r="AU15" s="278">
        <v>1.99</v>
      </c>
      <c r="AV15" s="276"/>
      <c r="AW15" s="277">
        <v>1.99</v>
      </c>
      <c r="AX15" s="276"/>
      <c r="AY15" s="286">
        <v>5.99</v>
      </c>
      <c r="AZ15" s="278">
        <v>4</v>
      </c>
      <c r="BA15" s="278">
        <v>4.99</v>
      </c>
      <c r="BB15" s="278">
        <v>5</v>
      </c>
      <c r="BC15" s="279">
        <v>5.99</v>
      </c>
      <c r="BD15" s="302"/>
      <c r="BE15" s="163"/>
    </row>
    <row r="16" spans="1:57" x14ac:dyDescent="0.25">
      <c r="A16" s="163"/>
      <c r="B16" s="180" t="s">
        <v>446</v>
      </c>
      <c r="C16" s="165">
        <v>16</v>
      </c>
      <c r="D16" s="166">
        <f ca="1">B33-2100-6-93-112+2-62-112-112</f>
        <v>105</v>
      </c>
      <c r="E16" s="167" t="s">
        <v>0</v>
      </c>
      <c r="F16" s="168">
        <f t="shared" ca="1" si="7"/>
        <v>7</v>
      </c>
      <c r="G16" s="169">
        <v>43705</v>
      </c>
      <c r="H16" s="226"/>
      <c r="I16" s="171" t="s">
        <v>429</v>
      </c>
      <c r="J16" s="170" t="s">
        <v>426</v>
      </c>
      <c r="K16" s="181"/>
      <c r="L16" s="181"/>
      <c r="M16" s="175">
        <v>3</v>
      </c>
      <c r="N16" s="176">
        <v>3.99</v>
      </c>
      <c r="O16" s="181"/>
      <c r="P16" s="177">
        <v>4.99</v>
      </c>
      <c r="Q16" s="181"/>
      <c r="R16" s="204">
        <v>5.99</v>
      </c>
      <c r="S16" s="172">
        <v>4</v>
      </c>
      <c r="T16" s="174">
        <v>4.99</v>
      </c>
      <c r="U16" s="181"/>
      <c r="V16" s="177">
        <v>3.99</v>
      </c>
      <c r="W16" s="181"/>
      <c r="X16" s="177">
        <v>2.99</v>
      </c>
      <c r="Y16" s="178">
        <f>7-(COUNTBLANK(K16)+COUNTBLANK(M16)+COUNTBLANK(O16)+COUNTBLANK(Q16)+COUNTBLANK(S16)+COUNTBLANK(U16)+COUNTBLANK(W16))</f>
        <v>2</v>
      </c>
      <c r="Z16" s="170">
        <f>COUNT(X16,T16,V16,R16,P16,N16,L16)</f>
        <v>6</v>
      </c>
      <c r="AA16" s="182"/>
      <c r="AB16" s="182"/>
      <c r="AC16" s="182"/>
      <c r="AD16" s="179"/>
      <c r="AE16" s="179"/>
      <c r="AF16" s="179"/>
      <c r="AG16" s="179"/>
      <c r="AH16" s="179"/>
      <c r="AI16" s="179"/>
      <c r="AJ16" s="179"/>
      <c r="AL16" s="273" t="s">
        <v>483</v>
      </c>
      <c r="AM16" s="267">
        <v>17</v>
      </c>
      <c r="AN16" s="274">
        <v>1683</v>
      </c>
      <c r="AO16" s="299"/>
      <c r="AP16" s="276"/>
      <c r="AQ16" s="276"/>
      <c r="AR16" s="281">
        <v>6</v>
      </c>
      <c r="AS16" s="282">
        <v>6.99</v>
      </c>
      <c r="AT16" s="278">
        <v>1</v>
      </c>
      <c r="AU16" s="278">
        <v>1.99</v>
      </c>
      <c r="AV16" s="278">
        <v>2</v>
      </c>
      <c r="AW16" s="278">
        <v>2.99</v>
      </c>
      <c r="AX16" s="277">
        <v>3</v>
      </c>
      <c r="AY16" s="277">
        <v>4.99</v>
      </c>
      <c r="AZ16" s="276"/>
      <c r="BA16" s="277">
        <v>2.99</v>
      </c>
      <c r="BB16" s="278">
        <v>4</v>
      </c>
      <c r="BC16" s="278">
        <v>4.99</v>
      </c>
      <c r="BD16" s="303"/>
      <c r="BE16" s="285"/>
    </row>
    <row r="17" spans="1:57" x14ac:dyDescent="0.25">
      <c r="A17" s="163" t="s">
        <v>239</v>
      </c>
      <c r="B17" s="180" t="s">
        <v>447</v>
      </c>
      <c r="C17" s="181">
        <v>17</v>
      </c>
      <c r="D17" s="166">
        <f ca="1">B33-2100-5-93-112+6-36-112-112-12-112</f>
        <v>12</v>
      </c>
      <c r="E17" s="167"/>
      <c r="F17" s="168">
        <f t="shared" ca="1" si="7"/>
        <v>-12</v>
      </c>
      <c r="G17" s="169">
        <v>43686</v>
      </c>
      <c r="H17" s="170"/>
      <c r="I17" s="171" t="s">
        <v>427</v>
      </c>
      <c r="J17" s="170" t="s">
        <v>426</v>
      </c>
      <c r="K17" s="181"/>
      <c r="L17" s="181"/>
      <c r="M17" s="175">
        <v>4</v>
      </c>
      <c r="N17" s="176">
        <v>4.99</v>
      </c>
      <c r="O17" s="172">
        <v>2</v>
      </c>
      <c r="P17" s="174">
        <v>2.99</v>
      </c>
      <c r="Q17" s="181"/>
      <c r="R17" s="177">
        <v>3.99</v>
      </c>
      <c r="S17" s="181"/>
      <c r="T17" s="177">
        <v>2.99</v>
      </c>
      <c r="U17" s="181"/>
      <c r="V17" s="204">
        <v>5.99</v>
      </c>
      <c r="W17" s="181"/>
      <c r="X17" s="181"/>
      <c r="Y17" s="178">
        <f>7-(COUNTBLANK(K17)+COUNTBLANK(M17)+COUNTBLANK(O17)+COUNTBLANK(Q17)+COUNTBLANK(S17)+COUNTBLANK(U17)+COUNTBLANK(W17))</f>
        <v>2</v>
      </c>
      <c r="Z17" s="170">
        <f>COUNT(X17,T17,V17,R17,P17,N17,L17)</f>
        <v>5</v>
      </c>
      <c r="AA17" s="182"/>
      <c r="AB17" s="182"/>
      <c r="AC17" s="182"/>
      <c r="AD17" s="179"/>
      <c r="AE17" s="179"/>
      <c r="AF17" s="179"/>
      <c r="AG17" s="179">
        <v>3.5</v>
      </c>
      <c r="AH17" s="179"/>
      <c r="AI17" s="179"/>
      <c r="AJ17" s="179" t="s">
        <v>430</v>
      </c>
      <c r="AL17" s="273" t="s">
        <v>484</v>
      </c>
      <c r="AM17" s="267">
        <v>16</v>
      </c>
      <c r="AN17" s="274">
        <v>1772</v>
      </c>
      <c r="AO17" s="299"/>
      <c r="AP17" s="276"/>
      <c r="AQ17" s="277">
        <v>1.99</v>
      </c>
      <c r="AR17" s="287">
        <v>3</v>
      </c>
      <c r="AS17" s="278">
        <v>3.99</v>
      </c>
      <c r="AT17" s="281">
        <v>4</v>
      </c>
      <c r="AU17" s="281">
        <v>4.99</v>
      </c>
      <c r="AV17" s="278">
        <v>5</v>
      </c>
      <c r="AW17" s="279">
        <v>5.99</v>
      </c>
      <c r="AX17" s="276"/>
      <c r="AY17" s="277">
        <v>4.99</v>
      </c>
      <c r="AZ17" s="278">
        <v>2</v>
      </c>
      <c r="BA17" s="278">
        <v>2.99</v>
      </c>
      <c r="BB17" s="278">
        <v>4</v>
      </c>
      <c r="BC17" s="278">
        <v>4.99</v>
      </c>
      <c r="BD17" s="303"/>
      <c r="BE17" s="285"/>
    </row>
    <row r="18" spans="1:57" x14ac:dyDescent="0.25">
      <c r="A18" s="163"/>
      <c r="B18" s="180" t="s">
        <v>448</v>
      </c>
      <c r="C18" s="165">
        <v>17</v>
      </c>
      <c r="D18" s="166">
        <f ca="1">B33-2100-6-116+4-112-112-6-112-112</f>
        <v>28</v>
      </c>
      <c r="E18" s="167"/>
      <c r="F18" s="168">
        <f t="shared" ca="1" si="7"/>
        <v>-28</v>
      </c>
      <c r="G18" s="169">
        <v>43670</v>
      </c>
      <c r="H18" s="207" t="s">
        <v>438</v>
      </c>
      <c r="I18" s="171" t="s">
        <v>427</v>
      </c>
      <c r="J18" s="170" t="s">
        <v>426</v>
      </c>
      <c r="K18" s="181"/>
      <c r="L18" s="177">
        <v>1.99</v>
      </c>
      <c r="M18" s="181"/>
      <c r="N18" s="177">
        <v>2.99</v>
      </c>
      <c r="O18" s="172">
        <v>4</v>
      </c>
      <c r="P18" s="174">
        <v>4.99</v>
      </c>
      <c r="Q18" s="181"/>
      <c r="R18" s="177">
        <v>4.99</v>
      </c>
      <c r="S18" s="203">
        <v>4</v>
      </c>
      <c r="T18" s="204">
        <v>5.99</v>
      </c>
      <c r="U18" s="175">
        <v>2</v>
      </c>
      <c r="V18" s="176">
        <v>2.99</v>
      </c>
      <c r="W18" s="181"/>
      <c r="X18" s="205">
        <v>6.99</v>
      </c>
      <c r="Y18" s="178">
        <f>7-(COUNTBLANK(K18)+COUNTBLANK(M18)+COUNTBLANK(O18)+COUNTBLANK(Q18)+COUNTBLANK(S18)+COUNTBLANK(U18)+COUNTBLANK(W18))</f>
        <v>3</v>
      </c>
      <c r="Z18" s="170">
        <f>COUNT(X18,T18,V18,R18,P18,N18,L18)</f>
        <v>7</v>
      </c>
      <c r="AA18" s="182"/>
      <c r="AB18" s="182">
        <v>9</v>
      </c>
      <c r="AC18" s="182"/>
      <c r="AD18" s="179"/>
      <c r="AE18" s="179"/>
      <c r="AF18" s="179"/>
      <c r="AG18" s="179">
        <v>4.5</v>
      </c>
      <c r="AH18" s="179">
        <v>4.5</v>
      </c>
      <c r="AI18" s="179"/>
      <c r="AJ18" s="179" t="s">
        <v>430</v>
      </c>
      <c r="AL18" s="273" t="s">
        <v>485</v>
      </c>
      <c r="AM18" s="267">
        <v>17</v>
      </c>
      <c r="AN18" s="274">
        <v>1733</v>
      </c>
      <c r="AO18" s="299" t="s">
        <v>486</v>
      </c>
      <c r="AP18" s="276"/>
      <c r="AQ18" s="277">
        <v>1.99</v>
      </c>
      <c r="AR18" s="281">
        <v>4</v>
      </c>
      <c r="AS18" s="281">
        <v>4.99</v>
      </c>
      <c r="AT18" s="281">
        <v>3</v>
      </c>
      <c r="AU18" s="281">
        <v>3.99</v>
      </c>
      <c r="AV18" s="281">
        <v>6</v>
      </c>
      <c r="AW18" s="282">
        <v>6.99</v>
      </c>
      <c r="AX18" s="276"/>
      <c r="AY18" s="277">
        <v>4.99</v>
      </c>
      <c r="AZ18" s="276"/>
      <c r="BA18" s="277">
        <v>2.99</v>
      </c>
      <c r="BB18" s="276"/>
      <c r="BC18" s="277">
        <v>4.99</v>
      </c>
      <c r="BD18" s="303"/>
      <c r="BE18" s="163"/>
    </row>
    <row r="19" spans="1:57" x14ac:dyDescent="0.25">
      <c r="A19" s="156"/>
      <c r="B19" s="227" t="s">
        <v>432</v>
      </c>
      <c r="C19" s="227"/>
      <c r="D19" s="227"/>
      <c r="E19" s="228"/>
      <c r="F19" s="227"/>
      <c r="G19" s="229"/>
      <c r="H19" s="230"/>
      <c r="I19" s="229"/>
      <c r="J19" s="229"/>
      <c r="K19" s="231" t="s">
        <v>433</v>
      </c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29"/>
      <c r="Z19" s="229"/>
      <c r="AA19" s="229"/>
      <c r="AB19" s="229"/>
      <c r="AC19" s="229"/>
      <c r="AD19" s="232" t="s">
        <v>434</v>
      </c>
      <c r="AE19" s="232"/>
      <c r="AF19" s="232"/>
      <c r="AG19" s="232"/>
      <c r="AH19" s="232"/>
      <c r="AI19" s="232"/>
      <c r="AJ19" s="233"/>
      <c r="AL19" s="273" t="s">
        <v>487</v>
      </c>
      <c r="AM19" s="267">
        <v>17</v>
      </c>
      <c r="AN19" s="274">
        <v>1665</v>
      </c>
      <c r="AO19" s="299"/>
      <c r="AP19" s="281">
        <v>1</v>
      </c>
      <c r="AQ19" s="281">
        <v>1.99</v>
      </c>
      <c r="AR19" s="281">
        <v>2</v>
      </c>
      <c r="AS19" s="281">
        <v>2.99</v>
      </c>
      <c r="AT19" s="278">
        <v>5</v>
      </c>
      <c r="AU19" s="279">
        <v>5.99</v>
      </c>
      <c r="AV19" s="278">
        <v>3</v>
      </c>
      <c r="AW19" s="278">
        <v>3.99</v>
      </c>
      <c r="AX19" s="276"/>
      <c r="AY19" s="277">
        <v>4.99</v>
      </c>
      <c r="AZ19" s="278">
        <v>2</v>
      </c>
      <c r="BA19" s="278">
        <v>2.99</v>
      </c>
      <c r="BB19" s="276"/>
      <c r="BC19" s="277">
        <v>2.99</v>
      </c>
      <c r="BD19" s="303"/>
      <c r="BE19" s="163"/>
    </row>
    <row r="20" spans="1:57" x14ac:dyDescent="0.25">
      <c r="A20" s="163"/>
      <c r="B20" s="234" t="s">
        <v>3</v>
      </c>
      <c r="C20" s="234" t="s">
        <v>409</v>
      </c>
      <c r="D20" s="234" t="s">
        <v>5</v>
      </c>
      <c r="E20" s="235" t="s">
        <v>410</v>
      </c>
      <c r="F20" s="234" t="s">
        <v>411</v>
      </c>
      <c r="G20" s="235" t="str">
        <f>G13</f>
        <v>Promoción</v>
      </c>
      <c r="H20" s="236" t="str">
        <f>H13</f>
        <v>Gen</v>
      </c>
      <c r="I20" s="235" t="str">
        <f>I13</f>
        <v>u20</v>
      </c>
      <c r="J20" s="235" t="str">
        <f>J13</f>
        <v>Lid</v>
      </c>
      <c r="K20" s="234" t="s">
        <v>27</v>
      </c>
      <c r="L20" s="234" t="str">
        <f t="shared" ref="L20:AA20" si="10">L13</f>
        <v>Pot</v>
      </c>
      <c r="M20" s="237" t="str">
        <f t="shared" si="10"/>
        <v>DEF</v>
      </c>
      <c r="N20" s="237" t="str">
        <f t="shared" si="10"/>
        <v>Pot</v>
      </c>
      <c r="O20" s="234" t="str">
        <f t="shared" si="10"/>
        <v>JUG</v>
      </c>
      <c r="P20" s="234" t="str">
        <f t="shared" si="10"/>
        <v>Pot</v>
      </c>
      <c r="Q20" s="237" t="str">
        <f t="shared" si="10"/>
        <v>LAT</v>
      </c>
      <c r="R20" s="237" t="str">
        <f t="shared" si="10"/>
        <v>Pot</v>
      </c>
      <c r="S20" s="234" t="str">
        <f t="shared" si="10"/>
        <v>PAS</v>
      </c>
      <c r="T20" s="234" t="str">
        <f t="shared" si="10"/>
        <v>Pot</v>
      </c>
      <c r="U20" s="237" t="str">
        <f t="shared" si="10"/>
        <v>ANO</v>
      </c>
      <c r="V20" s="237" t="str">
        <f t="shared" si="10"/>
        <v>Pot</v>
      </c>
      <c r="W20" s="234" t="str">
        <f t="shared" si="10"/>
        <v>BP</v>
      </c>
      <c r="X20" s="234" t="str">
        <f t="shared" si="10"/>
        <v>Pot</v>
      </c>
      <c r="Y20" s="238" t="str">
        <f t="shared" si="10"/>
        <v>HAB</v>
      </c>
      <c r="Z20" s="238" t="str">
        <f t="shared" si="10"/>
        <v>POT</v>
      </c>
      <c r="AA20" s="235" t="str">
        <f t="shared" si="10"/>
        <v>Cap</v>
      </c>
      <c r="AB20" s="235" t="s">
        <v>46</v>
      </c>
      <c r="AC20" s="235" t="str">
        <f t="shared" ref="AC20:AJ20" si="11">AC13</f>
        <v>HTMS</v>
      </c>
      <c r="AD20" s="239" t="str">
        <f t="shared" si="11"/>
        <v>PR</v>
      </c>
      <c r="AE20" s="239" t="str">
        <f t="shared" si="11"/>
        <v>DL</v>
      </c>
      <c r="AF20" s="239" t="str">
        <f t="shared" si="11"/>
        <v>DC</v>
      </c>
      <c r="AG20" s="239" t="str">
        <f t="shared" si="11"/>
        <v>In</v>
      </c>
      <c r="AH20" s="239" t="str">
        <f t="shared" si="11"/>
        <v>ExO</v>
      </c>
      <c r="AI20" s="239" t="str">
        <f t="shared" si="11"/>
        <v>DV</v>
      </c>
      <c r="AJ20" s="236" t="str">
        <f t="shared" si="11"/>
        <v>Atributs</v>
      </c>
      <c r="AL20" s="273" t="s">
        <v>488</v>
      </c>
      <c r="AM20" s="267">
        <v>17</v>
      </c>
      <c r="AN20" s="274">
        <v>1585</v>
      </c>
      <c r="AO20" s="299" t="s">
        <v>475</v>
      </c>
      <c r="AP20" s="288"/>
      <c r="AQ20" s="288"/>
      <c r="AR20" s="278">
        <v>4</v>
      </c>
      <c r="AS20" s="278">
        <v>4.99</v>
      </c>
      <c r="AT20" s="288"/>
      <c r="AU20" s="277">
        <v>2.99</v>
      </c>
      <c r="AV20" s="281">
        <v>5</v>
      </c>
      <c r="AW20" s="284">
        <v>5.99</v>
      </c>
      <c r="AX20" s="288"/>
      <c r="AY20" s="277">
        <v>1.99</v>
      </c>
      <c r="AZ20" s="288"/>
      <c r="BA20" s="277">
        <v>3.99</v>
      </c>
      <c r="BB20" s="288"/>
      <c r="BC20" s="277">
        <v>2.99</v>
      </c>
      <c r="BD20" s="288"/>
      <c r="BE20" s="163"/>
    </row>
    <row r="21" spans="1:57" x14ac:dyDescent="0.25">
      <c r="A21" s="163"/>
      <c r="B21" s="206"/>
      <c r="C21" s="181">
        <v>16</v>
      </c>
      <c r="D21" s="166">
        <f ca="1">B32-43375-112-112+8</f>
        <v>107</v>
      </c>
      <c r="E21" s="167"/>
      <c r="F21" s="168">
        <f ca="1">G21-TODAY()</f>
        <v>-43698</v>
      </c>
      <c r="G21" s="169"/>
      <c r="H21" s="170"/>
      <c r="I21" s="170"/>
      <c r="J21" s="170"/>
      <c r="K21" s="181"/>
      <c r="W21" s="181"/>
      <c r="X21" s="181"/>
      <c r="Y21" s="178">
        <f>7-(COUNTBLANK(K21)+COUNTBLANK(N21)+COUNTBLANK(P21)+COUNTBLANK(R21)+COUNTBLANK(T21)+COUNTBLANK(V21)+COUNTBLANK(X21))</f>
        <v>0</v>
      </c>
      <c r="Z21" s="170">
        <f>COUNT(#REF!,U21,W21,S21,Q21,O21,M21)</f>
        <v>0</v>
      </c>
      <c r="AA21" s="182"/>
      <c r="AB21" s="182"/>
      <c r="AC21" s="182"/>
      <c r="AD21" s="179"/>
      <c r="AE21" s="179"/>
      <c r="AF21" s="179"/>
      <c r="AG21" s="179"/>
      <c r="AH21" s="179"/>
      <c r="AI21" s="179"/>
      <c r="AJ21" s="179"/>
      <c r="AL21" s="273" t="s">
        <v>489</v>
      </c>
      <c r="AM21" s="267">
        <v>16</v>
      </c>
      <c r="AN21" s="274">
        <v>1687</v>
      </c>
      <c r="AO21" s="299" t="s">
        <v>478</v>
      </c>
      <c r="AP21" s="288"/>
      <c r="AQ21" s="277">
        <v>1.99</v>
      </c>
      <c r="AR21" s="281">
        <v>5</v>
      </c>
      <c r="AS21" s="284">
        <v>5.99</v>
      </c>
      <c r="AT21" s="278">
        <v>5</v>
      </c>
      <c r="AU21" s="279">
        <v>5.99</v>
      </c>
      <c r="AV21" s="288"/>
      <c r="AW21" s="277">
        <v>3.99</v>
      </c>
      <c r="AX21" s="288"/>
      <c r="AY21" s="277">
        <v>4.99</v>
      </c>
      <c r="AZ21" s="278">
        <v>2</v>
      </c>
      <c r="BA21" s="278">
        <v>2.99</v>
      </c>
      <c r="BB21" s="288"/>
      <c r="BC21" s="277">
        <v>4.99</v>
      </c>
      <c r="BD21" s="288"/>
      <c r="BE21" s="163"/>
    </row>
    <row r="22" spans="1:57" x14ac:dyDescent="0.25">
      <c r="A22" s="163" t="s">
        <v>37</v>
      </c>
      <c r="B22" s="164" t="s">
        <v>439</v>
      </c>
      <c r="C22" s="165">
        <v>16</v>
      </c>
      <c r="D22" s="166">
        <f ca="1">B33-2100-6-116+4-112-112-113-112</f>
        <v>33</v>
      </c>
      <c r="E22" s="167" t="s">
        <v>440</v>
      </c>
      <c r="F22" s="168">
        <f ca="1">G22-TODAY()</f>
        <v>79</v>
      </c>
      <c r="G22" s="169">
        <v>43777</v>
      </c>
      <c r="H22" s="202"/>
      <c r="I22" s="208" t="s">
        <v>441</v>
      </c>
      <c r="J22" s="170" t="s">
        <v>426</v>
      </c>
      <c r="K22" s="165"/>
      <c r="L22" s="165"/>
      <c r="M22" s="203">
        <v>3</v>
      </c>
      <c r="N22" s="165"/>
      <c r="O22" s="165"/>
      <c r="P22" s="177">
        <v>2.99</v>
      </c>
      <c r="Q22" s="165"/>
      <c r="R22" s="177">
        <v>4.99</v>
      </c>
      <c r="S22" s="165"/>
      <c r="T22" s="177">
        <v>4.99</v>
      </c>
      <c r="U22" s="175">
        <v>2</v>
      </c>
      <c r="V22" s="176">
        <v>2.99</v>
      </c>
      <c r="W22" s="165"/>
      <c r="X22" s="165"/>
      <c r="Y22" s="178">
        <f>7-(COUNTBLANK(K22)+COUNTBLANK(M22)+COUNTBLANK(O22)+COUNTBLANK(Q22)+COUNTBLANK(S22)+COUNTBLANK(U22)+COUNTBLANK(W22))</f>
        <v>2</v>
      </c>
      <c r="Z22" s="170">
        <f>COUNT(X22,T22,V22,R22,P22,N22,L22)</f>
        <v>4</v>
      </c>
      <c r="AA22" s="170"/>
      <c r="AB22" s="170"/>
      <c r="AC22" s="170"/>
      <c r="AD22" s="179"/>
      <c r="AE22" s="179"/>
      <c r="AF22" s="179"/>
      <c r="AG22" s="179"/>
      <c r="AH22" s="179">
        <v>4.5</v>
      </c>
      <c r="AI22" s="179"/>
      <c r="AJ22" s="179" t="s">
        <v>430</v>
      </c>
      <c r="AL22" s="273" t="s">
        <v>493</v>
      </c>
      <c r="AM22" s="267">
        <v>16</v>
      </c>
      <c r="AN22" s="274">
        <v>1596</v>
      </c>
      <c r="AO22" s="299"/>
      <c r="AP22" s="288"/>
      <c r="AQ22" s="288"/>
      <c r="AR22" s="281">
        <v>1</v>
      </c>
      <c r="AS22" s="281">
        <v>1.99</v>
      </c>
      <c r="AT22" s="278">
        <v>6</v>
      </c>
      <c r="AU22" s="279">
        <v>6.99</v>
      </c>
      <c r="AV22" s="278">
        <v>3</v>
      </c>
      <c r="AW22" s="278">
        <v>3.99</v>
      </c>
      <c r="AX22" s="278">
        <v>3</v>
      </c>
      <c r="AY22" s="278">
        <v>3.99</v>
      </c>
      <c r="AZ22" s="278">
        <v>4</v>
      </c>
      <c r="BA22" s="278">
        <v>4.99</v>
      </c>
      <c r="BB22" s="288"/>
      <c r="BC22" s="277">
        <v>4.99</v>
      </c>
      <c r="BD22" s="288"/>
      <c r="BE22" s="163"/>
    </row>
    <row r="23" spans="1:57" x14ac:dyDescent="0.25">
      <c r="A23" s="163" t="s">
        <v>37</v>
      </c>
      <c r="B23" s="241" t="s">
        <v>449</v>
      </c>
      <c r="C23" s="165">
        <v>18</v>
      </c>
      <c r="D23" s="166">
        <f ca="1">B33-2150+2-112+7-112-78-112-112</f>
        <v>33</v>
      </c>
      <c r="E23" s="167" t="s">
        <v>101</v>
      </c>
      <c r="F23" s="168">
        <f t="shared" ref="F23:F28" ca="1" si="12">G23-TODAY()</f>
        <v>0</v>
      </c>
      <c r="G23" s="169">
        <f ca="1">TODAY()</f>
        <v>43698</v>
      </c>
      <c r="H23" s="207" t="s">
        <v>438</v>
      </c>
      <c r="I23" s="202" t="s">
        <v>436</v>
      </c>
      <c r="J23" s="170" t="s">
        <v>426</v>
      </c>
      <c r="K23" s="165"/>
      <c r="L23" s="177">
        <v>1.99</v>
      </c>
      <c r="M23" s="165"/>
      <c r="N23" s="177">
        <v>3.99</v>
      </c>
      <c r="O23" s="175">
        <v>2</v>
      </c>
      <c r="P23" s="176">
        <v>2.99</v>
      </c>
      <c r="Q23" s="203">
        <v>4</v>
      </c>
      <c r="R23" s="205">
        <v>6.99</v>
      </c>
      <c r="S23" s="172">
        <v>4</v>
      </c>
      <c r="T23" s="174">
        <v>4.99</v>
      </c>
      <c r="U23" s="165"/>
      <c r="V23" s="177">
        <v>3.99</v>
      </c>
      <c r="W23" s="165"/>
      <c r="X23" s="165"/>
      <c r="Y23" s="178">
        <f t="shared" ref="Y23:Y28" si="13">7-(COUNTBLANK(K23)+COUNTBLANK(M23)+COUNTBLANK(O23)+COUNTBLANK(Q23)+COUNTBLANK(S23)+COUNTBLANK(U23)+COUNTBLANK(W23))</f>
        <v>3</v>
      </c>
      <c r="Z23" s="170">
        <f t="shared" ref="Z23:Z28" si="14">COUNT(X23,T23,V23,R23,P23,N23,L23)</f>
        <v>6</v>
      </c>
      <c r="AA23" s="170"/>
      <c r="AB23" s="170"/>
      <c r="AC23" s="170"/>
      <c r="AD23" s="179"/>
      <c r="AE23" s="179">
        <v>3.5</v>
      </c>
      <c r="AF23" s="179"/>
      <c r="AG23" s="179"/>
      <c r="AH23" s="179"/>
      <c r="AI23" s="179"/>
      <c r="AJ23" s="179" t="s">
        <v>430</v>
      </c>
      <c r="AL23" s="273" t="s">
        <v>490</v>
      </c>
      <c r="AM23" s="267">
        <v>18</v>
      </c>
      <c r="AN23" s="274">
        <v>1648</v>
      </c>
      <c r="AO23" s="299" t="s">
        <v>471</v>
      </c>
      <c r="AP23" s="288"/>
      <c r="AQ23" s="277">
        <v>2.99</v>
      </c>
      <c r="AR23" s="281">
        <v>4</v>
      </c>
      <c r="AS23" s="281">
        <v>4.99</v>
      </c>
      <c r="AT23" s="277">
        <v>3</v>
      </c>
      <c r="AU23" s="277">
        <v>4.99</v>
      </c>
      <c r="AV23" s="278">
        <v>1</v>
      </c>
      <c r="AW23" s="278">
        <v>1.99</v>
      </c>
      <c r="AX23" s="288"/>
      <c r="AY23" s="277">
        <v>1.99</v>
      </c>
      <c r="AZ23" s="288"/>
      <c r="BA23" s="277">
        <v>4.99</v>
      </c>
      <c r="BB23" s="278">
        <v>4</v>
      </c>
      <c r="BC23" s="278">
        <v>4.99</v>
      </c>
      <c r="BD23" s="288"/>
      <c r="BE23" s="163"/>
    </row>
    <row r="24" spans="1:57" x14ac:dyDescent="0.25">
      <c r="A24" s="163" t="s">
        <v>38</v>
      </c>
      <c r="B24" s="206" t="s">
        <v>450</v>
      </c>
      <c r="C24" s="165">
        <v>18</v>
      </c>
      <c r="D24" s="166">
        <f ca="1">B33-2150+2-112+7-112-72-112-112</f>
        <v>39</v>
      </c>
      <c r="E24" s="167"/>
      <c r="F24" s="168">
        <f t="shared" ca="1" si="12"/>
        <v>0</v>
      </c>
      <c r="G24" s="169">
        <f ca="1">TODAY()</f>
        <v>43698</v>
      </c>
      <c r="H24" s="226" t="s">
        <v>451</v>
      </c>
      <c r="I24" s="202" t="s">
        <v>436</v>
      </c>
      <c r="J24" s="170" t="s">
        <v>426</v>
      </c>
      <c r="K24" s="165"/>
      <c r="L24" s="177">
        <v>1.99</v>
      </c>
      <c r="M24" s="175">
        <v>2</v>
      </c>
      <c r="N24" s="176">
        <v>2.99</v>
      </c>
      <c r="O24" s="172">
        <v>3</v>
      </c>
      <c r="P24" s="174">
        <v>3.99</v>
      </c>
      <c r="Q24" s="175">
        <v>4</v>
      </c>
      <c r="R24" s="176">
        <v>4.99</v>
      </c>
      <c r="S24" s="181"/>
      <c r="T24" s="205">
        <v>6.99</v>
      </c>
      <c r="U24" s="175">
        <v>2</v>
      </c>
      <c r="V24" s="176">
        <v>2.99</v>
      </c>
      <c r="W24" s="165"/>
      <c r="X24" s="165"/>
      <c r="Y24" s="178">
        <f t="shared" si="13"/>
        <v>4</v>
      </c>
      <c r="Z24" s="170">
        <f t="shared" si="14"/>
        <v>6</v>
      </c>
      <c r="AA24" s="170"/>
      <c r="AB24" s="170"/>
      <c r="AC24" s="170"/>
      <c r="AD24" s="179"/>
      <c r="AE24" s="179">
        <v>2</v>
      </c>
      <c r="AF24" s="179">
        <v>3</v>
      </c>
      <c r="AG24" s="179">
        <v>5</v>
      </c>
      <c r="AH24" s="179">
        <v>5.5</v>
      </c>
      <c r="AI24" s="179">
        <v>4.5</v>
      </c>
      <c r="AJ24" s="179" t="s">
        <v>443</v>
      </c>
      <c r="AL24" s="273" t="s">
        <v>491</v>
      </c>
      <c r="AM24" s="267">
        <v>19</v>
      </c>
      <c r="AN24" s="274">
        <v>1525</v>
      </c>
      <c r="AO24" s="299"/>
      <c r="AP24" s="276"/>
      <c r="AQ24" s="277">
        <v>0.99</v>
      </c>
      <c r="AR24" s="278">
        <v>4</v>
      </c>
      <c r="AS24" s="278">
        <v>4.99</v>
      </c>
      <c r="AT24" s="276"/>
      <c r="AU24" s="277">
        <v>2.99</v>
      </c>
      <c r="AV24" s="281">
        <v>4</v>
      </c>
      <c r="AW24" s="281">
        <v>4.99</v>
      </c>
      <c r="AX24" s="276"/>
      <c r="AY24" s="277">
        <v>2.99</v>
      </c>
      <c r="AZ24" s="276"/>
      <c r="BA24" s="277">
        <v>4.99</v>
      </c>
      <c r="BB24" s="278">
        <v>4</v>
      </c>
      <c r="BC24" s="278">
        <v>4.99</v>
      </c>
      <c r="BD24" s="288"/>
      <c r="BE24" s="163"/>
    </row>
    <row r="25" spans="1:57" x14ac:dyDescent="0.25">
      <c r="A25" s="163" t="s">
        <v>452</v>
      </c>
      <c r="B25" s="206" t="s">
        <v>453</v>
      </c>
      <c r="C25" s="165">
        <v>17</v>
      </c>
      <c r="D25" s="166">
        <f ca="1">88+B33-2516-112-112</f>
        <v>48</v>
      </c>
      <c r="E25" s="167"/>
      <c r="F25" s="168">
        <v>0</v>
      </c>
      <c r="G25" s="169">
        <v>43650</v>
      </c>
      <c r="H25" s="207" t="s">
        <v>438</v>
      </c>
      <c r="I25" s="171" t="s">
        <v>427</v>
      </c>
      <c r="J25" s="170" t="s">
        <v>426</v>
      </c>
      <c r="K25" s="203">
        <v>3</v>
      </c>
      <c r="L25" s="177">
        <v>4.99</v>
      </c>
      <c r="M25" s="203">
        <v>3</v>
      </c>
      <c r="N25" s="177">
        <v>4.99</v>
      </c>
      <c r="O25" s="181"/>
      <c r="P25" s="177">
        <v>0.99</v>
      </c>
      <c r="Q25" s="181"/>
      <c r="R25" s="177">
        <v>1.99</v>
      </c>
      <c r="S25" s="181"/>
      <c r="T25" s="177">
        <v>1.99</v>
      </c>
      <c r="U25" s="175">
        <v>0</v>
      </c>
      <c r="V25" s="176">
        <v>0.99</v>
      </c>
      <c r="W25" s="181"/>
      <c r="X25" s="177">
        <v>1.99</v>
      </c>
      <c r="Y25" s="178">
        <f t="shared" si="13"/>
        <v>3</v>
      </c>
      <c r="Z25" s="170">
        <f t="shared" si="14"/>
        <v>7</v>
      </c>
      <c r="AA25" s="182"/>
      <c r="AB25" s="182"/>
      <c r="AC25" s="182"/>
      <c r="AD25" s="179">
        <v>4</v>
      </c>
      <c r="AE25" s="179"/>
      <c r="AF25" s="179"/>
      <c r="AG25" s="179"/>
      <c r="AH25" s="179"/>
      <c r="AI25" s="179">
        <v>6.5</v>
      </c>
      <c r="AJ25" s="179" t="s">
        <v>430</v>
      </c>
      <c r="AL25" s="273" t="s">
        <v>492</v>
      </c>
      <c r="AM25" s="267">
        <v>16</v>
      </c>
      <c r="AN25" s="274">
        <v>-624</v>
      </c>
      <c r="AO25" s="299"/>
      <c r="AP25" s="288"/>
      <c r="AQ25" s="288"/>
      <c r="AR25" s="278">
        <v>2</v>
      </c>
      <c r="AS25" s="278">
        <v>2.99</v>
      </c>
      <c r="AT25" s="278">
        <v>5</v>
      </c>
      <c r="AU25" s="279">
        <v>5.99</v>
      </c>
      <c r="AV25" s="281">
        <v>6</v>
      </c>
      <c r="AW25" s="282">
        <v>6.99</v>
      </c>
      <c r="AX25" s="281">
        <v>4</v>
      </c>
      <c r="AY25" s="281">
        <v>4.99</v>
      </c>
      <c r="AZ25" s="278">
        <v>4</v>
      </c>
      <c r="BA25" s="278">
        <v>4.99</v>
      </c>
      <c r="BB25" s="278">
        <v>3</v>
      </c>
      <c r="BC25" s="278">
        <v>3.99</v>
      </c>
      <c r="BD25" s="288"/>
      <c r="BE25" s="163"/>
    </row>
    <row r="26" spans="1:57" x14ac:dyDescent="0.25">
      <c r="A26" s="163" t="s">
        <v>35</v>
      </c>
      <c r="B26" s="206" t="s">
        <v>454</v>
      </c>
      <c r="C26" s="181">
        <v>17</v>
      </c>
      <c r="D26" s="166">
        <f ca="1">B32-43400+6-112-112</f>
        <v>80</v>
      </c>
      <c r="E26" s="167"/>
      <c r="F26" s="168">
        <f t="shared" ca="1" si="12"/>
        <v>0</v>
      </c>
      <c r="G26" s="169">
        <f ca="1">TODAY()</f>
        <v>43698</v>
      </c>
      <c r="H26" s="202" t="s">
        <v>438</v>
      </c>
      <c r="I26" s="170" t="s">
        <v>436</v>
      </c>
      <c r="J26" s="170" t="s">
        <v>426</v>
      </c>
      <c r="K26" s="181"/>
      <c r="L26" s="177">
        <v>1.99</v>
      </c>
      <c r="M26" s="175">
        <v>2</v>
      </c>
      <c r="N26" s="176">
        <v>2.99</v>
      </c>
      <c r="O26" s="181"/>
      <c r="P26" s="177">
        <v>4.99</v>
      </c>
      <c r="Q26" s="175">
        <v>4</v>
      </c>
      <c r="R26" s="176">
        <v>4.99</v>
      </c>
      <c r="S26" s="181"/>
      <c r="T26" s="177">
        <v>4.99</v>
      </c>
      <c r="U26" s="181"/>
      <c r="V26" s="177">
        <v>3.99</v>
      </c>
      <c r="W26" s="181"/>
      <c r="X26" s="181"/>
      <c r="Y26" s="178">
        <f t="shared" si="13"/>
        <v>2</v>
      </c>
      <c r="Z26" s="170">
        <f t="shared" si="14"/>
        <v>6</v>
      </c>
      <c r="AA26" s="182"/>
      <c r="AB26" s="182"/>
      <c r="AC26" s="182"/>
      <c r="AD26" s="179"/>
      <c r="AE26" s="179"/>
      <c r="AF26" s="179">
        <v>3</v>
      </c>
      <c r="AG26" s="179">
        <v>4.5</v>
      </c>
      <c r="AH26" s="179">
        <v>4.5</v>
      </c>
      <c r="AI26" s="179">
        <v>5</v>
      </c>
      <c r="AJ26" s="179" t="s">
        <v>443</v>
      </c>
      <c r="AL26" s="273" t="s">
        <v>494</v>
      </c>
      <c r="AM26" s="267">
        <v>16</v>
      </c>
      <c r="AN26" s="274">
        <v>1566</v>
      </c>
      <c r="AO26" s="299" t="s">
        <v>471</v>
      </c>
      <c r="AP26" s="288"/>
      <c r="AQ26" s="288"/>
      <c r="AR26" s="277">
        <v>2</v>
      </c>
      <c r="AS26" s="288"/>
      <c r="AT26" s="281">
        <v>4</v>
      </c>
      <c r="AU26" s="281">
        <v>4.99</v>
      </c>
      <c r="AV26" s="278">
        <v>4</v>
      </c>
      <c r="AW26" s="278">
        <v>4.99</v>
      </c>
      <c r="AX26" s="281">
        <v>6</v>
      </c>
      <c r="AY26" s="282">
        <v>6.99</v>
      </c>
      <c r="AZ26" s="278">
        <v>4</v>
      </c>
      <c r="BA26" s="278">
        <v>4.99</v>
      </c>
      <c r="BB26" s="288"/>
      <c r="BC26" s="277">
        <v>3.99</v>
      </c>
      <c r="BD26" s="288"/>
      <c r="BE26" s="163"/>
    </row>
    <row r="27" spans="1:57" x14ac:dyDescent="0.25">
      <c r="A27" s="163" t="s">
        <v>45</v>
      </c>
      <c r="B27" s="206" t="s">
        <v>455</v>
      </c>
      <c r="C27" s="181">
        <v>18</v>
      </c>
      <c r="D27" s="166">
        <f ca="1">B33-2100-6-93-112+6-36-112-112-112</f>
        <v>23</v>
      </c>
      <c r="E27" s="167"/>
      <c r="F27" s="168">
        <f t="shared" ca="1" si="12"/>
        <v>0</v>
      </c>
      <c r="G27" s="169">
        <f ca="1">TODAY()</f>
        <v>43698</v>
      </c>
      <c r="H27" s="202" t="s">
        <v>456</v>
      </c>
      <c r="I27" s="170" t="s">
        <v>436</v>
      </c>
      <c r="J27" s="170" t="s">
        <v>426</v>
      </c>
      <c r="K27" s="181"/>
      <c r="L27" s="181"/>
      <c r="M27" s="181"/>
      <c r="N27" s="177">
        <v>2.99</v>
      </c>
      <c r="O27" s="181"/>
      <c r="P27" s="177">
        <v>3.99</v>
      </c>
      <c r="Q27" s="172">
        <v>4</v>
      </c>
      <c r="R27" s="174">
        <v>4.99</v>
      </c>
      <c r="S27" s="175">
        <v>2</v>
      </c>
      <c r="T27" s="176">
        <v>2.99</v>
      </c>
      <c r="U27" s="181"/>
      <c r="V27" s="177">
        <v>2.99</v>
      </c>
      <c r="W27" s="181"/>
      <c r="X27" s="181"/>
      <c r="Y27" s="178">
        <f t="shared" si="13"/>
        <v>2</v>
      </c>
      <c r="Z27" s="170">
        <f t="shared" si="14"/>
        <v>5</v>
      </c>
      <c r="AA27" s="182"/>
      <c r="AB27" s="182"/>
      <c r="AC27" s="182"/>
      <c r="AD27" s="179">
        <v>1</v>
      </c>
      <c r="AE27" s="179"/>
      <c r="AF27" s="179">
        <v>3.5</v>
      </c>
      <c r="AG27" s="179">
        <v>4</v>
      </c>
      <c r="AH27" s="179">
        <v>4</v>
      </c>
      <c r="AI27" s="179"/>
      <c r="AJ27" s="179" t="s">
        <v>430</v>
      </c>
      <c r="AL27" s="273" t="s">
        <v>495</v>
      </c>
      <c r="AM27" s="267">
        <v>19</v>
      </c>
      <c r="AN27" s="274">
        <v>1449</v>
      </c>
      <c r="AO27" s="299" t="s">
        <v>478</v>
      </c>
      <c r="AP27" s="276"/>
      <c r="AQ27" s="277">
        <v>1.99</v>
      </c>
      <c r="AR27" s="278">
        <v>4</v>
      </c>
      <c r="AS27" s="278">
        <v>4.99</v>
      </c>
      <c r="AT27" s="278">
        <v>2</v>
      </c>
      <c r="AU27" s="278">
        <v>2.99</v>
      </c>
      <c r="AV27" s="278">
        <v>4</v>
      </c>
      <c r="AW27" s="278">
        <v>4.99</v>
      </c>
      <c r="AX27" s="281">
        <v>3</v>
      </c>
      <c r="AY27" s="281">
        <v>3.99</v>
      </c>
      <c r="AZ27" s="277">
        <v>5</v>
      </c>
      <c r="BA27" s="289">
        <v>6.99</v>
      </c>
      <c r="BB27" s="287">
        <v>0</v>
      </c>
      <c r="BC27" s="278">
        <v>0.99</v>
      </c>
      <c r="BD27" s="302"/>
      <c r="BE27" s="163"/>
    </row>
    <row r="28" spans="1:57" x14ac:dyDescent="0.25">
      <c r="A28" s="163" t="s">
        <v>39</v>
      </c>
      <c r="B28" s="241" t="s">
        <v>457</v>
      </c>
      <c r="C28" s="165">
        <v>18</v>
      </c>
      <c r="D28" s="242">
        <f ca="1">B33-2158+4-112-23-112-112-112</f>
        <v>75</v>
      </c>
      <c r="E28" s="167" t="s">
        <v>101</v>
      </c>
      <c r="F28" s="168">
        <f t="shared" ca="1" si="12"/>
        <v>0</v>
      </c>
      <c r="G28" s="169">
        <f ca="1">TODAY()</f>
        <v>43698</v>
      </c>
      <c r="H28" s="202" t="s">
        <v>438</v>
      </c>
      <c r="I28" s="170" t="s">
        <v>436</v>
      </c>
      <c r="J28" s="170" t="s">
        <v>426</v>
      </c>
      <c r="K28" s="165"/>
      <c r="L28" s="177">
        <v>1.99</v>
      </c>
      <c r="M28" s="175">
        <v>4</v>
      </c>
      <c r="N28" s="176">
        <v>4.99</v>
      </c>
      <c r="O28" s="165"/>
      <c r="P28" s="177">
        <v>1.99</v>
      </c>
      <c r="Q28" s="175">
        <v>3</v>
      </c>
      <c r="R28" s="176">
        <v>3.99</v>
      </c>
      <c r="S28" s="165"/>
      <c r="T28" s="204">
        <v>5.99</v>
      </c>
      <c r="U28" s="175">
        <v>3</v>
      </c>
      <c r="V28" s="176">
        <v>3.99</v>
      </c>
      <c r="W28" s="165"/>
      <c r="X28" s="165"/>
      <c r="Y28" s="178">
        <f t="shared" si="13"/>
        <v>3</v>
      </c>
      <c r="Z28" s="170">
        <f t="shared" si="14"/>
        <v>6</v>
      </c>
      <c r="AA28" s="170"/>
      <c r="AB28" s="170"/>
      <c r="AC28" s="170"/>
      <c r="AD28" s="179">
        <v>2</v>
      </c>
      <c r="AE28" s="179">
        <v>3.5</v>
      </c>
      <c r="AF28" s="179">
        <v>4</v>
      </c>
      <c r="AG28" s="179">
        <v>3.5</v>
      </c>
      <c r="AH28" s="179">
        <v>4.5</v>
      </c>
      <c r="AI28" s="179"/>
      <c r="AJ28" s="179" t="s">
        <v>443</v>
      </c>
      <c r="AL28" s="273" t="s">
        <v>496</v>
      </c>
      <c r="AM28" s="267">
        <v>16</v>
      </c>
      <c r="AN28" s="274">
        <v>1524</v>
      </c>
      <c r="AO28" s="299"/>
      <c r="AP28" s="276"/>
      <c r="AQ28" s="277">
        <v>1.99</v>
      </c>
      <c r="AR28" s="276"/>
      <c r="AS28" s="277">
        <v>2.99</v>
      </c>
      <c r="AT28" s="278">
        <v>4</v>
      </c>
      <c r="AU28" s="278">
        <v>4.99</v>
      </c>
      <c r="AV28" s="278">
        <v>1</v>
      </c>
      <c r="AW28" s="278">
        <v>1.99</v>
      </c>
      <c r="AX28" s="281">
        <v>6</v>
      </c>
      <c r="AY28" s="282">
        <v>6.99</v>
      </c>
      <c r="AZ28" s="278">
        <v>3</v>
      </c>
      <c r="BA28" s="278">
        <v>3.99</v>
      </c>
      <c r="BB28" s="276"/>
      <c r="BC28" s="276"/>
      <c r="BD28" s="302"/>
      <c r="BE28" s="163"/>
    </row>
    <row r="29" spans="1:57" x14ac:dyDescent="0.25">
      <c r="A29" s="163"/>
      <c r="B29" s="165"/>
      <c r="C29" s="165"/>
      <c r="D29" s="165"/>
      <c r="E29" s="243"/>
      <c r="F29" s="165"/>
      <c r="G29" s="243"/>
      <c r="H29" s="244"/>
      <c r="I29" s="243"/>
      <c r="J29" s="243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243"/>
      <c r="Z29" s="243"/>
      <c r="AA29" s="243"/>
      <c r="AB29" s="243"/>
      <c r="AC29" s="243"/>
      <c r="AD29" s="245"/>
      <c r="AE29" s="245"/>
      <c r="AF29" s="245"/>
      <c r="AG29" s="245"/>
      <c r="AH29" s="245"/>
      <c r="AI29" s="245"/>
      <c r="AJ29" s="244"/>
      <c r="AL29" s="273" t="s">
        <v>497</v>
      </c>
      <c r="AM29" s="267">
        <v>18</v>
      </c>
      <c r="AN29" s="274">
        <v>1507</v>
      </c>
      <c r="AO29" s="299" t="s">
        <v>415</v>
      </c>
      <c r="AP29" s="290"/>
      <c r="AQ29" s="277">
        <v>1.99</v>
      </c>
      <c r="AR29" s="290"/>
      <c r="AS29" s="277">
        <v>1.99</v>
      </c>
      <c r="AT29" s="277">
        <v>5</v>
      </c>
      <c r="AU29" s="289">
        <v>6.99</v>
      </c>
      <c r="AV29" s="278">
        <v>2</v>
      </c>
      <c r="AW29" s="278">
        <v>2.99</v>
      </c>
      <c r="AX29" s="278">
        <v>2</v>
      </c>
      <c r="AY29" s="278">
        <v>2.99</v>
      </c>
      <c r="AZ29" s="278">
        <v>4</v>
      </c>
      <c r="BA29" s="278">
        <v>4.99</v>
      </c>
      <c r="BB29" s="278">
        <v>4</v>
      </c>
      <c r="BC29" s="278">
        <v>4.99</v>
      </c>
      <c r="BD29" s="304"/>
      <c r="BE29" s="291"/>
    </row>
    <row r="30" spans="1:57" x14ac:dyDescent="0.25">
      <c r="A30" s="163"/>
      <c r="B30" s="181"/>
      <c r="C30" s="181"/>
      <c r="D30" s="201"/>
      <c r="E30" s="182"/>
      <c r="F30" s="181"/>
      <c r="G30" s="182"/>
      <c r="H30" s="207"/>
      <c r="I30" s="182"/>
      <c r="J30" s="182"/>
      <c r="K30" s="163"/>
      <c r="L30" s="163"/>
      <c r="M30" s="163"/>
      <c r="N30" s="163"/>
      <c r="O30" s="163"/>
      <c r="P30" s="163"/>
      <c r="Q30" s="181"/>
      <c r="R30" s="181"/>
      <c r="S30" s="181"/>
      <c r="T30" s="181"/>
      <c r="U30" s="181"/>
      <c r="V30" s="181"/>
      <c r="W30" s="181"/>
      <c r="X30" s="181"/>
      <c r="Y30" s="182"/>
      <c r="Z30" s="182"/>
      <c r="AA30" s="182"/>
      <c r="AB30" s="182"/>
      <c r="AC30" s="182"/>
      <c r="AD30" s="240"/>
      <c r="AE30" s="240"/>
      <c r="AF30" s="240"/>
      <c r="AG30" s="240"/>
      <c r="AH30" s="246"/>
      <c r="AI30" s="246"/>
      <c r="AJ30" s="247"/>
      <c r="AL30" s="273" t="s">
        <v>498</v>
      </c>
      <c r="AM30" s="267">
        <v>19</v>
      </c>
      <c r="AN30" s="274">
        <v>1392</v>
      </c>
      <c r="AO30" s="299" t="s">
        <v>499</v>
      </c>
      <c r="AP30" s="288"/>
      <c r="AQ30" s="277">
        <v>1.99</v>
      </c>
      <c r="AR30" s="277">
        <v>4</v>
      </c>
      <c r="AS30" s="286">
        <v>5.99</v>
      </c>
      <c r="AT30" s="281">
        <v>4</v>
      </c>
      <c r="AU30" s="281">
        <v>4.99</v>
      </c>
      <c r="AV30" s="278">
        <v>1</v>
      </c>
      <c r="AW30" s="278">
        <v>1.99</v>
      </c>
      <c r="AX30" s="278">
        <v>5</v>
      </c>
      <c r="AY30" s="278">
        <v>5.99</v>
      </c>
      <c r="AZ30" s="278">
        <v>2</v>
      </c>
      <c r="BA30" s="278">
        <v>2.99</v>
      </c>
      <c r="BB30" s="288"/>
      <c r="BC30" s="288"/>
      <c r="BD30" s="288"/>
      <c r="BE30" s="163"/>
    </row>
    <row r="31" spans="1:57" x14ac:dyDescent="0.25">
      <c r="A31" s="163"/>
      <c r="B31" s="248" t="s">
        <v>458</v>
      </c>
      <c r="C31" s="181"/>
      <c r="D31" s="181"/>
      <c r="E31" s="182"/>
      <c r="F31" s="181"/>
      <c r="G31" s="182"/>
      <c r="H31" s="453"/>
      <c r="I31" s="453"/>
      <c r="J31" s="453"/>
      <c r="K31" s="453"/>
      <c r="L31" s="453"/>
      <c r="M31" s="453"/>
      <c r="N31" s="453"/>
      <c r="O31" s="453"/>
      <c r="P31" s="163"/>
      <c r="Q31" s="165"/>
      <c r="R31" s="165"/>
      <c r="S31" s="181"/>
      <c r="T31" s="181"/>
      <c r="U31" s="181"/>
      <c r="V31" s="181"/>
      <c r="W31" s="181"/>
      <c r="X31" s="181"/>
      <c r="Y31" s="182"/>
      <c r="Z31" s="182"/>
      <c r="AA31" s="182"/>
      <c r="AB31" s="182"/>
      <c r="AC31" s="182"/>
      <c r="AD31" s="240"/>
      <c r="AE31" s="240"/>
      <c r="AF31" s="249"/>
      <c r="AG31" s="249"/>
      <c r="AH31" s="240"/>
      <c r="AI31" s="240"/>
      <c r="AJ31" s="207"/>
      <c r="AL31" s="273" t="s">
        <v>500</v>
      </c>
      <c r="AM31" s="267">
        <v>18</v>
      </c>
      <c r="AN31" s="274">
        <v>1470</v>
      </c>
      <c r="AO31" s="299"/>
      <c r="AP31" s="288"/>
      <c r="AQ31" s="277">
        <v>1.99</v>
      </c>
      <c r="AR31" s="278">
        <v>3</v>
      </c>
      <c r="AS31" s="278">
        <v>3.99</v>
      </c>
      <c r="AT31" s="278">
        <v>3</v>
      </c>
      <c r="AU31" s="278">
        <v>3.99</v>
      </c>
      <c r="AV31" s="281">
        <v>6</v>
      </c>
      <c r="AW31" s="282">
        <v>6.99</v>
      </c>
      <c r="AX31" s="278">
        <v>2</v>
      </c>
      <c r="AY31" s="278">
        <v>2.99</v>
      </c>
      <c r="AZ31" s="278">
        <v>4</v>
      </c>
      <c r="BA31" s="278">
        <v>4.99</v>
      </c>
      <c r="BB31" s="288"/>
      <c r="BC31" s="277">
        <v>3.99</v>
      </c>
      <c r="BD31" s="292" t="s">
        <v>501</v>
      </c>
    </row>
    <row r="32" spans="1:57" x14ac:dyDescent="0.25">
      <c r="A32" s="250"/>
      <c r="B32" s="251">
        <f ca="1">TODAY()</f>
        <v>43698</v>
      </c>
      <c r="C32" s="181"/>
      <c r="D32" s="181"/>
      <c r="E32" s="252"/>
      <c r="F32" s="181"/>
      <c r="G32" s="253"/>
      <c r="H32" s="254"/>
      <c r="I32" s="253"/>
      <c r="J32" s="253"/>
      <c r="K32" s="181"/>
      <c r="L32" s="181"/>
      <c r="M32" s="181"/>
      <c r="N32" s="181"/>
      <c r="O32" s="181"/>
      <c r="P32" s="181"/>
      <c r="Q32" s="165"/>
      <c r="R32" s="165"/>
      <c r="S32" s="181"/>
      <c r="T32" s="181"/>
      <c r="U32" s="181"/>
      <c r="V32" s="181"/>
      <c r="W32" s="253"/>
      <c r="X32" s="253"/>
      <c r="Y32" s="253"/>
      <c r="Z32" s="253"/>
      <c r="AA32" s="253"/>
      <c r="AB32" s="253"/>
      <c r="AC32" s="253"/>
      <c r="AD32" s="240"/>
      <c r="AE32" s="240"/>
      <c r="AF32" s="240"/>
      <c r="AG32" s="240"/>
      <c r="AH32" s="240"/>
      <c r="AI32" s="240"/>
      <c r="AJ32" s="207"/>
      <c r="AL32" s="273" t="s">
        <v>502</v>
      </c>
      <c r="AM32" s="267">
        <v>17</v>
      </c>
      <c r="AN32" s="274">
        <v>1357</v>
      </c>
      <c r="AO32" s="299" t="s">
        <v>475</v>
      </c>
      <c r="AP32" s="288"/>
      <c r="AQ32" s="288"/>
      <c r="AR32" s="288"/>
      <c r="AS32" s="277">
        <v>2.99</v>
      </c>
      <c r="AT32" s="281">
        <v>5</v>
      </c>
      <c r="AU32" s="284">
        <v>5.99</v>
      </c>
      <c r="AV32" s="281">
        <v>6</v>
      </c>
      <c r="AW32" s="282">
        <v>6.99</v>
      </c>
      <c r="AX32" s="278">
        <v>3</v>
      </c>
      <c r="AY32" s="278">
        <v>3.99</v>
      </c>
      <c r="AZ32" s="278">
        <v>3</v>
      </c>
      <c r="BA32" s="278">
        <v>3.99</v>
      </c>
      <c r="BB32" s="288"/>
      <c r="BC32" s="277">
        <v>2.99</v>
      </c>
      <c r="BD32" s="292">
        <v>42287</v>
      </c>
    </row>
    <row r="33" spans="1:56" x14ac:dyDescent="0.25">
      <c r="A33" s="163"/>
      <c r="B33" s="201">
        <f ca="1">411+B36</f>
        <v>2700</v>
      </c>
      <c r="C33" s="181"/>
      <c r="D33" s="181"/>
      <c r="E33" s="182"/>
      <c r="F33" s="181"/>
      <c r="G33" s="253"/>
      <c r="H33" s="254"/>
      <c r="I33" s="253"/>
      <c r="J33" s="253"/>
      <c r="K33" s="181"/>
      <c r="L33" s="181"/>
      <c r="M33" s="181"/>
      <c r="N33" s="181"/>
      <c r="O33" s="181"/>
      <c r="P33" s="181"/>
      <c r="Q33" s="165"/>
      <c r="R33" s="165"/>
      <c r="S33" s="181"/>
      <c r="T33" s="181"/>
      <c r="U33" s="181"/>
      <c r="V33" s="181"/>
      <c r="W33" s="181"/>
      <c r="X33" s="253"/>
      <c r="Y33" s="253"/>
      <c r="Z33" s="253"/>
      <c r="AA33" s="253"/>
      <c r="AB33" s="253"/>
      <c r="AC33" s="253"/>
      <c r="AD33" s="255"/>
      <c r="AE33" s="255"/>
      <c r="AF33" s="240"/>
      <c r="AG33" s="240"/>
      <c r="AH33" s="240"/>
      <c r="AI33" s="240"/>
      <c r="AJ33" s="207"/>
      <c r="AL33" s="273" t="s">
        <v>503</v>
      </c>
      <c r="AM33" s="267">
        <v>17</v>
      </c>
      <c r="AN33" s="274">
        <v>1358</v>
      </c>
      <c r="AO33" s="299" t="s">
        <v>478</v>
      </c>
      <c r="AP33" s="288"/>
      <c r="AQ33" s="288"/>
      <c r="AR33" s="281">
        <v>4</v>
      </c>
      <c r="AS33" s="281">
        <v>4.99</v>
      </c>
      <c r="AT33" s="281">
        <v>5</v>
      </c>
      <c r="AU33" s="284">
        <v>5.99</v>
      </c>
      <c r="AV33" s="278">
        <v>2</v>
      </c>
      <c r="AW33" s="278">
        <v>2.99</v>
      </c>
      <c r="AX33" s="278">
        <v>3</v>
      </c>
      <c r="AY33" s="278">
        <v>3.99</v>
      </c>
      <c r="AZ33" s="278">
        <v>3</v>
      </c>
      <c r="BA33" s="278">
        <v>3.99</v>
      </c>
      <c r="BB33" s="278">
        <v>3</v>
      </c>
      <c r="BC33" s="278">
        <v>3.99</v>
      </c>
      <c r="BD33" s="292" t="s">
        <v>501</v>
      </c>
    </row>
    <row r="34" spans="1:56" x14ac:dyDescent="0.25">
      <c r="A34" s="163"/>
      <c r="B34" s="181"/>
      <c r="C34" s="181"/>
      <c r="D34" s="181"/>
      <c r="E34" s="182"/>
      <c r="F34" s="181"/>
      <c r="G34" s="182"/>
      <c r="H34" s="207"/>
      <c r="I34" s="182"/>
      <c r="J34" s="182"/>
      <c r="K34" s="181"/>
      <c r="L34" s="181"/>
      <c r="M34" s="181"/>
      <c r="N34" s="181"/>
      <c r="O34" s="181"/>
      <c r="P34" s="181"/>
      <c r="Q34" s="165"/>
      <c r="R34" s="165"/>
      <c r="S34" s="181"/>
      <c r="T34" s="181"/>
      <c r="U34" s="165"/>
      <c r="V34" s="181"/>
      <c r="W34" s="181"/>
      <c r="X34" s="181"/>
      <c r="Y34" s="182"/>
      <c r="Z34" s="182"/>
      <c r="AA34" s="182"/>
      <c r="AB34" s="182"/>
      <c r="AC34" s="182"/>
      <c r="AD34" s="240"/>
      <c r="AE34" s="240"/>
      <c r="AF34" s="245"/>
      <c r="AG34" s="245"/>
      <c r="AH34" s="240"/>
      <c r="AI34" s="240"/>
      <c r="AJ34" s="207"/>
      <c r="AL34" s="273" t="s">
        <v>504</v>
      </c>
      <c r="AM34" s="267">
        <v>17</v>
      </c>
      <c r="AN34" s="274">
        <v>1417</v>
      </c>
      <c r="AO34" s="299" t="s">
        <v>486</v>
      </c>
      <c r="AP34" s="276"/>
      <c r="AQ34" s="276"/>
      <c r="AR34" s="276"/>
      <c r="AS34" s="277">
        <v>2.99</v>
      </c>
      <c r="AT34" s="281">
        <v>5</v>
      </c>
      <c r="AU34" s="284">
        <v>5.99</v>
      </c>
      <c r="AV34" s="278">
        <v>3</v>
      </c>
      <c r="AW34" s="278">
        <v>3.99</v>
      </c>
      <c r="AX34" s="278">
        <v>3</v>
      </c>
      <c r="AY34" s="278">
        <v>3.99</v>
      </c>
      <c r="AZ34" s="276"/>
      <c r="BA34" s="277">
        <v>4.99</v>
      </c>
      <c r="BB34" s="276"/>
      <c r="BC34" s="277">
        <v>3.99</v>
      </c>
      <c r="BD34" s="292" t="s">
        <v>501</v>
      </c>
    </row>
    <row r="35" spans="1:56" x14ac:dyDescent="0.25">
      <c r="A35" s="163"/>
      <c r="B35" s="256">
        <v>41409</v>
      </c>
      <c r="C35" s="181"/>
      <c r="D35" s="181"/>
      <c r="E35" s="182"/>
      <c r="F35" s="181"/>
      <c r="G35" s="182"/>
      <c r="H35" s="207"/>
      <c r="I35" s="182"/>
      <c r="J35" s="182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2"/>
      <c r="Z35" s="182"/>
      <c r="AA35" s="182"/>
      <c r="AB35" s="182"/>
      <c r="AC35" s="182"/>
      <c r="AD35" s="240"/>
      <c r="AE35" s="240"/>
      <c r="AF35" s="240"/>
      <c r="AG35" s="240"/>
      <c r="AH35" s="240"/>
      <c r="AI35" s="240"/>
      <c r="AJ35" s="207"/>
      <c r="AL35" s="273" t="s">
        <v>505</v>
      </c>
      <c r="AM35" s="267">
        <v>17</v>
      </c>
      <c r="AN35" s="274">
        <v>1296</v>
      </c>
      <c r="AO35" s="299"/>
      <c r="AP35" s="288"/>
      <c r="AQ35" s="277">
        <v>1.99</v>
      </c>
      <c r="AR35" s="288"/>
      <c r="AS35" s="277">
        <v>2.99</v>
      </c>
      <c r="AT35" s="278">
        <v>6</v>
      </c>
      <c r="AU35" s="279">
        <v>6.99</v>
      </c>
      <c r="AV35" s="278">
        <v>3</v>
      </c>
      <c r="AW35" s="278">
        <v>3.99</v>
      </c>
      <c r="AX35" s="281">
        <v>5</v>
      </c>
      <c r="AY35" s="284">
        <v>5.99</v>
      </c>
      <c r="AZ35" s="278">
        <v>4</v>
      </c>
      <c r="BA35" s="278">
        <v>4.99</v>
      </c>
      <c r="BB35" s="278">
        <v>1</v>
      </c>
      <c r="BC35" s="278">
        <v>1.99</v>
      </c>
      <c r="BD35" s="292">
        <v>42348</v>
      </c>
    </row>
    <row r="36" spans="1:56" x14ac:dyDescent="0.25">
      <c r="A36" s="163"/>
      <c r="B36" s="257">
        <f ca="1">B32-B35</f>
        <v>2289</v>
      </c>
      <c r="C36" s="181"/>
      <c r="D36" s="201"/>
      <c r="E36" s="182"/>
      <c r="F36" s="181"/>
      <c r="G36" s="258"/>
      <c r="H36" s="207"/>
      <c r="I36" s="182"/>
      <c r="J36" s="182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2"/>
      <c r="Z36" s="182"/>
      <c r="AA36" s="182"/>
      <c r="AB36" s="182"/>
      <c r="AC36" s="182"/>
      <c r="AD36" s="240"/>
      <c r="AE36" s="240"/>
      <c r="AF36" s="240"/>
      <c r="AG36" s="240"/>
      <c r="AH36" s="240"/>
      <c r="AI36" s="240"/>
      <c r="AJ36" s="207"/>
      <c r="AL36" s="273" t="s">
        <v>506</v>
      </c>
      <c r="AM36" s="267">
        <v>17</v>
      </c>
      <c r="AN36" s="274">
        <v>1312</v>
      </c>
      <c r="AO36" s="299" t="s">
        <v>499</v>
      </c>
      <c r="AP36" s="288"/>
      <c r="AQ36" s="277">
        <v>1.99</v>
      </c>
      <c r="AR36" s="281">
        <v>2</v>
      </c>
      <c r="AS36" s="281">
        <v>2.99</v>
      </c>
      <c r="AT36" s="281">
        <v>6</v>
      </c>
      <c r="AU36" s="282">
        <v>6.99</v>
      </c>
      <c r="AV36" s="288"/>
      <c r="AW36" s="288">
        <v>2.99</v>
      </c>
      <c r="AX36" s="277">
        <v>3</v>
      </c>
      <c r="AY36" s="288">
        <v>3.99</v>
      </c>
      <c r="AZ36" s="278">
        <v>4</v>
      </c>
      <c r="BA36" s="278">
        <v>4.99</v>
      </c>
      <c r="BB36" s="288"/>
      <c r="BC36" s="288"/>
      <c r="BD36" s="292">
        <v>42358</v>
      </c>
    </row>
    <row r="37" spans="1:56" x14ac:dyDescent="0.25">
      <c r="A37" s="163"/>
      <c r="B37" s="181"/>
      <c r="C37" s="181"/>
      <c r="D37" s="181"/>
      <c r="E37" s="182"/>
      <c r="F37" s="181"/>
      <c r="G37" s="182"/>
      <c r="H37" s="207"/>
      <c r="I37" s="182"/>
      <c r="J37" s="182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2"/>
      <c r="Z37" s="182"/>
      <c r="AA37" s="182"/>
      <c r="AB37" s="182"/>
      <c r="AC37" s="182"/>
      <c r="AD37" s="240"/>
      <c r="AE37" s="240"/>
      <c r="AF37" s="240"/>
      <c r="AG37" s="240"/>
      <c r="AH37" s="240"/>
      <c r="AI37" s="240"/>
      <c r="AJ37" s="207"/>
      <c r="AL37" s="273" t="s">
        <v>507</v>
      </c>
      <c r="AM37" s="267">
        <v>17</v>
      </c>
      <c r="AN37" s="274">
        <v>1277</v>
      </c>
      <c r="AO37" s="299"/>
      <c r="AP37" s="288"/>
      <c r="AQ37" s="288"/>
      <c r="AR37" s="288"/>
      <c r="AS37" s="277">
        <v>2.99</v>
      </c>
      <c r="AT37" s="281">
        <v>5</v>
      </c>
      <c r="AU37" s="284">
        <v>5.99</v>
      </c>
      <c r="AV37" s="288"/>
      <c r="AW37" s="277">
        <v>3.99</v>
      </c>
      <c r="AX37" s="281">
        <v>5</v>
      </c>
      <c r="AY37" s="284">
        <v>5.99</v>
      </c>
      <c r="AZ37" s="281">
        <v>5</v>
      </c>
      <c r="BA37" s="284">
        <v>5.99</v>
      </c>
      <c r="BB37" s="288"/>
      <c r="BC37" s="288"/>
      <c r="BD37" s="292">
        <v>42369</v>
      </c>
    </row>
    <row r="38" spans="1:56" x14ac:dyDescent="0.25">
      <c r="A38" s="163"/>
      <c r="B38" s="181"/>
      <c r="C38" s="181"/>
      <c r="D38" s="181"/>
      <c r="E38" s="182"/>
      <c r="F38" s="181"/>
      <c r="G38" s="182"/>
      <c r="H38" s="207"/>
      <c r="I38" s="182"/>
      <c r="J38" s="182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2"/>
      <c r="Z38" s="182"/>
      <c r="AA38" s="182"/>
      <c r="AB38" s="182"/>
      <c r="AC38" s="182"/>
      <c r="AD38" s="240"/>
      <c r="AE38" s="240"/>
      <c r="AF38" s="240"/>
      <c r="AG38" s="240"/>
      <c r="AH38" s="240"/>
      <c r="AI38" s="240"/>
      <c r="AJ38" s="207"/>
      <c r="AL38" s="273" t="s">
        <v>508</v>
      </c>
      <c r="AM38" s="267">
        <v>18</v>
      </c>
      <c r="AN38" s="274">
        <v>1366</v>
      </c>
      <c r="AO38" s="299"/>
      <c r="AP38" s="276"/>
      <c r="AQ38" s="277">
        <v>0.99</v>
      </c>
      <c r="AR38" s="277">
        <v>4</v>
      </c>
      <c r="AS38" s="289">
        <v>6.99</v>
      </c>
      <c r="AT38" s="281">
        <v>5</v>
      </c>
      <c r="AU38" s="284">
        <v>5.99</v>
      </c>
      <c r="AV38" s="276"/>
      <c r="AW38" s="277">
        <v>3.99</v>
      </c>
      <c r="AX38" s="278">
        <v>3</v>
      </c>
      <c r="AY38" s="278">
        <v>3.99</v>
      </c>
      <c r="AZ38" s="278">
        <v>6</v>
      </c>
      <c r="BA38" s="279">
        <v>6.99</v>
      </c>
      <c r="BB38" s="276"/>
      <c r="BC38" s="277">
        <v>4.99</v>
      </c>
      <c r="BD38" s="292" t="s">
        <v>501</v>
      </c>
    </row>
    <row r="39" spans="1:56" x14ac:dyDescent="0.25">
      <c r="A39" s="163"/>
      <c r="B39" s="181"/>
      <c r="C39" s="181"/>
      <c r="D39" s="181"/>
      <c r="E39" s="182"/>
      <c r="F39" s="181"/>
      <c r="G39" s="182"/>
      <c r="H39" s="207"/>
      <c r="I39" s="182"/>
      <c r="J39" s="182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2"/>
      <c r="Z39" s="182"/>
      <c r="AA39" s="182"/>
      <c r="AB39" s="182"/>
      <c r="AC39" s="182"/>
      <c r="AD39" s="240"/>
      <c r="AE39" s="240"/>
      <c r="AF39" s="240"/>
      <c r="AG39" s="240"/>
      <c r="AH39" s="240"/>
      <c r="AI39" s="240"/>
      <c r="AJ39" s="207"/>
      <c r="AL39" s="273" t="s">
        <v>509</v>
      </c>
      <c r="AM39" s="267">
        <v>17</v>
      </c>
      <c r="AN39" s="274">
        <v>1283</v>
      </c>
      <c r="AO39" s="299"/>
      <c r="AP39" s="288"/>
      <c r="AQ39" s="277">
        <v>1.99</v>
      </c>
      <c r="AR39" s="281">
        <v>4</v>
      </c>
      <c r="AS39" s="281">
        <v>4.99</v>
      </c>
      <c r="AT39" s="278">
        <v>2</v>
      </c>
      <c r="AU39" s="278">
        <v>2.99</v>
      </c>
      <c r="AV39" s="278">
        <v>3</v>
      </c>
      <c r="AW39" s="278">
        <v>3.99</v>
      </c>
      <c r="AX39" s="281">
        <v>6</v>
      </c>
      <c r="AY39" s="282">
        <v>6.99</v>
      </c>
      <c r="AZ39" s="278">
        <v>3</v>
      </c>
      <c r="BA39" s="278">
        <v>3.99</v>
      </c>
      <c r="BB39" s="288"/>
      <c r="BC39" s="277">
        <v>2.99</v>
      </c>
      <c r="BD39" s="292">
        <v>42361</v>
      </c>
    </row>
    <row r="40" spans="1:56" x14ac:dyDescent="0.25">
      <c r="AL40" s="273" t="s">
        <v>510</v>
      </c>
      <c r="AM40" s="267">
        <v>16</v>
      </c>
      <c r="AN40" s="274">
        <v>1347</v>
      </c>
      <c r="AO40" s="299"/>
      <c r="AP40" s="288"/>
      <c r="AQ40" s="288"/>
      <c r="AR40" s="277">
        <v>4</v>
      </c>
      <c r="AS40" s="286">
        <v>5.99</v>
      </c>
      <c r="AT40" s="281">
        <v>2</v>
      </c>
      <c r="AU40" s="281">
        <v>2.99</v>
      </c>
      <c r="AV40" s="278">
        <v>4</v>
      </c>
      <c r="AW40" s="278">
        <v>4.99</v>
      </c>
      <c r="AX40" s="281">
        <v>6</v>
      </c>
      <c r="AY40" s="282">
        <v>6.99</v>
      </c>
      <c r="AZ40" s="278">
        <v>4</v>
      </c>
      <c r="BA40" s="278">
        <v>4.99</v>
      </c>
      <c r="BB40" s="288"/>
      <c r="BC40" s="288"/>
      <c r="BD40" s="292">
        <v>42409</v>
      </c>
    </row>
    <row r="41" spans="1:56" x14ac:dyDescent="0.25">
      <c r="AL41" s="273" t="s">
        <v>511</v>
      </c>
      <c r="AM41" s="267">
        <v>17</v>
      </c>
      <c r="AN41" s="274">
        <v>1269</v>
      </c>
      <c r="AO41" s="299" t="s">
        <v>478</v>
      </c>
      <c r="AP41" s="276"/>
      <c r="AQ41" s="277">
        <v>1.99</v>
      </c>
      <c r="AR41" s="281">
        <v>5</v>
      </c>
      <c r="AS41" s="284">
        <v>5.99</v>
      </c>
      <c r="AT41" s="278">
        <v>5</v>
      </c>
      <c r="AU41" s="279">
        <v>5.99</v>
      </c>
      <c r="AV41" s="281">
        <v>3</v>
      </c>
      <c r="AW41" s="281">
        <v>3.99</v>
      </c>
      <c r="AX41" s="278">
        <v>2</v>
      </c>
      <c r="AY41" s="278">
        <v>2.99</v>
      </c>
      <c r="AZ41" s="278">
        <v>2</v>
      </c>
      <c r="BA41" s="278">
        <v>2.99</v>
      </c>
      <c r="BB41" s="276"/>
      <c r="BC41" s="276"/>
      <c r="BD41" s="292">
        <v>42375</v>
      </c>
    </row>
    <row r="42" spans="1:56" x14ac:dyDescent="0.25">
      <c r="AL42" s="273" t="s">
        <v>512</v>
      </c>
      <c r="AM42" s="267">
        <v>17</v>
      </c>
      <c r="AN42" s="274">
        <v>1213</v>
      </c>
      <c r="AO42" s="299" t="s">
        <v>478</v>
      </c>
      <c r="AP42" s="288"/>
      <c r="AQ42" s="288"/>
      <c r="AR42" s="288"/>
      <c r="AS42" s="277">
        <v>2.99</v>
      </c>
      <c r="AT42" s="281">
        <v>5</v>
      </c>
      <c r="AU42" s="284">
        <v>5.99</v>
      </c>
      <c r="AV42" s="288"/>
      <c r="AW42" s="277">
        <v>2.99</v>
      </c>
      <c r="AX42" s="281">
        <v>3</v>
      </c>
      <c r="AY42" s="288">
        <v>3.99</v>
      </c>
      <c r="AZ42" s="281">
        <v>6</v>
      </c>
      <c r="BA42" s="282">
        <v>6.99</v>
      </c>
      <c r="BB42" s="278">
        <v>2</v>
      </c>
      <c r="BC42" s="278">
        <v>2.99</v>
      </c>
      <c r="BD42" s="292">
        <v>42431</v>
      </c>
    </row>
    <row r="43" spans="1:56" x14ac:dyDescent="0.25">
      <c r="AL43" s="273" t="s">
        <v>513</v>
      </c>
      <c r="AM43" s="267">
        <v>17</v>
      </c>
      <c r="AN43" s="274">
        <v>1214</v>
      </c>
      <c r="AO43" s="299"/>
      <c r="AP43" s="288"/>
      <c r="AQ43" s="277">
        <v>1.99</v>
      </c>
      <c r="AR43" s="281">
        <v>4</v>
      </c>
      <c r="AS43" s="281">
        <v>4.99</v>
      </c>
      <c r="AT43" s="278">
        <v>5</v>
      </c>
      <c r="AU43" s="279">
        <v>5.99</v>
      </c>
      <c r="AV43" s="288"/>
      <c r="AW43" s="277">
        <v>4.99</v>
      </c>
      <c r="AX43" s="281">
        <v>5</v>
      </c>
      <c r="AY43" s="284">
        <v>5.99</v>
      </c>
      <c r="AZ43" s="278">
        <v>3</v>
      </c>
      <c r="BA43" s="278">
        <v>3.99</v>
      </c>
      <c r="BB43" s="278">
        <v>2</v>
      </c>
      <c r="BC43" s="278">
        <v>2.99</v>
      </c>
      <c r="BD43" s="292">
        <v>42430</v>
      </c>
    </row>
    <row r="44" spans="1:56" x14ac:dyDescent="0.25">
      <c r="AL44" s="273" t="s">
        <v>514</v>
      </c>
      <c r="AM44" s="267">
        <v>17</v>
      </c>
      <c r="AN44" s="274">
        <v>1221</v>
      </c>
      <c r="AO44" s="299"/>
      <c r="AP44" s="288"/>
      <c r="AQ44" s="288"/>
      <c r="AR44" s="278">
        <v>3</v>
      </c>
      <c r="AS44" s="278">
        <v>3.99</v>
      </c>
      <c r="AT44" s="281">
        <v>4</v>
      </c>
      <c r="AU44" s="281">
        <v>4.99</v>
      </c>
      <c r="AV44" s="281">
        <v>4</v>
      </c>
      <c r="AW44" s="281">
        <v>4.99</v>
      </c>
      <c r="AX44" s="288"/>
      <c r="AY44" s="277">
        <v>4.99</v>
      </c>
      <c r="AZ44" s="281">
        <v>5</v>
      </c>
      <c r="BA44" s="284">
        <v>5.99</v>
      </c>
      <c r="BB44" s="278">
        <v>1</v>
      </c>
      <c r="BC44" s="278">
        <v>1.99</v>
      </c>
      <c r="BD44" s="292">
        <v>42516</v>
      </c>
    </row>
    <row r="45" spans="1:56" x14ac:dyDescent="0.25">
      <c r="AL45" s="273" t="s">
        <v>515</v>
      </c>
      <c r="AM45" s="267">
        <v>16</v>
      </c>
      <c r="AN45" s="274">
        <v>1228</v>
      </c>
      <c r="AO45" s="299" t="s">
        <v>475</v>
      </c>
      <c r="AP45" s="288"/>
      <c r="AQ45" s="277">
        <v>1.99</v>
      </c>
      <c r="AR45" s="281">
        <v>5</v>
      </c>
      <c r="AS45" s="284">
        <v>5.99</v>
      </c>
      <c r="AT45" s="281">
        <v>5</v>
      </c>
      <c r="AU45" s="284">
        <v>5.99</v>
      </c>
      <c r="AV45" s="281">
        <v>3</v>
      </c>
      <c r="AW45" s="281">
        <v>3.99</v>
      </c>
      <c r="AX45" s="281">
        <v>3</v>
      </c>
      <c r="AY45" s="281">
        <v>3.99</v>
      </c>
      <c r="AZ45" s="278">
        <v>1</v>
      </c>
      <c r="BA45" s="278">
        <v>1.99</v>
      </c>
      <c r="BB45" s="288"/>
      <c r="BC45" s="288"/>
      <c r="BD45" s="292">
        <v>42528</v>
      </c>
    </row>
    <row r="46" spans="1:56" x14ac:dyDescent="0.25">
      <c r="AL46" s="273" t="s">
        <v>516</v>
      </c>
      <c r="AM46" s="267">
        <v>18</v>
      </c>
      <c r="AN46" s="274">
        <v>1205</v>
      </c>
      <c r="AO46" s="299"/>
      <c r="AP46" s="288"/>
      <c r="AQ46" s="288"/>
      <c r="AR46" s="281">
        <v>6</v>
      </c>
      <c r="AS46" s="282">
        <v>6.99</v>
      </c>
      <c r="AT46" s="278">
        <v>4</v>
      </c>
      <c r="AU46" s="278">
        <v>4.99</v>
      </c>
      <c r="AV46" s="288"/>
      <c r="AW46" s="277">
        <v>2.99</v>
      </c>
      <c r="AX46" s="281">
        <v>3</v>
      </c>
      <c r="AY46" s="281">
        <v>3.99</v>
      </c>
      <c r="AZ46" s="278">
        <v>2</v>
      </c>
      <c r="BA46" s="278">
        <v>2.99</v>
      </c>
      <c r="BB46" s="278">
        <v>2</v>
      </c>
      <c r="BC46" s="278">
        <v>2.99</v>
      </c>
      <c r="BD46" s="292">
        <v>42327</v>
      </c>
    </row>
    <row r="47" spans="1:56" x14ac:dyDescent="0.25">
      <c r="AL47" s="273" t="s">
        <v>517</v>
      </c>
      <c r="AM47" s="267">
        <v>17</v>
      </c>
      <c r="AN47" s="274">
        <v>1042</v>
      </c>
      <c r="AO47" s="299"/>
      <c r="AP47" s="288"/>
      <c r="AQ47" s="288"/>
      <c r="AR47" s="278">
        <v>4</v>
      </c>
      <c r="AS47" s="278">
        <v>4.99</v>
      </c>
      <c r="AT47" s="278">
        <v>5</v>
      </c>
      <c r="AU47" s="279">
        <v>5.99</v>
      </c>
      <c r="AV47" s="288"/>
      <c r="AW47" s="277">
        <v>2.99</v>
      </c>
      <c r="AX47" s="288"/>
      <c r="AY47" s="277">
        <v>3.99</v>
      </c>
      <c r="AZ47" s="278">
        <v>3</v>
      </c>
      <c r="BA47" s="278">
        <v>3.99</v>
      </c>
      <c r="BB47" s="288"/>
      <c r="BC47" s="288"/>
      <c r="BD47" s="292">
        <v>42602</v>
      </c>
    </row>
    <row r="48" spans="1:56" x14ac:dyDescent="0.25">
      <c r="AL48" s="273" t="s">
        <v>518</v>
      </c>
      <c r="AM48" s="267">
        <v>19</v>
      </c>
      <c r="AN48" s="274">
        <v>1021</v>
      </c>
      <c r="AO48" s="299"/>
      <c r="AP48" s="288"/>
      <c r="AQ48" s="288"/>
      <c r="AR48" s="278">
        <v>4</v>
      </c>
      <c r="AS48" s="278">
        <v>4.99</v>
      </c>
      <c r="AT48" s="281">
        <v>4</v>
      </c>
      <c r="AU48" s="281">
        <v>4.99</v>
      </c>
      <c r="AV48" s="288"/>
      <c r="AW48" s="277">
        <v>4.99</v>
      </c>
      <c r="AX48" s="277">
        <v>3</v>
      </c>
      <c r="AY48" s="277">
        <v>4.99</v>
      </c>
      <c r="AZ48" s="278">
        <v>2</v>
      </c>
      <c r="BA48" s="278">
        <v>2.99</v>
      </c>
      <c r="BB48" s="288"/>
      <c r="BC48" s="277">
        <v>2.99</v>
      </c>
      <c r="BD48" s="292">
        <v>42429</v>
      </c>
    </row>
    <row r="49" spans="38:56" x14ac:dyDescent="0.25">
      <c r="AL49" s="273" t="s">
        <v>519</v>
      </c>
      <c r="AM49" s="267">
        <v>18</v>
      </c>
      <c r="AN49" s="274">
        <v>1127</v>
      </c>
      <c r="AO49" s="299"/>
      <c r="AP49" s="288"/>
      <c r="AQ49" s="288"/>
      <c r="AR49" s="278">
        <v>4</v>
      </c>
      <c r="AS49" s="278">
        <v>4.99</v>
      </c>
      <c r="AT49" s="278">
        <v>4</v>
      </c>
      <c r="AU49" s="278">
        <v>4.99</v>
      </c>
      <c r="AV49" s="288"/>
      <c r="AW49" s="277">
        <v>3.99</v>
      </c>
      <c r="AX49" s="277">
        <v>4</v>
      </c>
      <c r="AY49" s="286">
        <v>5.99</v>
      </c>
      <c r="AZ49" s="278">
        <v>4</v>
      </c>
      <c r="BA49" s="278">
        <v>4.99</v>
      </c>
      <c r="BB49" s="288"/>
      <c r="BC49" s="289">
        <v>6.99</v>
      </c>
      <c r="BD49" s="292">
        <v>42405</v>
      </c>
    </row>
    <row r="50" spans="38:56" x14ac:dyDescent="0.25">
      <c r="AL50" s="273" t="s">
        <v>520</v>
      </c>
      <c r="AM50" s="267">
        <v>17</v>
      </c>
      <c r="AN50" s="274">
        <v>1013</v>
      </c>
      <c r="AO50" s="299"/>
      <c r="AP50" s="288"/>
      <c r="AQ50" s="277">
        <v>1.99</v>
      </c>
      <c r="AR50" s="278">
        <v>6</v>
      </c>
      <c r="AS50" s="279">
        <v>6.99</v>
      </c>
      <c r="AT50" s="281">
        <v>4</v>
      </c>
      <c r="AU50" s="281">
        <v>4.99</v>
      </c>
      <c r="AV50" s="278">
        <v>3</v>
      </c>
      <c r="AW50" s="278">
        <v>3.99</v>
      </c>
      <c r="AX50" s="288"/>
      <c r="AY50" s="288"/>
      <c r="AZ50" s="278">
        <v>4</v>
      </c>
      <c r="BA50" s="278">
        <v>4.99</v>
      </c>
      <c r="BB50" s="288"/>
      <c r="BC50" s="277">
        <v>3.99</v>
      </c>
      <c r="BD50" s="292">
        <v>42631</v>
      </c>
    </row>
    <row r="51" spans="38:56" x14ac:dyDescent="0.25">
      <c r="AL51" s="273" t="s">
        <v>521</v>
      </c>
      <c r="AM51" s="267">
        <v>18</v>
      </c>
      <c r="AN51" s="274">
        <v>1024</v>
      </c>
      <c r="AO51" s="299" t="s">
        <v>415</v>
      </c>
      <c r="AP51" s="288"/>
      <c r="AQ51" s="288">
        <v>1.99</v>
      </c>
      <c r="AR51" s="278">
        <v>4</v>
      </c>
      <c r="AS51" s="278">
        <v>4.99</v>
      </c>
      <c r="AT51" s="281">
        <v>3</v>
      </c>
      <c r="AU51" s="281">
        <v>3.99</v>
      </c>
      <c r="AV51" s="288"/>
      <c r="AW51" s="289">
        <v>6.99</v>
      </c>
      <c r="AX51" s="288"/>
      <c r="AY51" s="288">
        <v>5.99</v>
      </c>
      <c r="AZ51" s="288"/>
      <c r="BA51" s="277">
        <v>2.99</v>
      </c>
      <c r="BB51" s="288"/>
      <c r="BC51" s="288"/>
      <c r="BD51" s="292">
        <v>42610</v>
      </c>
    </row>
    <row r="52" spans="38:56" x14ac:dyDescent="0.25">
      <c r="AL52" s="273" t="s">
        <v>522</v>
      </c>
      <c r="AM52" s="267">
        <v>18</v>
      </c>
      <c r="AN52" s="274">
        <v>1049</v>
      </c>
      <c r="AO52" s="299"/>
      <c r="AP52" s="288"/>
      <c r="AQ52" s="277">
        <v>0.99</v>
      </c>
      <c r="AR52" s="278">
        <v>1</v>
      </c>
      <c r="AS52" s="278">
        <v>1.99</v>
      </c>
      <c r="AT52" s="281">
        <v>6</v>
      </c>
      <c r="AU52" s="282">
        <v>6.99</v>
      </c>
      <c r="AV52" s="281">
        <v>4</v>
      </c>
      <c r="AW52" s="281">
        <v>4.99</v>
      </c>
      <c r="AX52" s="288"/>
      <c r="AY52" s="277">
        <v>4.99</v>
      </c>
      <c r="AZ52" s="278">
        <v>4</v>
      </c>
      <c r="BA52" s="278">
        <v>4.99</v>
      </c>
      <c r="BB52" s="288"/>
      <c r="BC52" s="277">
        <v>1.99</v>
      </c>
      <c r="BD52" s="292">
        <v>42597</v>
      </c>
    </row>
    <row r="53" spans="38:56" x14ac:dyDescent="0.25">
      <c r="AL53" s="273" t="s">
        <v>523</v>
      </c>
      <c r="AM53" s="267">
        <v>17</v>
      </c>
      <c r="AN53" s="274">
        <v>1042</v>
      </c>
      <c r="AO53" s="299"/>
      <c r="AP53" s="288"/>
      <c r="AQ53" s="277">
        <v>1.99</v>
      </c>
      <c r="AR53" s="277">
        <v>2</v>
      </c>
      <c r="AS53" s="277">
        <v>3.99</v>
      </c>
      <c r="AT53" s="278">
        <v>5</v>
      </c>
      <c r="AU53" s="279">
        <v>5.99</v>
      </c>
      <c r="AV53" s="288"/>
      <c r="AW53" s="277">
        <v>2.99</v>
      </c>
      <c r="AX53" s="288"/>
      <c r="AY53" s="277">
        <v>3.99</v>
      </c>
      <c r="AZ53" s="281">
        <v>5</v>
      </c>
      <c r="BA53" s="284">
        <v>5.99</v>
      </c>
      <c r="BB53" s="288"/>
      <c r="BC53" s="288"/>
      <c r="BD53" s="292">
        <v>42667</v>
      </c>
    </row>
    <row r="54" spans="38:56" x14ac:dyDescent="0.25">
      <c r="AL54" s="273" t="s">
        <v>524</v>
      </c>
      <c r="AM54" s="267">
        <v>18</v>
      </c>
      <c r="AN54" s="274">
        <v>1049</v>
      </c>
      <c r="AO54" s="299"/>
      <c r="AP54" s="277">
        <v>4</v>
      </c>
      <c r="AQ54" s="289">
        <v>6.99</v>
      </c>
      <c r="AR54" s="278">
        <v>4</v>
      </c>
      <c r="AS54" s="278">
        <v>4.99</v>
      </c>
      <c r="AT54" s="288"/>
      <c r="AU54" s="277">
        <v>0.99</v>
      </c>
      <c r="AV54" s="288"/>
      <c r="AW54" s="277">
        <v>1.99</v>
      </c>
      <c r="AX54" s="281">
        <v>1</v>
      </c>
      <c r="AY54" s="281">
        <v>1.99</v>
      </c>
      <c r="AZ54" s="278">
        <v>1</v>
      </c>
      <c r="BA54" s="278">
        <v>1.99</v>
      </c>
      <c r="BB54" s="278">
        <v>2</v>
      </c>
      <c r="BC54" s="278">
        <v>2.99</v>
      </c>
      <c r="BD54" s="292">
        <v>42483</v>
      </c>
    </row>
    <row r="55" spans="38:56" x14ac:dyDescent="0.25">
      <c r="AL55" s="273" t="s">
        <v>525</v>
      </c>
      <c r="AM55" s="267">
        <v>17</v>
      </c>
      <c r="AN55" s="274">
        <v>911</v>
      </c>
      <c r="AO55" s="299"/>
      <c r="AP55" s="288"/>
      <c r="AQ55" s="277">
        <v>1.99</v>
      </c>
      <c r="AR55" s="281">
        <v>4</v>
      </c>
      <c r="AS55" s="281">
        <v>4.99</v>
      </c>
      <c r="AT55" s="281">
        <v>6</v>
      </c>
      <c r="AU55" s="282">
        <v>6.99</v>
      </c>
      <c r="AV55" s="278">
        <v>5</v>
      </c>
      <c r="AW55" s="279">
        <v>5.99</v>
      </c>
      <c r="AX55" s="281">
        <v>4</v>
      </c>
      <c r="AY55" s="281">
        <v>4.99</v>
      </c>
      <c r="AZ55" s="278">
        <v>3</v>
      </c>
      <c r="BA55" s="278">
        <v>3.99</v>
      </c>
      <c r="BB55" s="288"/>
      <c r="BC55" s="288"/>
      <c r="BD55" s="292">
        <v>42733</v>
      </c>
    </row>
    <row r="56" spans="38:56" x14ac:dyDescent="0.25">
      <c r="AL56" s="273" t="s">
        <v>526</v>
      </c>
      <c r="AM56" s="267">
        <v>17</v>
      </c>
      <c r="AN56" s="274">
        <v>914</v>
      </c>
      <c r="AO56" s="299" t="s">
        <v>471</v>
      </c>
      <c r="AP56" s="288"/>
      <c r="AQ56" s="277">
        <v>1.99</v>
      </c>
      <c r="AR56" s="288"/>
      <c r="AS56" s="288">
        <v>4.99</v>
      </c>
      <c r="AT56" s="281">
        <v>5</v>
      </c>
      <c r="AU56" s="284">
        <v>5.99</v>
      </c>
      <c r="AV56" s="281">
        <v>2</v>
      </c>
      <c r="AW56" s="281">
        <v>2.99</v>
      </c>
      <c r="AX56" s="288"/>
      <c r="AY56" s="288"/>
      <c r="AZ56" s="278">
        <v>2</v>
      </c>
      <c r="BA56" s="278">
        <v>2.99</v>
      </c>
      <c r="BB56" s="288"/>
      <c r="BC56" s="288"/>
      <c r="BD56" s="292">
        <v>42737</v>
      </c>
    </row>
    <row r="57" spans="38:56" x14ac:dyDescent="0.25">
      <c r="AL57" s="273" t="s">
        <v>527</v>
      </c>
      <c r="AM57" s="267">
        <v>17</v>
      </c>
      <c r="AN57" s="274">
        <v>954</v>
      </c>
      <c r="AO57" s="299"/>
      <c r="AP57" s="288"/>
      <c r="AQ57" s="288"/>
      <c r="AR57" s="281">
        <v>5</v>
      </c>
      <c r="AS57" s="284">
        <v>5.99</v>
      </c>
      <c r="AT57" s="278">
        <v>2</v>
      </c>
      <c r="AU57" s="278">
        <v>2.99</v>
      </c>
      <c r="AV57" s="278">
        <v>3</v>
      </c>
      <c r="AW57" s="278">
        <v>3.99</v>
      </c>
      <c r="AX57" s="277">
        <v>2</v>
      </c>
      <c r="AY57" s="277">
        <v>3.99</v>
      </c>
      <c r="AZ57" s="278">
        <v>2</v>
      </c>
      <c r="BA57" s="278">
        <v>2.99</v>
      </c>
      <c r="BB57" s="288"/>
      <c r="BC57" s="288"/>
      <c r="BD57" s="292">
        <v>42690</v>
      </c>
    </row>
    <row r="58" spans="38:56" x14ac:dyDescent="0.25">
      <c r="AL58" s="273" t="s">
        <v>528</v>
      </c>
      <c r="AM58" s="267">
        <v>19</v>
      </c>
      <c r="AN58" s="274">
        <v>909</v>
      </c>
      <c r="AO58" s="299" t="s">
        <v>486</v>
      </c>
      <c r="AP58" s="288"/>
      <c r="AQ58" s="277">
        <v>1.99</v>
      </c>
      <c r="AR58" s="278">
        <v>2</v>
      </c>
      <c r="AS58" s="278">
        <v>2.99</v>
      </c>
      <c r="AT58" s="278">
        <v>5</v>
      </c>
      <c r="AU58" s="279">
        <v>5.99</v>
      </c>
      <c r="AV58" s="288"/>
      <c r="AW58" s="277">
        <v>2.99</v>
      </c>
      <c r="AX58" s="277">
        <v>4</v>
      </c>
      <c r="AY58" s="289">
        <v>7</v>
      </c>
      <c r="AZ58" s="278">
        <v>1</v>
      </c>
      <c r="BA58" s="278">
        <v>1.99</v>
      </c>
      <c r="BB58" s="288"/>
      <c r="BC58" s="288"/>
      <c r="BD58" s="292">
        <v>42654</v>
      </c>
    </row>
    <row r="59" spans="38:56" x14ac:dyDescent="0.25">
      <c r="AL59" s="273" t="s">
        <v>529</v>
      </c>
      <c r="AM59" s="267">
        <v>16</v>
      </c>
      <c r="AN59" s="274">
        <v>992</v>
      </c>
      <c r="AO59" s="299"/>
      <c r="AP59" s="288"/>
      <c r="AQ59" s="277">
        <v>1.99</v>
      </c>
      <c r="AR59" s="281">
        <v>2</v>
      </c>
      <c r="AS59" s="281">
        <v>2.99</v>
      </c>
      <c r="AT59" s="281">
        <v>4</v>
      </c>
      <c r="AU59" s="281">
        <v>4.99</v>
      </c>
      <c r="AV59" s="278">
        <v>4</v>
      </c>
      <c r="AW59" s="278">
        <v>4.99</v>
      </c>
      <c r="AX59" s="281">
        <v>5</v>
      </c>
      <c r="AY59" s="284">
        <v>5.99</v>
      </c>
      <c r="AZ59" s="278">
        <v>3</v>
      </c>
      <c r="BA59" s="278">
        <v>3.99</v>
      </c>
      <c r="BB59" s="288"/>
      <c r="BC59" s="288"/>
      <c r="BD59" s="292">
        <v>42764</v>
      </c>
    </row>
    <row r="60" spans="38:56" x14ac:dyDescent="0.25">
      <c r="AL60" s="273" t="s">
        <v>530</v>
      </c>
      <c r="AM60" s="267">
        <v>16</v>
      </c>
      <c r="AN60" s="274">
        <v>980</v>
      </c>
      <c r="AO60" s="299"/>
      <c r="AP60" s="288"/>
      <c r="AQ60" s="277">
        <v>1.99</v>
      </c>
      <c r="AR60" s="278">
        <v>3</v>
      </c>
      <c r="AS60" s="278">
        <v>3.99</v>
      </c>
      <c r="AT60" s="281">
        <v>6</v>
      </c>
      <c r="AU60" s="282">
        <v>6.99</v>
      </c>
      <c r="AV60" s="278">
        <v>2</v>
      </c>
      <c r="AW60" s="278">
        <v>2.99</v>
      </c>
      <c r="AX60" s="288"/>
      <c r="AY60" s="277">
        <v>2.99</v>
      </c>
      <c r="AZ60" s="278">
        <v>4</v>
      </c>
      <c r="BA60" s="278">
        <v>4.99</v>
      </c>
      <c r="BB60" s="288"/>
      <c r="BC60" s="277">
        <v>3.99</v>
      </c>
      <c r="BD60" s="292">
        <v>42776</v>
      </c>
    </row>
    <row r="61" spans="38:56" x14ac:dyDescent="0.25">
      <c r="AL61" s="273" t="s">
        <v>531</v>
      </c>
      <c r="AM61" s="267">
        <v>17</v>
      </c>
      <c r="AN61" s="274">
        <v>936</v>
      </c>
      <c r="AO61" s="299"/>
      <c r="AP61" s="288"/>
      <c r="AQ61" s="277">
        <v>1.99</v>
      </c>
      <c r="AR61" s="281">
        <v>5</v>
      </c>
      <c r="AS61" s="284">
        <v>5.99</v>
      </c>
      <c r="AT61" s="281">
        <v>3</v>
      </c>
      <c r="AU61" s="281">
        <v>3.99</v>
      </c>
      <c r="AV61" s="288"/>
      <c r="AW61" s="277">
        <v>2.99</v>
      </c>
      <c r="AX61" s="281">
        <v>4</v>
      </c>
      <c r="AY61" s="281">
        <v>4.99</v>
      </c>
      <c r="AZ61" s="288"/>
      <c r="BA61" s="286">
        <v>5.99</v>
      </c>
      <c r="BB61" s="288"/>
      <c r="BC61" s="277">
        <v>2.99</v>
      </c>
      <c r="BD61" s="292">
        <v>42754</v>
      </c>
    </row>
    <row r="62" spans="38:56" x14ac:dyDescent="0.25">
      <c r="AL62" s="273" t="s">
        <v>532</v>
      </c>
      <c r="AM62" s="267">
        <v>17</v>
      </c>
      <c r="AN62" s="274">
        <v>840</v>
      </c>
      <c r="AO62" s="299"/>
      <c r="AP62" s="288"/>
      <c r="AQ62" s="277">
        <v>1.99</v>
      </c>
      <c r="AR62" s="277">
        <v>6</v>
      </c>
      <c r="AS62" s="289">
        <v>7</v>
      </c>
      <c r="AT62" s="288"/>
      <c r="AU62" s="277">
        <v>2.99</v>
      </c>
      <c r="AV62" s="281">
        <v>5</v>
      </c>
      <c r="AW62" s="284">
        <v>5.99</v>
      </c>
      <c r="AX62" s="281">
        <v>3</v>
      </c>
      <c r="AY62" s="281">
        <v>3.99</v>
      </c>
      <c r="AZ62" s="278">
        <v>3</v>
      </c>
      <c r="BA62" s="278">
        <v>3.99</v>
      </c>
      <c r="BB62" s="288"/>
      <c r="BC62" s="277">
        <v>3.99</v>
      </c>
      <c r="BD62" s="292">
        <v>42804</v>
      </c>
    </row>
    <row r="63" spans="38:56" x14ac:dyDescent="0.25">
      <c r="AL63" s="273" t="s">
        <v>533</v>
      </c>
      <c r="AM63" s="267">
        <v>16</v>
      </c>
      <c r="AN63" s="274">
        <v>944</v>
      </c>
      <c r="AO63" s="299"/>
      <c r="AP63" s="288"/>
      <c r="AQ63" s="288">
        <v>1.99</v>
      </c>
      <c r="AR63" s="278">
        <v>2</v>
      </c>
      <c r="AS63" s="278">
        <v>2.99</v>
      </c>
      <c r="AT63" s="281">
        <v>5</v>
      </c>
      <c r="AU63" s="284">
        <v>5.99</v>
      </c>
      <c r="AV63" s="278">
        <v>4</v>
      </c>
      <c r="AW63" s="278">
        <v>4.99</v>
      </c>
      <c r="AX63" s="278">
        <v>3</v>
      </c>
      <c r="AY63" s="278">
        <v>3.99</v>
      </c>
      <c r="AZ63" s="278">
        <v>3</v>
      </c>
      <c r="BA63" s="278">
        <v>3.99</v>
      </c>
      <c r="BB63" s="288"/>
      <c r="BC63" s="288">
        <v>4.99</v>
      </c>
      <c r="BD63" s="292">
        <v>42812</v>
      </c>
    </row>
    <row r="64" spans="38:56" x14ac:dyDescent="0.25">
      <c r="AL64" s="273" t="s">
        <v>534</v>
      </c>
      <c r="AM64" s="267">
        <v>17</v>
      </c>
      <c r="AN64" s="274">
        <v>887</v>
      </c>
      <c r="AO64" s="299"/>
      <c r="AP64" s="288"/>
      <c r="AQ64" s="288"/>
      <c r="AR64" s="278">
        <v>4</v>
      </c>
      <c r="AS64" s="278">
        <v>4.99</v>
      </c>
      <c r="AT64" s="281">
        <v>4</v>
      </c>
      <c r="AU64" s="281">
        <v>4.99</v>
      </c>
      <c r="AV64" s="288"/>
      <c r="AW64" s="277">
        <v>4.99</v>
      </c>
      <c r="AX64" s="277">
        <v>5</v>
      </c>
      <c r="AY64" s="289">
        <v>6.99</v>
      </c>
      <c r="AZ64" s="278">
        <v>3</v>
      </c>
      <c r="BA64" s="278">
        <v>3.99</v>
      </c>
      <c r="BB64" s="288"/>
      <c r="BC64" s="288"/>
      <c r="BD64" s="292">
        <v>42779</v>
      </c>
    </row>
    <row r="65" spans="38:59" x14ac:dyDescent="0.25">
      <c r="AL65" s="273" t="s">
        <v>535</v>
      </c>
      <c r="AM65" s="267">
        <v>17</v>
      </c>
      <c r="AN65" s="274">
        <v>804</v>
      </c>
      <c r="AO65" s="299" t="s">
        <v>471</v>
      </c>
      <c r="AP65" s="288"/>
      <c r="AQ65" s="288"/>
      <c r="AR65" s="278">
        <v>2</v>
      </c>
      <c r="AS65" s="278">
        <v>2.99</v>
      </c>
      <c r="AT65" s="281">
        <v>4</v>
      </c>
      <c r="AU65" s="281">
        <v>4.99</v>
      </c>
      <c r="AV65" s="278">
        <v>3</v>
      </c>
      <c r="AW65" s="278">
        <v>3.99</v>
      </c>
      <c r="AX65" s="281">
        <v>6</v>
      </c>
      <c r="AY65" s="282">
        <v>6.99</v>
      </c>
      <c r="AZ65" s="278">
        <v>3</v>
      </c>
      <c r="BA65" s="278">
        <v>3.99</v>
      </c>
      <c r="BB65" s="288"/>
      <c r="BC65" s="277">
        <v>2.99</v>
      </c>
      <c r="BD65" s="292">
        <v>42840</v>
      </c>
    </row>
    <row r="66" spans="38:59" x14ac:dyDescent="0.25">
      <c r="AL66" s="273" t="s">
        <v>536</v>
      </c>
      <c r="AM66" s="267">
        <v>17</v>
      </c>
      <c r="AN66" s="274">
        <v>886</v>
      </c>
      <c r="AO66" s="299"/>
      <c r="AP66" s="288"/>
      <c r="AQ66" s="288"/>
      <c r="AR66" s="281">
        <v>4</v>
      </c>
      <c r="AS66" s="281">
        <v>4.99</v>
      </c>
      <c r="AT66" s="281">
        <v>4</v>
      </c>
      <c r="AU66" s="281">
        <v>4.99</v>
      </c>
      <c r="AV66" s="277">
        <v>5</v>
      </c>
      <c r="AW66" s="289">
        <v>6.99</v>
      </c>
      <c r="AX66" s="288"/>
      <c r="AY66" s="277">
        <v>3.99</v>
      </c>
      <c r="AZ66" s="278">
        <v>3</v>
      </c>
      <c r="BA66" s="278">
        <v>3.99</v>
      </c>
      <c r="BB66" s="288"/>
      <c r="BC66" s="288"/>
      <c r="BD66" s="292">
        <v>42828</v>
      </c>
    </row>
    <row r="67" spans="38:59" x14ac:dyDescent="0.25">
      <c r="AL67" s="273" t="s">
        <v>537</v>
      </c>
      <c r="AM67" s="267">
        <v>17</v>
      </c>
      <c r="AN67" s="274">
        <v>785</v>
      </c>
      <c r="AO67" s="299"/>
      <c r="AP67" s="288"/>
      <c r="AQ67" s="288"/>
      <c r="AR67" s="281">
        <v>4</v>
      </c>
      <c r="AS67" s="281">
        <v>4.99</v>
      </c>
      <c r="AT67" s="281">
        <v>5</v>
      </c>
      <c r="AU67" s="284">
        <v>5.99</v>
      </c>
      <c r="AV67" s="288"/>
      <c r="AW67" s="288"/>
      <c r="AX67" s="288"/>
      <c r="AY67" s="288"/>
      <c r="AZ67" s="288"/>
      <c r="BA67" s="277">
        <v>4.99</v>
      </c>
      <c r="BB67" s="288"/>
      <c r="BC67" s="288"/>
      <c r="BD67" s="292">
        <v>42863</v>
      </c>
    </row>
    <row r="68" spans="38:59" x14ac:dyDescent="0.25">
      <c r="AL68" s="273" t="s">
        <v>538</v>
      </c>
      <c r="AM68" s="267">
        <v>16</v>
      </c>
      <c r="AN68" s="274">
        <v>883</v>
      </c>
      <c r="AO68" s="299" t="s">
        <v>471</v>
      </c>
      <c r="AP68" s="288"/>
      <c r="AQ68" s="288"/>
      <c r="AR68" s="281">
        <v>4</v>
      </c>
      <c r="AS68" s="281">
        <v>4.99</v>
      </c>
      <c r="AT68" s="281">
        <v>3</v>
      </c>
      <c r="AU68" s="281">
        <v>3.99</v>
      </c>
      <c r="AV68" s="288"/>
      <c r="AW68" s="277">
        <v>2.99</v>
      </c>
      <c r="AX68" s="281">
        <v>5</v>
      </c>
      <c r="AY68" s="284">
        <v>5.99</v>
      </c>
      <c r="AZ68" s="281">
        <v>5</v>
      </c>
      <c r="BA68" s="284">
        <v>5.99</v>
      </c>
      <c r="BB68" s="288"/>
      <c r="BC68" s="288"/>
      <c r="BD68" s="292">
        <v>42873</v>
      </c>
    </row>
    <row r="69" spans="38:59" x14ac:dyDescent="0.25">
      <c r="AL69" s="273" t="s">
        <v>539</v>
      </c>
      <c r="AM69" s="267">
        <v>17</v>
      </c>
      <c r="AN69" s="274">
        <v>787</v>
      </c>
      <c r="AO69" s="299" t="s">
        <v>540</v>
      </c>
      <c r="AP69" s="288"/>
      <c r="AQ69" s="277">
        <v>1.99</v>
      </c>
      <c r="AR69" s="281">
        <v>4</v>
      </c>
      <c r="AS69" s="281">
        <v>4.99</v>
      </c>
      <c r="AT69" s="277">
        <v>6</v>
      </c>
      <c r="AU69" s="289">
        <v>7</v>
      </c>
      <c r="AV69" s="288"/>
      <c r="AW69" s="277">
        <v>3.99</v>
      </c>
      <c r="AX69" s="281">
        <v>3</v>
      </c>
      <c r="AY69" s="281">
        <v>3.99</v>
      </c>
      <c r="AZ69" s="278">
        <v>2</v>
      </c>
      <c r="BA69" s="278">
        <v>2.99</v>
      </c>
      <c r="BB69" s="288"/>
      <c r="BC69" s="288"/>
      <c r="BD69" s="292">
        <v>42886</v>
      </c>
    </row>
    <row r="70" spans="38:59" x14ac:dyDescent="0.25">
      <c r="AL70" s="273" t="s">
        <v>541</v>
      </c>
      <c r="AM70" s="267">
        <v>17</v>
      </c>
      <c r="AN70" s="274">
        <v>812</v>
      </c>
      <c r="AO70" s="299" t="s">
        <v>415</v>
      </c>
      <c r="AP70" s="288"/>
      <c r="AQ70" s="288"/>
      <c r="AR70" s="288"/>
      <c r="AS70" s="277">
        <v>4.99</v>
      </c>
      <c r="AT70" s="281">
        <v>5</v>
      </c>
      <c r="AU70" s="284">
        <v>5.99</v>
      </c>
      <c r="AV70" s="288"/>
      <c r="AW70" s="277">
        <v>2.99</v>
      </c>
      <c r="AX70" s="288"/>
      <c r="AY70" s="288">
        <v>2.99</v>
      </c>
      <c r="AZ70" s="277">
        <v>4</v>
      </c>
      <c r="BA70" s="286">
        <v>5.99</v>
      </c>
      <c r="BB70" s="288"/>
      <c r="BC70" s="288"/>
      <c r="BD70" s="292">
        <v>42912</v>
      </c>
    </row>
    <row r="71" spans="38:59" x14ac:dyDescent="0.25">
      <c r="AL71" s="273" t="s">
        <v>542</v>
      </c>
      <c r="AM71" s="267">
        <v>17</v>
      </c>
      <c r="AN71" s="274">
        <v>-1523</v>
      </c>
      <c r="AO71" s="299" t="s">
        <v>478</v>
      </c>
      <c r="AP71" s="288"/>
      <c r="AQ71" s="277">
        <v>1.99</v>
      </c>
      <c r="AR71" s="278">
        <v>4</v>
      </c>
      <c r="AS71" s="278">
        <v>4.99</v>
      </c>
      <c r="AT71" s="288"/>
      <c r="AU71" s="288"/>
      <c r="AV71" s="288"/>
      <c r="AW71" s="277">
        <v>1.99</v>
      </c>
      <c r="AX71" s="281">
        <v>6</v>
      </c>
      <c r="AY71" s="282">
        <v>6.99</v>
      </c>
      <c r="AZ71" s="278">
        <v>3</v>
      </c>
      <c r="BA71" s="278">
        <v>3.99</v>
      </c>
      <c r="BB71" s="288"/>
      <c r="BC71" s="277">
        <v>2.99</v>
      </c>
      <c r="BD71" s="292">
        <v>45167</v>
      </c>
    </row>
    <row r="72" spans="38:59" x14ac:dyDescent="0.25">
      <c r="AL72" s="273" t="s">
        <v>543</v>
      </c>
      <c r="AM72" s="267">
        <v>18</v>
      </c>
      <c r="AN72" s="274">
        <v>793</v>
      </c>
      <c r="AO72" s="299"/>
      <c r="AP72" s="288"/>
      <c r="AQ72" s="286">
        <v>5.99</v>
      </c>
      <c r="AR72" s="281">
        <v>4</v>
      </c>
      <c r="AS72" s="281">
        <v>4.99</v>
      </c>
      <c r="AT72" s="278">
        <v>1</v>
      </c>
      <c r="AU72" s="278">
        <v>1.99</v>
      </c>
      <c r="AV72" s="278">
        <v>0</v>
      </c>
      <c r="AW72" s="278">
        <v>0.99</v>
      </c>
      <c r="AX72" s="278">
        <v>0</v>
      </c>
      <c r="AY72" s="278">
        <v>0.99</v>
      </c>
      <c r="AZ72" s="278">
        <v>0</v>
      </c>
      <c r="BA72" s="278">
        <v>0.99</v>
      </c>
      <c r="BB72" s="288"/>
      <c r="BC72" s="288"/>
      <c r="BD72" s="292">
        <v>42739</v>
      </c>
    </row>
    <row r="73" spans="38:59" x14ac:dyDescent="0.25">
      <c r="AL73" s="273" t="s">
        <v>544</v>
      </c>
      <c r="AM73" s="267">
        <v>18</v>
      </c>
      <c r="AN73" s="274">
        <v>770</v>
      </c>
      <c r="AO73" s="299" t="s">
        <v>478</v>
      </c>
      <c r="AP73" s="288"/>
      <c r="AQ73" s="288"/>
      <c r="AR73" s="278">
        <v>3</v>
      </c>
      <c r="AS73" s="278">
        <v>3.99</v>
      </c>
      <c r="AT73" s="281">
        <v>5</v>
      </c>
      <c r="AU73" s="284">
        <v>5.99</v>
      </c>
      <c r="AV73" s="288"/>
      <c r="AW73" s="289">
        <v>6.99</v>
      </c>
      <c r="AX73" s="277">
        <v>2</v>
      </c>
      <c r="AY73" s="288"/>
      <c r="AZ73" s="278">
        <v>3</v>
      </c>
      <c r="BA73" s="278">
        <v>3.99</v>
      </c>
      <c r="BB73" s="288"/>
      <c r="BC73" s="288"/>
      <c r="BD73" s="292">
        <v>42835</v>
      </c>
    </row>
    <row r="74" spans="38:59" x14ac:dyDescent="0.25">
      <c r="AL74" s="273" t="s">
        <v>545</v>
      </c>
      <c r="AM74" s="267">
        <v>16</v>
      </c>
      <c r="AN74" s="274">
        <v>778</v>
      </c>
      <c r="AO74" s="299"/>
      <c r="AP74" s="288"/>
      <c r="AQ74" s="288"/>
      <c r="AR74" s="288"/>
      <c r="AS74" s="277">
        <v>2.99</v>
      </c>
      <c r="AT74" s="281">
        <v>3</v>
      </c>
      <c r="AU74" s="288">
        <v>3.99</v>
      </c>
      <c r="AV74" s="288"/>
      <c r="AW74" s="277">
        <v>3.99</v>
      </c>
      <c r="AX74" s="281">
        <v>6</v>
      </c>
      <c r="AY74" s="282">
        <v>6.99</v>
      </c>
      <c r="AZ74" s="278">
        <v>4</v>
      </c>
      <c r="BA74" s="278">
        <v>4.99</v>
      </c>
      <c r="BB74" s="288"/>
      <c r="BC74" s="288"/>
      <c r="BD74" s="292">
        <v>42978</v>
      </c>
    </row>
    <row r="75" spans="38:59" x14ac:dyDescent="0.25">
      <c r="AL75" s="273" t="s">
        <v>546</v>
      </c>
      <c r="AM75" s="267">
        <v>16</v>
      </c>
      <c r="AN75" s="274">
        <v>745</v>
      </c>
      <c r="AO75" s="299" t="s">
        <v>478</v>
      </c>
      <c r="AP75" s="288"/>
      <c r="AQ75" s="277">
        <v>1.99</v>
      </c>
      <c r="AR75" s="288"/>
      <c r="AS75" s="277">
        <v>2.99</v>
      </c>
      <c r="AT75" s="278">
        <v>3</v>
      </c>
      <c r="AU75" s="278">
        <v>3.99</v>
      </c>
      <c r="AV75" s="281">
        <v>3</v>
      </c>
      <c r="AW75" s="294">
        <v>3.99</v>
      </c>
      <c r="AX75" s="281">
        <v>5</v>
      </c>
      <c r="AY75" s="284">
        <v>5.99</v>
      </c>
      <c r="AZ75" s="281">
        <v>6</v>
      </c>
      <c r="BA75" s="282">
        <v>6.99</v>
      </c>
      <c r="BB75" s="288"/>
      <c r="BC75" s="288"/>
      <c r="BD75" s="292">
        <v>43011</v>
      </c>
    </row>
    <row r="76" spans="38:59" x14ac:dyDescent="0.25">
      <c r="AL76" s="273" t="s">
        <v>547</v>
      </c>
      <c r="AM76" s="267">
        <v>16</v>
      </c>
      <c r="AN76" s="274">
        <v>725</v>
      </c>
      <c r="AO76" s="299"/>
      <c r="AP76" s="288"/>
      <c r="AQ76" s="288"/>
      <c r="AR76" s="288"/>
      <c r="AS76" s="277">
        <v>3.99</v>
      </c>
      <c r="AT76" s="281">
        <v>3</v>
      </c>
      <c r="AU76" s="281">
        <v>3.99</v>
      </c>
      <c r="AV76" s="281">
        <v>6</v>
      </c>
      <c r="AW76" s="282">
        <v>6.99</v>
      </c>
      <c r="AX76" s="278">
        <v>1</v>
      </c>
      <c r="AY76" s="278">
        <v>1.99</v>
      </c>
      <c r="AZ76" s="277">
        <v>4</v>
      </c>
      <c r="BA76" s="286">
        <v>5.99</v>
      </c>
      <c r="BB76" s="288"/>
      <c r="BC76" s="277">
        <v>2.99</v>
      </c>
      <c r="BD76" s="292">
        <v>43031</v>
      </c>
    </row>
    <row r="77" spans="38:59" x14ac:dyDescent="0.25">
      <c r="AL77" s="273" t="s">
        <v>548</v>
      </c>
      <c r="AM77" s="267">
        <v>18</v>
      </c>
      <c r="AN77" s="274">
        <v>706</v>
      </c>
      <c r="AO77" s="299"/>
      <c r="AP77" s="288"/>
      <c r="AQ77" s="277">
        <v>1.99</v>
      </c>
      <c r="AR77" s="277">
        <v>3</v>
      </c>
      <c r="AS77" s="277">
        <v>4.99</v>
      </c>
      <c r="AT77" s="278">
        <v>3</v>
      </c>
      <c r="AU77" s="278">
        <v>3.99</v>
      </c>
      <c r="AV77" s="277">
        <v>5</v>
      </c>
      <c r="AW77" s="289">
        <v>6.99</v>
      </c>
      <c r="AX77" s="278">
        <v>2</v>
      </c>
      <c r="AY77" s="278">
        <v>2.99</v>
      </c>
      <c r="AZ77" s="288"/>
      <c r="BA77" s="277">
        <v>2.99</v>
      </c>
      <c r="BB77" s="288"/>
      <c r="BC77" s="288">
        <v>3.99</v>
      </c>
      <c r="BD77" s="292">
        <v>42928</v>
      </c>
    </row>
    <row r="78" spans="38:59" x14ac:dyDescent="0.25">
      <c r="AL78" s="273" t="s">
        <v>549</v>
      </c>
      <c r="AM78" s="267">
        <v>17</v>
      </c>
      <c r="AN78" s="274">
        <v>585</v>
      </c>
      <c r="AO78" s="299"/>
      <c r="AP78" s="288"/>
      <c r="AQ78" s="277">
        <v>1.99</v>
      </c>
      <c r="AR78" s="288"/>
      <c r="AS78" s="277">
        <v>3.99</v>
      </c>
      <c r="AT78" s="277">
        <v>6</v>
      </c>
      <c r="AU78" s="289">
        <v>7</v>
      </c>
      <c r="AV78" s="281">
        <v>6</v>
      </c>
      <c r="AW78" s="282">
        <v>6.99</v>
      </c>
      <c r="AX78" s="281">
        <v>2</v>
      </c>
      <c r="AY78" s="281">
        <v>2.99</v>
      </c>
      <c r="AZ78" s="278">
        <v>4</v>
      </c>
      <c r="BA78" s="278">
        <v>4.99</v>
      </c>
      <c r="BB78" s="288"/>
      <c r="BC78" s="277">
        <v>4.99</v>
      </c>
      <c r="BD78" s="292">
        <v>43059</v>
      </c>
    </row>
    <row r="79" spans="38:59" x14ac:dyDescent="0.25">
      <c r="AL79" s="273" t="s">
        <v>550</v>
      </c>
      <c r="AM79" s="267">
        <v>16</v>
      </c>
      <c r="AN79" s="274">
        <v>656</v>
      </c>
      <c r="AO79" s="299"/>
      <c r="AP79" s="288"/>
      <c r="AQ79" s="277">
        <v>1.99</v>
      </c>
      <c r="AR79" s="278">
        <v>2</v>
      </c>
      <c r="AS79" s="278">
        <v>2.99</v>
      </c>
      <c r="AT79" s="278">
        <v>4</v>
      </c>
      <c r="AU79" s="278">
        <v>4.99</v>
      </c>
      <c r="AV79" s="281">
        <v>3</v>
      </c>
      <c r="AW79" s="281">
        <v>3.99</v>
      </c>
      <c r="AX79" s="281">
        <v>5</v>
      </c>
      <c r="AY79" s="284">
        <v>5.99</v>
      </c>
      <c r="AZ79" s="278">
        <v>1</v>
      </c>
      <c r="BA79" s="278">
        <v>1.99</v>
      </c>
      <c r="BB79" s="288"/>
      <c r="BC79" s="288"/>
      <c r="BD79" s="292">
        <v>43100</v>
      </c>
      <c r="BE79" s="163"/>
      <c r="BF79" s="163"/>
      <c r="BG79" s="163"/>
    </row>
    <row r="80" spans="38:59" x14ac:dyDescent="0.25">
      <c r="AL80" s="273" t="s">
        <v>551</v>
      </c>
      <c r="AM80" s="267">
        <v>17</v>
      </c>
      <c r="AN80" s="274">
        <v>535</v>
      </c>
      <c r="AO80" s="299"/>
      <c r="AP80" s="288"/>
      <c r="AQ80" s="288"/>
      <c r="AR80" s="288"/>
      <c r="AS80" s="277">
        <v>2.99</v>
      </c>
      <c r="AT80" s="281">
        <v>6</v>
      </c>
      <c r="AU80" s="282">
        <v>6.6</v>
      </c>
      <c r="AV80" s="281">
        <v>5</v>
      </c>
      <c r="AW80" s="284">
        <v>5.99</v>
      </c>
      <c r="AX80" s="281">
        <v>4</v>
      </c>
      <c r="AY80" s="281">
        <v>4.99</v>
      </c>
      <c r="AZ80" s="288"/>
      <c r="BA80" s="277">
        <v>2.99</v>
      </c>
      <c r="BB80" s="288"/>
      <c r="BC80" s="288"/>
      <c r="BD80" s="292">
        <v>43109</v>
      </c>
      <c r="BE80" s="163"/>
      <c r="BF80" s="163"/>
      <c r="BG80" s="163"/>
    </row>
    <row r="81" spans="38:59" x14ac:dyDescent="0.25">
      <c r="AL81" s="273" t="s">
        <v>552</v>
      </c>
      <c r="AM81" s="267">
        <v>16</v>
      </c>
      <c r="AN81" s="274">
        <v>581</v>
      </c>
      <c r="AO81" s="299" t="s">
        <v>553</v>
      </c>
      <c r="AP81" s="288"/>
      <c r="AQ81" s="288"/>
      <c r="AR81" s="288"/>
      <c r="AS81" s="277">
        <v>3.99</v>
      </c>
      <c r="AT81" s="278">
        <v>4</v>
      </c>
      <c r="AU81" s="278">
        <v>4.99</v>
      </c>
      <c r="AV81" s="288"/>
      <c r="AW81" s="286">
        <v>5.99</v>
      </c>
      <c r="AX81" s="281">
        <v>1</v>
      </c>
      <c r="AY81" s="281">
        <v>1.99</v>
      </c>
      <c r="AZ81" s="288"/>
      <c r="BA81" s="277">
        <v>3.99</v>
      </c>
      <c r="BB81" s="288"/>
      <c r="BC81" s="288"/>
      <c r="BD81" s="292">
        <v>43175</v>
      </c>
      <c r="BE81" s="163"/>
      <c r="BF81" s="163"/>
      <c r="BG81" s="163"/>
    </row>
    <row r="82" spans="38:59" x14ac:dyDescent="0.25">
      <c r="AL82" s="273" t="s">
        <v>554</v>
      </c>
      <c r="AM82" s="267">
        <v>17</v>
      </c>
      <c r="AN82" s="274">
        <v>473</v>
      </c>
      <c r="AO82" s="299" t="s">
        <v>553</v>
      </c>
      <c r="AP82" s="288"/>
      <c r="AQ82" s="277">
        <v>0.99</v>
      </c>
      <c r="AR82" s="278">
        <v>3</v>
      </c>
      <c r="AS82" s="278">
        <v>3.99</v>
      </c>
      <c r="AT82" s="278">
        <v>5</v>
      </c>
      <c r="AU82" s="278">
        <v>5.99</v>
      </c>
      <c r="AV82" s="288"/>
      <c r="AW82" s="277">
        <v>2.99</v>
      </c>
      <c r="AX82" s="288"/>
      <c r="AY82" s="288"/>
      <c r="AZ82" s="278">
        <v>2</v>
      </c>
      <c r="BA82" s="278">
        <v>2.99</v>
      </c>
      <c r="BB82" s="288"/>
      <c r="BC82" s="288"/>
      <c r="BD82" s="292">
        <v>43192</v>
      </c>
      <c r="BE82" s="163"/>
      <c r="BF82" s="163"/>
      <c r="BG82" s="163"/>
    </row>
    <row r="83" spans="38:59" x14ac:dyDescent="0.25">
      <c r="AL83" s="273" t="s">
        <v>555</v>
      </c>
      <c r="AM83" s="267">
        <v>18</v>
      </c>
      <c r="AN83" s="274">
        <v>539</v>
      </c>
      <c r="AO83" s="299"/>
      <c r="AP83" s="288"/>
      <c r="AQ83" s="277">
        <v>1.99</v>
      </c>
      <c r="AR83" s="278">
        <v>3</v>
      </c>
      <c r="AS83" s="278">
        <v>3.99</v>
      </c>
      <c r="AT83" s="278">
        <v>4</v>
      </c>
      <c r="AU83" s="278">
        <v>4.99</v>
      </c>
      <c r="AV83" s="278">
        <v>2</v>
      </c>
      <c r="AW83" s="278">
        <v>2.99</v>
      </c>
      <c r="AX83" s="278">
        <v>4</v>
      </c>
      <c r="AY83" s="278">
        <v>4.99</v>
      </c>
      <c r="AZ83" s="281">
        <v>4</v>
      </c>
      <c r="BA83" s="281">
        <v>4.99</v>
      </c>
      <c r="BB83" s="288"/>
      <c r="BC83" s="277">
        <v>2.99</v>
      </c>
      <c r="BD83" s="292">
        <v>42919</v>
      </c>
      <c r="BE83" s="163"/>
      <c r="BF83" s="163"/>
      <c r="BG83" s="163"/>
    </row>
    <row r="84" spans="38:59" x14ac:dyDescent="0.25">
      <c r="AL84" s="273" t="s">
        <v>556</v>
      </c>
      <c r="AM84" s="267">
        <v>18</v>
      </c>
      <c r="AN84" s="274">
        <v>539</v>
      </c>
      <c r="AO84" s="299" t="s">
        <v>101</v>
      </c>
      <c r="AP84" s="288"/>
      <c r="AQ84" s="277">
        <v>0.99</v>
      </c>
      <c r="AR84" s="281">
        <v>3</v>
      </c>
      <c r="AS84" s="281">
        <v>3.99</v>
      </c>
      <c r="AT84" s="281">
        <v>3</v>
      </c>
      <c r="AU84" s="281">
        <v>3.99</v>
      </c>
      <c r="AV84" s="281">
        <v>3</v>
      </c>
      <c r="AW84" s="281">
        <v>3.99</v>
      </c>
      <c r="AX84" s="277">
        <v>4</v>
      </c>
      <c r="AY84" s="289">
        <v>7</v>
      </c>
      <c r="AZ84" s="288"/>
      <c r="BA84" s="286">
        <v>5.99</v>
      </c>
      <c r="BB84" s="288"/>
      <c r="BC84" s="277">
        <v>1.99</v>
      </c>
      <c r="BD84" s="292">
        <v>43067</v>
      </c>
      <c r="BE84" s="163"/>
      <c r="BF84" s="163"/>
      <c r="BG84" s="163"/>
    </row>
    <row r="85" spans="38:59" x14ac:dyDescent="0.25">
      <c r="AL85" s="273" t="s">
        <v>557</v>
      </c>
      <c r="AM85" s="267">
        <v>18</v>
      </c>
      <c r="AN85" s="274">
        <v>-1718</v>
      </c>
      <c r="AO85" s="299" t="s">
        <v>471</v>
      </c>
      <c r="AP85" s="288"/>
      <c r="AQ85" s="277">
        <v>1.99</v>
      </c>
      <c r="AR85" s="278">
        <v>2</v>
      </c>
      <c r="AS85" s="278">
        <v>2.99</v>
      </c>
      <c r="AT85" s="278">
        <v>4</v>
      </c>
      <c r="AU85" s="278">
        <v>4.99</v>
      </c>
      <c r="AV85" s="288"/>
      <c r="AW85" s="277">
        <v>3.99</v>
      </c>
      <c r="AX85" s="277">
        <v>2</v>
      </c>
      <c r="AY85" s="277">
        <v>3.99</v>
      </c>
      <c r="AZ85" s="288"/>
      <c r="BA85" s="277">
        <v>2.99</v>
      </c>
      <c r="BB85" s="288"/>
      <c r="BC85" s="288"/>
      <c r="BD85" s="292">
        <v>45250</v>
      </c>
      <c r="BE85" s="163"/>
      <c r="BF85" s="163"/>
      <c r="BG85" s="163"/>
    </row>
    <row r="86" spans="38:59" x14ac:dyDescent="0.25">
      <c r="AL86" s="273" t="s">
        <v>558</v>
      </c>
      <c r="AM86" s="267">
        <v>17</v>
      </c>
      <c r="AN86" s="274">
        <v>423</v>
      </c>
      <c r="AO86" s="299"/>
      <c r="AP86" s="288"/>
      <c r="AQ86" s="277">
        <v>1.99</v>
      </c>
      <c r="AR86" s="281">
        <v>4</v>
      </c>
      <c r="AS86" s="281">
        <v>4.99</v>
      </c>
      <c r="AT86" s="278">
        <v>3</v>
      </c>
      <c r="AU86" s="278">
        <v>3.99</v>
      </c>
      <c r="AV86" s="277">
        <v>5</v>
      </c>
      <c r="AW86" s="289">
        <v>6.99</v>
      </c>
      <c r="AX86" s="278">
        <v>1</v>
      </c>
      <c r="AY86" s="278">
        <v>1.99</v>
      </c>
      <c r="AZ86" s="278">
        <v>1</v>
      </c>
      <c r="BA86" s="278">
        <v>1.99</v>
      </c>
      <c r="BB86" s="288"/>
      <c r="BC86" s="288"/>
      <c r="BD86" s="292">
        <v>43221</v>
      </c>
      <c r="BE86" s="163"/>
      <c r="BF86" s="163"/>
      <c r="BG86" s="163"/>
    </row>
    <row r="87" spans="38:59" x14ac:dyDescent="0.25">
      <c r="AL87" s="273" t="s">
        <v>559</v>
      </c>
      <c r="AM87" s="267">
        <v>18</v>
      </c>
      <c r="AN87" s="274">
        <v>413</v>
      </c>
      <c r="AO87" s="299"/>
      <c r="AP87" s="288"/>
      <c r="AQ87" s="277">
        <v>0.99</v>
      </c>
      <c r="AR87" s="281">
        <v>6</v>
      </c>
      <c r="AS87" s="282">
        <v>6.99</v>
      </c>
      <c r="AT87" s="281">
        <v>4</v>
      </c>
      <c r="AU87" s="281">
        <v>4.99</v>
      </c>
      <c r="AV87" s="277">
        <v>4</v>
      </c>
      <c r="AW87" s="286">
        <v>5.99</v>
      </c>
      <c r="AX87" s="288"/>
      <c r="AY87" s="277">
        <v>3.99</v>
      </c>
      <c r="AZ87" s="288"/>
      <c r="BA87" s="277">
        <v>4.99</v>
      </c>
      <c r="BB87" s="288"/>
      <c r="BC87" s="277">
        <v>2.99</v>
      </c>
      <c r="BD87" s="292">
        <v>43143</v>
      </c>
      <c r="BE87" s="163"/>
      <c r="BF87" s="163"/>
      <c r="BG87" s="163"/>
    </row>
    <row r="88" spans="38:59" x14ac:dyDescent="0.25">
      <c r="AL88" s="273" t="s">
        <v>560</v>
      </c>
      <c r="AM88" s="267">
        <v>16</v>
      </c>
      <c r="AN88" s="274">
        <v>467</v>
      </c>
      <c r="AO88" s="299" t="s">
        <v>0</v>
      </c>
      <c r="AP88" s="288"/>
      <c r="AQ88" s="277">
        <v>0.99</v>
      </c>
      <c r="AR88" s="281">
        <v>7</v>
      </c>
      <c r="AS88" s="282">
        <v>7</v>
      </c>
      <c r="AT88" s="281">
        <v>4</v>
      </c>
      <c r="AU88" s="281">
        <v>4.99</v>
      </c>
      <c r="AV88" s="281">
        <v>4</v>
      </c>
      <c r="AW88" s="281">
        <v>4.99</v>
      </c>
      <c r="AX88" s="278">
        <v>3</v>
      </c>
      <c r="AY88" s="278">
        <v>3.99</v>
      </c>
      <c r="AZ88" s="288"/>
      <c r="BA88" s="277">
        <v>2.99</v>
      </c>
      <c r="BB88" s="288"/>
      <c r="BC88" s="277">
        <v>3.99</v>
      </c>
      <c r="BD88" s="292">
        <v>43289</v>
      </c>
      <c r="BE88" s="163"/>
      <c r="BF88" s="163"/>
      <c r="BG88" s="163"/>
    </row>
    <row r="89" spans="38:59" x14ac:dyDescent="0.25">
      <c r="AL89" s="273" t="s">
        <v>561</v>
      </c>
      <c r="AM89" s="267">
        <v>16</v>
      </c>
      <c r="AN89" s="274">
        <v>386</v>
      </c>
      <c r="AO89" s="299"/>
      <c r="AP89" s="288"/>
      <c r="AQ89" s="288"/>
      <c r="AR89" s="277">
        <v>3</v>
      </c>
      <c r="AS89" s="288"/>
      <c r="AT89" s="288"/>
      <c r="AU89" s="288"/>
      <c r="AV89" s="288"/>
      <c r="AW89" s="277">
        <v>3.99</v>
      </c>
      <c r="AX89" s="277">
        <v>4</v>
      </c>
      <c r="AY89" s="289">
        <v>6.99</v>
      </c>
      <c r="AZ89" s="288"/>
      <c r="BA89" s="277">
        <v>4.99</v>
      </c>
      <c r="BB89" s="288"/>
      <c r="BC89" s="288"/>
      <c r="BD89" s="292">
        <v>43370</v>
      </c>
      <c r="BE89" s="163"/>
      <c r="BF89" s="163"/>
      <c r="BG89" s="163"/>
    </row>
    <row r="90" spans="38:59" x14ac:dyDescent="0.25">
      <c r="AL90" s="273" t="s">
        <v>562</v>
      </c>
      <c r="AM90" s="267">
        <v>16</v>
      </c>
      <c r="AN90" s="274">
        <v>429</v>
      </c>
      <c r="AO90" s="299"/>
      <c r="AP90" s="288"/>
      <c r="AQ90" s="277">
        <v>1.99</v>
      </c>
      <c r="AR90" s="278">
        <v>4</v>
      </c>
      <c r="AS90" s="278">
        <v>4.99</v>
      </c>
      <c r="AT90" s="288"/>
      <c r="AU90" s="277">
        <v>4.99</v>
      </c>
      <c r="AV90" s="281">
        <v>5</v>
      </c>
      <c r="AW90" s="284">
        <v>5.99</v>
      </c>
      <c r="AX90" s="288"/>
      <c r="AY90" s="277">
        <v>2.99</v>
      </c>
      <c r="AZ90" s="288"/>
      <c r="BA90" s="277">
        <v>3.99</v>
      </c>
      <c r="BB90" s="288"/>
      <c r="BC90" s="288"/>
      <c r="BD90" s="292">
        <v>43327</v>
      </c>
      <c r="BE90" s="163"/>
      <c r="BF90" s="163"/>
      <c r="BG90" s="163"/>
    </row>
    <row r="91" spans="38:59" x14ac:dyDescent="0.25">
      <c r="AL91" s="273" t="s">
        <v>190</v>
      </c>
      <c r="AM91" s="267">
        <v>17</v>
      </c>
      <c r="AN91" s="274">
        <v>211</v>
      </c>
      <c r="AO91" s="299" t="s">
        <v>44</v>
      </c>
      <c r="AP91" s="288"/>
      <c r="AQ91" s="277">
        <v>1.99</v>
      </c>
      <c r="AR91" s="305">
        <v>2</v>
      </c>
      <c r="AS91" s="278">
        <v>2.99</v>
      </c>
      <c r="AT91" s="306" t="s">
        <v>563</v>
      </c>
      <c r="AU91" s="307">
        <v>5.99</v>
      </c>
      <c r="AV91" s="306">
        <v>5.5</v>
      </c>
      <c r="AW91" s="307">
        <v>5.5</v>
      </c>
      <c r="AX91" s="306">
        <v>4.4000000000000004</v>
      </c>
      <c r="AY91" s="278">
        <v>4.4000000000000004</v>
      </c>
      <c r="AZ91" s="306">
        <v>3</v>
      </c>
      <c r="BA91" s="278">
        <v>3.99</v>
      </c>
      <c r="BB91" s="288"/>
      <c r="BC91" s="288"/>
      <c r="BD91" s="292">
        <v>43433</v>
      </c>
      <c r="BE91" s="163"/>
      <c r="BF91" s="163"/>
      <c r="BG91" s="163"/>
    </row>
    <row r="92" spans="38:59" x14ac:dyDescent="0.25">
      <c r="AL92" s="273" t="s">
        <v>564</v>
      </c>
      <c r="AM92" s="267">
        <v>17</v>
      </c>
      <c r="AN92" s="274">
        <v>172</v>
      </c>
      <c r="AO92" s="299"/>
      <c r="AP92" s="288"/>
      <c r="AQ92" s="277">
        <v>0.99</v>
      </c>
      <c r="AR92" s="288"/>
      <c r="AS92" s="277">
        <v>3.99</v>
      </c>
      <c r="AT92" s="305">
        <v>2</v>
      </c>
      <c r="AU92" s="278">
        <v>2.99</v>
      </c>
      <c r="AV92" s="308">
        <v>5</v>
      </c>
      <c r="AW92" s="289">
        <v>6.99</v>
      </c>
      <c r="AX92" s="306">
        <v>5</v>
      </c>
      <c r="AY92" s="279">
        <v>5.99</v>
      </c>
      <c r="AZ92" s="309">
        <v>6</v>
      </c>
      <c r="BA92" s="282">
        <v>6.99</v>
      </c>
      <c r="BB92" s="306">
        <v>4</v>
      </c>
      <c r="BC92" s="278">
        <v>4.99</v>
      </c>
      <c r="BD92" s="292">
        <v>43472</v>
      </c>
      <c r="BE92" s="163"/>
      <c r="BF92" s="163"/>
      <c r="BG92" s="163"/>
    </row>
    <row r="93" spans="38:59" x14ac:dyDescent="0.25">
      <c r="AL93" s="273" t="s">
        <v>565</v>
      </c>
      <c r="AM93" s="267">
        <v>16</v>
      </c>
      <c r="AN93" s="274">
        <v>271</v>
      </c>
      <c r="AO93" s="299"/>
      <c r="AP93" s="288"/>
      <c r="AQ93" s="277">
        <v>1.99</v>
      </c>
      <c r="AR93" s="306">
        <v>5.0999999999999996</v>
      </c>
      <c r="AS93" s="279">
        <v>5.99</v>
      </c>
      <c r="AT93" s="309">
        <v>6.5</v>
      </c>
      <c r="AU93" s="282">
        <v>6.99</v>
      </c>
      <c r="AV93" s="306">
        <v>3</v>
      </c>
      <c r="AW93" s="278">
        <v>3.99</v>
      </c>
      <c r="AX93" s="305">
        <v>2</v>
      </c>
      <c r="AY93" s="278">
        <v>2.99</v>
      </c>
      <c r="AZ93" s="306">
        <v>3</v>
      </c>
      <c r="BA93" s="278">
        <v>3.99</v>
      </c>
      <c r="BB93" s="288"/>
      <c r="BC93" s="288"/>
      <c r="BD93" s="292">
        <v>43485</v>
      </c>
      <c r="BE93" s="163"/>
      <c r="BF93" s="163"/>
      <c r="BG93" s="163"/>
    </row>
    <row r="94" spans="38:59" x14ac:dyDescent="0.25">
      <c r="AL94" s="273" t="s">
        <v>566</v>
      </c>
      <c r="AM94" s="267">
        <v>18</v>
      </c>
      <c r="AN94" s="274">
        <v>257</v>
      </c>
      <c r="AO94" s="299"/>
      <c r="AP94" s="288"/>
      <c r="AQ94" s="277">
        <v>1.99</v>
      </c>
      <c r="AR94" s="288"/>
      <c r="AS94" s="277">
        <v>4.99</v>
      </c>
      <c r="AT94" s="308">
        <v>5</v>
      </c>
      <c r="AU94" s="289">
        <v>6.99</v>
      </c>
      <c r="AV94" s="288"/>
      <c r="AW94" s="277">
        <v>2.99</v>
      </c>
      <c r="AX94" s="306">
        <v>3</v>
      </c>
      <c r="AY94" s="278">
        <v>3.99</v>
      </c>
      <c r="AZ94" s="288"/>
      <c r="BA94" s="289">
        <v>6.99</v>
      </c>
      <c r="BB94" s="305">
        <v>2</v>
      </c>
      <c r="BC94" s="278">
        <v>2.99</v>
      </c>
      <c r="BD94" s="292">
        <v>43644</v>
      </c>
      <c r="BE94" s="163"/>
      <c r="BF94" s="163"/>
      <c r="BG94" s="163"/>
    </row>
    <row r="95" spans="38:59" x14ac:dyDescent="0.25">
      <c r="AL95" s="273" t="s">
        <v>567</v>
      </c>
      <c r="AM95" s="267">
        <v>19</v>
      </c>
      <c r="AN95" s="274">
        <v>148</v>
      </c>
      <c r="AO95" s="299"/>
      <c r="AP95" s="288"/>
      <c r="AQ95" s="277">
        <v>1.99</v>
      </c>
      <c r="AR95" s="306">
        <v>4</v>
      </c>
      <c r="AS95" s="278">
        <v>4.99</v>
      </c>
      <c r="AT95" s="288"/>
      <c r="AU95" s="277">
        <v>4.99</v>
      </c>
      <c r="AV95" s="288"/>
      <c r="AW95" s="277">
        <v>4.99</v>
      </c>
      <c r="AX95" s="306">
        <v>3</v>
      </c>
      <c r="AY95" s="278">
        <v>3.99</v>
      </c>
      <c r="AZ95" s="308">
        <v>3</v>
      </c>
      <c r="BA95" s="277">
        <v>4.99</v>
      </c>
      <c r="BB95" s="306">
        <v>1</v>
      </c>
      <c r="BC95" s="278">
        <v>1.99</v>
      </c>
      <c r="BD95" s="292">
        <v>43644</v>
      </c>
      <c r="BE95" s="163"/>
      <c r="BF95" s="163"/>
      <c r="BG95" s="163"/>
    </row>
    <row r="96" spans="38:59" x14ac:dyDescent="0.25">
      <c r="AL96" s="273" t="s">
        <v>568</v>
      </c>
      <c r="AM96" s="267">
        <v>19</v>
      </c>
      <c r="AN96" s="274">
        <v>135</v>
      </c>
      <c r="AO96" s="299"/>
      <c r="AP96" s="288"/>
      <c r="AQ96" s="277">
        <v>0.99</v>
      </c>
      <c r="AR96" s="306">
        <v>4</v>
      </c>
      <c r="AS96" s="278">
        <v>4.99</v>
      </c>
      <c r="AT96" s="306">
        <v>4</v>
      </c>
      <c r="AU96" s="278">
        <v>4.99</v>
      </c>
      <c r="AV96" s="305">
        <v>2</v>
      </c>
      <c r="AW96" s="278">
        <v>2.99</v>
      </c>
      <c r="AX96" s="288"/>
      <c r="AY96" s="286">
        <v>5.99</v>
      </c>
      <c r="AZ96" s="306">
        <v>4</v>
      </c>
      <c r="BA96" s="278">
        <v>4.99</v>
      </c>
      <c r="BB96" s="305">
        <v>2</v>
      </c>
      <c r="BC96" s="278">
        <v>2.99</v>
      </c>
      <c r="BD96" s="292">
        <v>43644</v>
      </c>
      <c r="BE96" s="163"/>
      <c r="BF96" s="163"/>
      <c r="BG96" s="163"/>
    </row>
    <row r="97" spans="38:59" x14ac:dyDescent="0.25">
      <c r="AL97" s="273" t="s">
        <v>569</v>
      </c>
      <c r="AM97" s="267">
        <v>16</v>
      </c>
      <c r="AN97" s="274">
        <v>167</v>
      </c>
      <c r="AO97" s="299"/>
      <c r="AP97" s="288"/>
      <c r="AQ97" s="277">
        <v>0.99</v>
      </c>
      <c r="AR97" s="306">
        <v>1</v>
      </c>
      <c r="AS97" s="278">
        <v>1.99</v>
      </c>
      <c r="AT97" s="309">
        <v>5</v>
      </c>
      <c r="AU97" s="284">
        <v>5.99</v>
      </c>
      <c r="AV97" s="309">
        <v>6</v>
      </c>
      <c r="AW97" s="282">
        <v>6.99</v>
      </c>
      <c r="AX97" s="309">
        <v>4</v>
      </c>
      <c r="AY97" s="281">
        <v>4.99</v>
      </c>
      <c r="AZ97" s="309" t="s">
        <v>570</v>
      </c>
      <c r="BA97" s="281">
        <v>3.99</v>
      </c>
      <c r="BB97" s="288"/>
      <c r="BC97" s="288"/>
      <c r="BD97" s="292">
        <v>43589</v>
      </c>
      <c r="BE97" s="163"/>
      <c r="BF97" s="163"/>
      <c r="BG97" s="163"/>
    </row>
    <row r="98" spans="38:59" x14ac:dyDescent="0.25">
      <c r="AL98" s="273" t="s">
        <v>338</v>
      </c>
      <c r="AM98" s="267">
        <v>18</v>
      </c>
      <c r="AN98" s="274">
        <f>88-444+[1]Jugadores!AM33-112-112-102-6+17-112-5+3-112-35+68-112-112+88-112-8+34-80-7+47-36-112-112-112-27-70-21-2-179+69-112-112+50-112-112</f>
        <v>-2126</v>
      </c>
      <c r="AO98" s="299"/>
      <c r="AP98" s="308">
        <v>4</v>
      </c>
      <c r="AQ98" s="289">
        <v>6.99</v>
      </c>
      <c r="AR98" s="309">
        <v>3</v>
      </c>
      <c r="AS98" s="281">
        <v>3.99</v>
      </c>
      <c r="AT98" s="306">
        <v>0</v>
      </c>
      <c r="AU98" s="278">
        <v>0.99</v>
      </c>
      <c r="AV98" s="306">
        <v>0</v>
      </c>
      <c r="AW98" s="278">
        <v>0.99</v>
      </c>
      <c r="AX98" s="288"/>
      <c r="AY98" s="277">
        <v>1.99</v>
      </c>
      <c r="AZ98" s="306">
        <v>1</v>
      </c>
      <c r="BA98" s="278">
        <v>1.99</v>
      </c>
      <c r="BB98" s="288"/>
      <c r="BC98" s="288"/>
      <c r="BD98" s="292">
        <v>43644</v>
      </c>
      <c r="BE98" s="163"/>
      <c r="BF98" s="163"/>
      <c r="BG98" s="163"/>
    </row>
    <row r="99" spans="38:59" x14ac:dyDescent="0.25">
      <c r="AL99" s="273" t="s">
        <v>571</v>
      </c>
      <c r="AM99" s="267">
        <v>18</v>
      </c>
      <c r="AN99" s="274">
        <f>88-444+[1]Jugadores!AM33-112-112-102-6+17-112-5+3-112-35+68-112-112+88-112-8+34-80-7+47-36-112-112-112-27-70-21-2-179+33+39-112+43-112-112-112</f>
        <v>-2130</v>
      </c>
      <c r="AO99" s="299"/>
      <c r="AP99" s="288"/>
      <c r="AQ99" s="288"/>
      <c r="AR99" s="308">
        <v>5</v>
      </c>
      <c r="AS99" s="289">
        <v>6.99</v>
      </c>
      <c r="AT99" s="306">
        <v>2</v>
      </c>
      <c r="AU99" s="278">
        <v>2.99</v>
      </c>
      <c r="AV99" s="305">
        <v>2</v>
      </c>
      <c r="AW99" s="278">
        <v>2.99</v>
      </c>
      <c r="AX99" s="305">
        <v>2</v>
      </c>
      <c r="AY99" s="278">
        <v>2.99</v>
      </c>
      <c r="AZ99" s="309">
        <v>4</v>
      </c>
      <c r="BA99" s="281">
        <v>4.99</v>
      </c>
      <c r="BB99" s="288"/>
      <c r="BC99" s="288"/>
      <c r="BD99" s="292">
        <v>43644</v>
      </c>
      <c r="BE99" s="163"/>
      <c r="BF99" s="163"/>
      <c r="BG99" s="163"/>
    </row>
    <row r="100" spans="38:59" x14ac:dyDescent="0.25">
      <c r="AL100" s="273" t="s">
        <v>572</v>
      </c>
      <c r="AM100" s="267">
        <v>16</v>
      </c>
      <c r="AN100" s="274">
        <f>88-444+[1]Jugadores!AM33-1629-102</f>
        <v>-2087</v>
      </c>
      <c r="AO100" s="299"/>
      <c r="AP100" s="293"/>
      <c r="AQ100" s="293"/>
      <c r="AR100" s="308">
        <v>5</v>
      </c>
      <c r="AS100" s="289">
        <v>6.99</v>
      </c>
      <c r="AT100" s="306">
        <v>3.3</v>
      </c>
      <c r="AU100" s="278">
        <v>3.99</v>
      </c>
      <c r="AV100" s="309">
        <v>1</v>
      </c>
      <c r="AW100" s="281">
        <v>1.99</v>
      </c>
      <c r="AX100" s="306">
        <v>3</v>
      </c>
      <c r="AY100" s="278">
        <v>3.99</v>
      </c>
      <c r="AZ100" s="293"/>
      <c r="BA100" s="286">
        <v>5.99</v>
      </c>
      <c r="BB100" s="293"/>
      <c r="BC100" s="293"/>
      <c r="BD100" s="292">
        <v>45870</v>
      </c>
      <c r="BE100" s="163"/>
      <c r="BF100" s="163"/>
      <c r="BG100" s="163"/>
    </row>
    <row r="101" spans="38:59" x14ac:dyDescent="0.25">
      <c r="AL101" s="273" t="s">
        <v>573</v>
      </c>
      <c r="AM101" s="267">
        <v>16</v>
      </c>
      <c r="AN101" s="274">
        <f>88-444+[1]Jugadores!AM33-1629-112</f>
        <v>-2097</v>
      </c>
      <c r="AO101" s="299"/>
      <c r="AP101" s="288"/>
      <c r="AQ101" s="288"/>
      <c r="AR101" s="308">
        <v>4</v>
      </c>
      <c r="AS101" s="286">
        <v>5.99</v>
      </c>
      <c r="AT101" s="306">
        <v>3</v>
      </c>
      <c r="AU101" s="278">
        <v>3.99</v>
      </c>
      <c r="AV101" s="306">
        <v>4</v>
      </c>
      <c r="AW101" s="278">
        <v>4.99</v>
      </c>
      <c r="AX101" s="305">
        <v>2</v>
      </c>
      <c r="AY101" s="278">
        <v>2.99</v>
      </c>
      <c r="AZ101" s="288"/>
      <c r="BA101" s="277">
        <v>3.99</v>
      </c>
      <c r="BB101" s="288"/>
      <c r="BC101" s="277">
        <v>4.99</v>
      </c>
      <c r="BD101" s="292">
        <v>45853</v>
      </c>
      <c r="BE101" s="163"/>
      <c r="BF101" s="163"/>
      <c r="BG101" s="163"/>
    </row>
    <row r="102" spans="38:59" x14ac:dyDescent="0.25">
      <c r="AL102" s="273" t="s">
        <v>574</v>
      </c>
      <c r="AM102" s="267">
        <v>16</v>
      </c>
      <c r="AN102" s="274">
        <f>42-584+[1]Jugadores!AM33-112-112+6-112+3-112+21-112+67-112-6-40-34-12-105+55-75+11-112-112+4-112-30-112-112-9-112+100-103-112</f>
        <v>-2145</v>
      </c>
      <c r="AO102" s="299"/>
      <c r="AP102" s="288"/>
      <c r="AQ102" s="288"/>
      <c r="AR102" s="309">
        <v>5</v>
      </c>
      <c r="AS102" s="284">
        <v>5.99</v>
      </c>
      <c r="AT102" s="306">
        <v>4</v>
      </c>
      <c r="AU102" s="278">
        <v>4.99</v>
      </c>
      <c r="AV102" s="288"/>
      <c r="AW102" s="277">
        <v>1.99</v>
      </c>
      <c r="AX102" s="288"/>
      <c r="AY102" s="277">
        <v>3.99</v>
      </c>
      <c r="AZ102" s="308">
        <v>3</v>
      </c>
      <c r="BA102" s="288"/>
      <c r="BB102" s="288"/>
      <c r="BC102" s="288"/>
      <c r="BD102" s="292">
        <v>45901</v>
      </c>
      <c r="BE102" s="163"/>
      <c r="BF102" s="163"/>
      <c r="BG102" s="163"/>
    </row>
    <row r="103" spans="38:59" x14ac:dyDescent="0.25">
      <c r="AL103" s="273" t="s">
        <v>575</v>
      </c>
      <c r="AM103" s="267">
        <v>18</v>
      </c>
      <c r="AN103" s="274">
        <f>42-584+[1]Jugadores!AM33-112-112+6-112+3-112+21-112+67-112-6-40-34-12-105+55+11-112+1-23-112-112-112-115-42-112-112-112</f>
        <v>-2211</v>
      </c>
      <c r="AO103" s="299" t="s">
        <v>0</v>
      </c>
      <c r="AP103" s="288"/>
      <c r="AQ103" s="277">
        <v>1.99</v>
      </c>
      <c r="AR103" s="305">
        <v>2</v>
      </c>
      <c r="AS103" s="278">
        <v>2.99</v>
      </c>
      <c r="AT103" s="305">
        <v>2</v>
      </c>
      <c r="AU103" s="278">
        <v>2.99</v>
      </c>
      <c r="AV103" s="306">
        <v>3</v>
      </c>
      <c r="AW103" s="278">
        <v>3.99</v>
      </c>
      <c r="AX103" s="308">
        <v>4</v>
      </c>
      <c r="AY103" s="286">
        <v>5.99</v>
      </c>
      <c r="AZ103" s="288"/>
      <c r="BA103" s="277">
        <v>3.99</v>
      </c>
      <c r="BB103" s="288"/>
      <c r="BC103" s="277">
        <v>4.99</v>
      </c>
      <c r="BD103" s="292">
        <v>43644</v>
      </c>
      <c r="BE103" s="163"/>
      <c r="BF103" s="163"/>
      <c r="BG103" s="163"/>
    </row>
    <row r="104" spans="38:59" x14ac:dyDescent="0.25">
      <c r="AL104" s="273" t="s">
        <v>576</v>
      </c>
      <c r="AM104" s="267">
        <v>16</v>
      </c>
      <c r="AN104" s="274">
        <f>88-444+[1]Jugadores!AM33-112-112-102-6+17-112-5+3-112-35+68-112-112+88-112-8+34-80-7+47-36-112-57-112+76-112-115-6-112-70-112-112-86+1-80</f>
        <v>-2171</v>
      </c>
      <c r="AO104" s="299" t="s">
        <v>192</v>
      </c>
      <c r="AP104" s="293"/>
      <c r="AQ104" s="277">
        <v>1.99</v>
      </c>
      <c r="AR104" s="305">
        <v>2</v>
      </c>
      <c r="AS104" s="278">
        <v>2.99</v>
      </c>
      <c r="AT104" s="308">
        <v>3</v>
      </c>
      <c r="AU104" s="277">
        <v>4.99</v>
      </c>
      <c r="AV104" s="293"/>
      <c r="AW104" s="289">
        <v>6.99</v>
      </c>
      <c r="AX104" s="293"/>
      <c r="AY104" s="277">
        <v>4.99</v>
      </c>
      <c r="AZ104" s="308">
        <v>3</v>
      </c>
      <c r="BA104" s="277">
        <v>4.99</v>
      </c>
      <c r="BB104" s="293"/>
      <c r="BC104" s="293"/>
      <c r="BD104" s="292">
        <v>45934</v>
      </c>
      <c r="BE104" s="163"/>
      <c r="BF104" s="163"/>
      <c r="BG104" s="163"/>
    </row>
    <row r="105" spans="38:59" x14ac:dyDescent="0.25">
      <c r="AL105" s="273" t="s">
        <v>577</v>
      </c>
      <c r="AM105" s="267">
        <v>17</v>
      </c>
      <c r="AN105" s="274">
        <f>88-444+[1]Jugadores!AM33-112-112-102-6+17-112-5+3-112-35+68-112-112+88-112-8+34-80-7+47-36-112-112-112-27-70-21-2-179+33+15-112-75+7-112+52-28-112-36-112</f>
        <v>-2277</v>
      </c>
      <c r="AO105" s="299"/>
      <c r="AP105" s="288"/>
      <c r="AQ105" s="277">
        <v>0.99</v>
      </c>
      <c r="AR105" s="308">
        <v>4</v>
      </c>
      <c r="AS105" s="286">
        <v>5.99</v>
      </c>
      <c r="AT105" s="306">
        <v>2</v>
      </c>
      <c r="AU105" s="278">
        <v>2.99</v>
      </c>
      <c r="AV105" s="306">
        <v>4</v>
      </c>
      <c r="AW105" s="278">
        <v>4.99</v>
      </c>
      <c r="AX105" s="306">
        <v>2</v>
      </c>
      <c r="AY105" s="278">
        <v>2.99</v>
      </c>
      <c r="AZ105" s="308">
        <v>5</v>
      </c>
      <c r="BA105" s="289">
        <v>6.99</v>
      </c>
      <c r="BB105" s="288"/>
      <c r="BC105" s="288"/>
      <c r="BD105" s="292">
        <v>43644</v>
      </c>
      <c r="BE105" s="163"/>
      <c r="BF105" s="163"/>
      <c r="BG105" s="163"/>
    </row>
    <row r="106" spans="38:59" x14ac:dyDescent="0.25">
      <c r="AL106" s="273" t="s">
        <v>578</v>
      </c>
      <c r="AM106" s="267">
        <v>18</v>
      </c>
      <c r="AN106" s="274">
        <f>42-584+[1]Jugadores!AM33-112-112+6-112+3-112+21-112+67-112-6-40-34-12-105+55+11-112+1-23-112-112-112-115-52-112-112-112</f>
        <v>-2221</v>
      </c>
      <c r="AO106" s="299"/>
      <c r="AP106" s="288"/>
      <c r="AQ106" s="277">
        <v>1.99</v>
      </c>
      <c r="AR106" s="309">
        <v>5</v>
      </c>
      <c r="AS106" s="284">
        <v>5.99</v>
      </c>
      <c r="AT106" s="306">
        <v>4.0999999999999996</v>
      </c>
      <c r="AU106" s="278">
        <v>4.99</v>
      </c>
      <c r="AV106" s="305">
        <v>2</v>
      </c>
      <c r="AW106" s="278">
        <v>2.99</v>
      </c>
      <c r="AX106" s="288"/>
      <c r="AY106" s="286">
        <v>5.99</v>
      </c>
      <c r="AZ106" s="309">
        <v>3</v>
      </c>
      <c r="BA106" s="281">
        <v>3.99</v>
      </c>
      <c r="BB106" s="288"/>
      <c r="BC106" s="277">
        <v>2.99</v>
      </c>
      <c r="BD106" s="292">
        <v>43644</v>
      </c>
      <c r="BE106" s="163"/>
      <c r="BF106" s="163"/>
      <c r="BG106" s="163"/>
    </row>
    <row r="107" spans="38:59" x14ac:dyDescent="0.25">
      <c r="AL107" s="273" t="s">
        <v>579</v>
      </c>
      <c r="AM107" s="267">
        <v>18</v>
      </c>
      <c r="AN107" s="274">
        <f>[1]Jugadores!AM33-2150+2-112</f>
        <v>-2260</v>
      </c>
      <c r="AO107" s="299" t="s">
        <v>101</v>
      </c>
      <c r="AP107" s="288"/>
      <c r="AQ107" s="277">
        <v>1.99</v>
      </c>
      <c r="AR107" s="305">
        <v>2</v>
      </c>
      <c r="AS107" s="278">
        <v>2.99</v>
      </c>
      <c r="AT107" s="306">
        <v>3</v>
      </c>
      <c r="AU107" s="278">
        <v>3.99</v>
      </c>
      <c r="AV107" s="306">
        <v>3</v>
      </c>
      <c r="AW107" s="278">
        <v>3.99</v>
      </c>
      <c r="AX107" s="305">
        <v>2</v>
      </c>
      <c r="AY107" s="278">
        <v>2.99</v>
      </c>
      <c r="AZ107" s="306">
        <v>5</v>
      </c>
      <c r="BA107" s="279">
        <v>5.99</v>
      </c>
      <c r="BB107" s="288"/>
      <c r="BC107" s="288"/>
      <c r="BD107" s="292">
        <v>43644</v>
      </c>
      <c r="BE107" s="163"/>
      <c r="BF107" s="163"/>
      <c r="BG107" s="163"/>
    </row>
    <row r="108" spans="38:59" x14ac:dyDescent="0.25">
      <c r="AL108" s="273" t="s">
        <v>580</v>
      </c>
      <c r="AM108" s="267">
        <v>17</v>
      </c>
      <c r="AN108" s="274">
        <f>88+AL143-2254-112-112</f>
        <v>-2390</v>
      </c>
      <c r="AO108" s="299"/>
      <c r="AP108" s="288"/>
      <c r="AQ108" s="277">
        <v>0.99</v>
      </c>
      <c r="AR108" s="306">
        <v>2</v>
      </c>
      <c r="AS108" s="278">
        <v>2.99</v>
      </c>
      <c r="AT108" s="306">
        <v>4</v>
      </c>
      <c r="AU108" s="278">
        <v>4.99</v>
      </c>
      <c r="AV108" s="306">
        <v>2</v>
      </c>
      <c r="AW108" s="278">
        <v>2.99</v>
      </c>
      <c r="AX108" s="306">
        <v>3</v>
      </c>
      <c r="AY108" s="278">
        <v>3.99</v>
      </c>
      <c r="AZ108" s="309">
        <v>5</v>
      </c>
      <c r="BA108" s="284">
        <v>5.99</v>
      </c>
      <c r="BB108" s="288"/>
      <c r="BC108" s="288"/>
      <c r="BD108" s="292">
        <v>43644</v>
      </c>
      <c r="BE108" s="163"/>
      <c r="BF108" s="163"/>
      <c r="BG108" s="163"/>
    </row>
    <row r="109" spans="38:59" x14ac:dyDescent="0.25">
      <c r="AL109" s="273" t="s">
        <v>581</v>
      </c>
      <c r="AM109" s="267">
        <v>17</v>
      </c>
      <c r="AN109" s="274">
        <f>88-444+[1]Jugadores!AM33-112-112-102-6+17-112-5+3-112-35+68-112-112+88-112-8+34-80-7+47-36-112-112-112-27-70-21-2-179+33+39-112-112+20-112+7-69+8-212-112</f>
        <v>-2419</v>
      </c>
      <c r="AO109" s="299"/>
      <c r="AP109" s="293"/>
      <c r="AQ109" s="277">
        <v>0.99</v>
      </c>
      <c r="AR109" s="309">
        <v>3</v>
      </c>
      <c r="AS109" s="281">
        <v>3.99</v>
      </c>
      <c r="AT109" s="293"/>
      <c r="AU109" s="277">
        <v>3.99</v>
      </c>
      <c r="AV109" s="306">
        <v>6</v>
      </c>
      <c r="AW109" s="279">
        <v>6.99</v>
      </c>
      <c r="AX109" s="306">
        <v>4</v>
      </c>
      <c r="AY109" s="278">
        <v>4.99</v>
      </c>
      <c r="AZ109" s="310">
        <v>1</v>
      </c>
      <c r="BA109" s="281">
        <v>1.99</v>
      </c>
      <c r="BB109" s="293"/>
      <c r="BC109" s="293"/>
      <c r="BD109" s="292">
        <v>46063</v>
      </c>
      <c r="BE109" s="163"/>
      <c r="BF109" s="163"/>
      <c r="BG109" s="163"/>
    </row>
    <row r="110" spans="38:59" x14ac:dyDescent="0.25">
      <c r="AL110" s="273" t="s">
        <v>582</v>
      </c>
      <c r="AM110" s="267">
        <v>16</v>
      </c>
      <c r="AN110" s="274">
        <f>-1500+[1]Jugadores!AM33-770+30-112</f>
        <v>-2352</v>
      </c>
      <c r="AO110" s="299" t="s">
        <v>192</v>
      </c>
      <c r="AP110" s="288"/>
      <c r="AQ110" s="277">
        <v>1.99</v>
      </c>
      <c r="AR110" s="308">
        <v>3</v>
      </c>
      <c r="AS110" s="277">
        <v>4.99</v>
      </c>
      <c r="AT110" s="288"/>
      <c r="AU110" s="277">
        <v>2.99</v>
      </c>
      <c r="AV110" s="306">
        <v>5</v>
      </c>
      <c r="AW110" s="279">
        <v>5.99</v>
      </c>
      <c r="AX110" s="306">
        <v>4</v>
      </c>
      <c r="AY110" s="278">
        <v>4.99</v>
      </c>
      <c r="AZ110" s="306">
        <v>4</v>
      </c>
      <c r="BA110" s="278">
        <v>4.99</v>
      </c>
      <c r="BB110" s="288"/>
      <c r="BC110" s="288"/>
      <c r="BD110" s="292">
        <v>41322</v>
      </c>
      <c r="BE110" s="163"/>
      <c r="BF110" s="163"/>
      <c r="BG110" s="163"/>
    </row>
    <row r="111" spans="38:59" x14ac:dyDescent="0.25">
      <c r="AL111" s="273" t="s">
        <v>583</v>
      </c>
      <c r="AM111" s="267">
        <v>16</v>
      </c>
      <c r="AN111" s="274">
        <f>-1500+[1]Jugadores!AM33-770-112</f>
        <v>-2382</v>
      </c>
      <c r="AO111" s="299" t="s">
        <v>440</v>
      </c>
      <c r="AP111" s="288"/>
      <c r="AQ111" s="277">
        <v>1.99</v>
      </c>
      <c r="AR111" s="308">
        <v>4</v>
      </c>
      <c r="AS111" s="286">
        <v>5.99</v>
      </c>
      <c r="AT111" s="305">
        <v>2</v>
      </c>
      <c r="AU111" s="278">
        <v>2.99</v>
      </c>
      <c r="AV111" s="305">
        <v>2</v>
      </c>
      <c r="AW111" s="278">
        <v>2.99</v>
      </c>
      <c r="AX111" s="309">
        <v>4</v>
      </c>
      <c r="AY111" s="281">
        <v>4.99</v>
      </c>
      <c r="AZ111" s="309">
        <v>5</v>
      </c>
      <c r="BA111" s="284">
        <v>5.99</v>
      </c>
      <c r="BB111" s="288"/>
      <c r="BC111" s="288"/>
      <c r="BD111" s="292">
        <v>46138</v>
      </c>
      <c r="BE111" s="163"/>
      <c r="BF111" s="163"/>
      <c r="BG111" s="163"/>
    </row>
    <row r="112" spans="38:59" x14ac:dyDescent="0.25">
      <c r="AL112" s="273" t="s">
        <v>584</v>
      </c>
      <c r="AM112" s="267">
        <v>16</v>
      </c>
      <c r="AN112" s="274">
        <f>[1]Jugadores!AM33-2100-6-93+31-112-26+34-112</f>
        <v>-2384</v>
      </c>
      <c r="AO112" s="299"/>
      <c r="AP112" s="288"/>
      <c r="AQ112" s="277">
        <v>1.99</v>
      </c>
      <c r="AR112" s="306">
        <v>3</v>
      </c>
      <c r="AS112" s="278">
        <v>3.99</v>
      </c>
      <c r="AT112" s="288"/>
      <c r="AU112" s="277">
        <v>2.99</v>
      </c>
      <c r="AV112" s="309">
        <v>6</v>
      </c>
      <c r="AW112" s="282">
        <v>6.99</v>
      </c>
      <c r="AX112" s="309">
        <v>2</v>
      </c>
      <c r="AY112" s="281">
        <v>2.99</v>
      </c>
      <c r="AZ112" s="308">
        <v>4</v>
      </c>
      <c r="BA112" s="289">
        <v>6.99</v>
      </c>
      <c r="BB112" s="288"/>
      <c r="BC112" s="288"/>
      <c r="BD112" s="292">
        <v>46140</v>
      </c>
      <c r="BE112" s="163"/>
      <c r="BF112" s="163"/>
      <c r="BG112" s="163"/>
    </row>
    <row r="113" spans="38:59" x14ac:dyDescent="0.25">
      <c r="AL113" s="273" t="s">
        <v>585</v>
      </c>
      <c r="AM113" s="267">
        <v>16</v>
      </c>
      <c r="AN113" s="274">
        <f>[1]Jugadores!AM33-2100-6-93+31-112-26-44-112</f>
        <v>-2462</v>
      </c>
      <c r="AO113" s="299" t="s">
        <v>440</v>
      </c>
      <c r="AP113" s="288"/>
      <c r="AQ113" s="288"/>
      <c r="AR113" s="309">
        <v>1</v>
      </c>
      <c r="AS113" s="281">
        <v>1.99</v>
      </c>
      <c r="AT113" s="288"/>
      <c r="AU113" s="277">
        <v>2.99</v>
      </c>
      <c r="AV113" s="306">
        <v>6</v>
      </c>
      <c r="AW113" s="279">
        <v>6.99</v>
      </c>
      <c r="AX113" s="288"/>
      <c r="AY113" s="277">
        <v>2.99</v>
      </c>
      <c r="AZ113" s="306">
        <v>4</v>
      </c>
      <c r="BA113" s="278">
        <v>4.99</v>
      </c>
      <c r="BB113" s="288"/>
      <c r="BC113" s="288"/>
      <c r="BD113" s="292">
        <v>46218</v>
      </c>
      <c r="BE113" s="163"/>
      <c r="BF113" s="163"/>
      <c r="BG113" s="163"/>
    </row>
    <row r="114" spans="38:59" x14ac:dyDescent="0.25">
      <c r="AL114" s="273" t="s">
        <v>586</v>
      </c>
      <c r="AM114" s="267">
        <v>18</v>
      </c>
      <c r="AN114" s="274">
        <f>88+[1]Jugadores!AM33-2254-112-112+6-112-112</f>
        <v>-2608</v>
      </c>
      <c r="AO114" s="299" t="s">
        <v>101</v>
      </c>
      <c r="AP114" s="288"/>
      <c r="AQ114" s="288"/>
      <c r="AR114" s="308">
        <v>5</v>
      </c>
      <c r="AS114" s="289">
        <v>6.99</v>
      </c>
      <c r="AT114" s="308">
        <v>5</v>
      </c>
      <c r="AU114" s="289">
        <v>6.99</v>
      </c>
      <c r="AV114" s="306">
        <v>2</v>
      </c>
      <c r="AW114" s="278">
        <v>2.99</v>
      </c>
      <c r="AX114" s="308">
        <v>5</v>
      </c>
      <c r="AY114" s="289">
        <v>6.99</v>
      </c>
      <c r="AZ114" s="306">
        <v>3</v>
      </c>
      <c r="BA114" s="278">
        <v>3.99</v>
      </c>
      <c r="BB114" s="288"/>
      <c r="BC114" s="288"/>
      <c r="BD114" s="292">
        <v>43644</v>
      </c>
      <c r="BE114" s="163"/>
      <c r="BF114" s="163"/>
      <c r="BG114" s="163"/>
    </row>
    <row r="115" spans="38:59" x14ac:dyDescent="0.25">
      <c r="AL115" s="273" t="s">
        <v>587</v>
      </c>
      <c r="AM115" s="267">
        <v>16</v>
      </c>
      <c r="AN115" s="274">
        <f>88+[1]Jugadores!AM33-2254-112-112+6-112</f>
        <v>-2496</v>
      </c>
      <c r="AO115" s="299" t="s">
        <v>192</v>
      </c>
      <c r="AP115" s="288"/>
      <c r="AQ115" s="277">
        <v>2.99</v>
      </c>
      <c r="AR115" s="308">
        <v>4</v>
      </c>
      <c r="AS115" s="289">
        <v>6.99</v>
      </c>
      <c r="AT115" s="288"/>
      <c r="AU115" s="288"/>
      <c r="AV115" s="309">
        <v>3</v>
      </c>
      <c r="AW115" s="281">
        <v>3.99</v>
      </c>
      <c r="AX115" s="288"/>
      <c r="AY115" s="277">
        <v>4.99</v>
      </c>
      <c r="AZ115" s="308">
        <v>2</v>
      </c>
      <c r="BA115" s="288"/>
      <c r="BB115" s="288"/>
      <c r="BC115" s="288"/>
      <c r="BD115" s="292">
        <v>46252</v>
      </c>
      <c r="BE115" s="163"/>
      <c r="BF115" s="163"/>
      <c r="BG115" s="163"/>
    </row>
    <row r="116" spans="38:59" x14ac:dyDescent="0.25">
      <c r="AL116" s="273" t="s">
        <v>425</v>
      </c>
      <c r="AM116" s="267">
        <v>17</v>
      </c>
      <c r="AN116" s="274">
        <v>3</v>
      </c>
      <c r="AO116" s="299"/>
      <c r="AP116" s="288"/>
      <c r="AQ116" s="288"/>
      <c r="AR116" s="309">
        <v>5</v>
      </c>
      <c r="AS116" s="284">
        <v>5.99</v>
      </c>
      <c r="AT116" s="309">
        <v>4</v>
      </c>
      <c r="AU116" s="281">
        <v>4.99</v>
      </c>
      <c r="AV116" s="309">
        <v>5</v>
      </c>
      <c r="AW116" s="284">
        <v>5.99</v>
      </c>
      <c r="AX116" s="306">
        <v>2</v>
      </c>
      <c r="AY116" s="278">
        <v>2.99</v>
      </c>
      <c r="AZ116" s="288"/>
      <c r="BA116" s="277">
        <v>3.99</v>
      </c>
      <c r="BB116" s="288"/>
      <c r="BC116" s="288"/>
      <c r="BD116" s="292">
        <v>43648</v>
      </c>
    </row>
  </sheetData>
  <mergeCells count="1">
    <mergeCell ref="H31:O31"/>
  </mergeCells>
  <conditionalFormatting sqref="AD3:AI3 AD7:AI10 AD14:AI18 AD21:AI28">
    <cfRule type="cellIs" dxfId="47" priority="701" stopIfTrue="1" operator="between">
      <formula>4</formula>
      <formula>5</formula>
    </cfRule>
    <cfRule type="cellIs" dxfId="46" priority="702" stopIfTrue="1" operator="lessThan">
      <formula>4</formula>
    </cfRule>
    <cfRule type="cellIs" dxfId="45" priority="703" stopIfTrue="1" operator="greaterThan">
      <formula>5</formula>
    </cfRule>
  </conditionalFormatting>
  <conditionalFormatting sqref="F3 F7:F10 F14:F18 F21:F28">
    <cfRule type="cellIs" dxfId="44" priority="700" stopIfTrue="1" operator="greaterThan">
      <formula>50</formula>
    </cfRule>
  </conditionalFormatting>
  <conditionalFormatting sqref="F3 F7:F10 F14:F18 F21:F28">
    <cfRule type="cellIs" dxfId="43" priority="698" stopIfTrue="1" operator="lessThan">
      <formula>1</formula>
    </cfRule>
    <cfRule type="cellIs" dxfId="42" priority="699" stopIfTrue="1" operator="between">
      <formula>1</formula>
      <formula>50</formula>
    </cfRule>
  </conditionalFormatting>
  <conditionalFormatting sqref="AD10:AI10">
    <cfRule type="cellIs" dxfId="41" priority="689" stopIfTrue="1" operator="between">
      <formula>4</formula>
      <formula>5</formula>
    </cfRule>
    <cfRule type="cellIs" dxfId="40" priority="690" stopIfTrue="1" operator="lessThan">
      <formula>4</formula>
    </cfRule>
    <cfRule type="cellIs" dxfId="39" priority="691" stopIfTrue="1" operator="greaterThan">
      <formula>5</formula>
    </cfRule>
  </conditionalFormatting>
  <conditionalFormatting sqref="AD16:AI16">
    <cfRule type="cellIs" dxfId="38" priority="686" stopIfTrue="1" operator="between">
      <formula>4</formula>
      <formula>5</formula>
    </cfRule>
    <cfRule type="cellIs" dxfId="37" priority="687" stopIfTrue="1" operator="lessThan">
      <formula>4</formula>
    </cfRule>
    <cfRule type="cellIs" dxfId="36" priority="688" stopIfTrue="1" operator="greaterThan">
      <formula>5</formula>
    </cfRule>
  </conditionalFormatting>
  <conditionalFormatting sqref="BD31:BD43">
    <cfRule type="cellIs" dxfId="35" priority="30" stopIfTrue="1" operator="lessThan">
      <formula>4</formula>
    </cfRule>
    <cfRule type="cellIs" dxfId="34" priority="31" stopIfTrue="1" operator="greaterThan">
      <formula>6.4</formula>
    </cfRule>
  </conditionalFormatting>
  <conditionalFormatting sqref="BD31:BD43">
    <cfRule type="cellIs" dxfId="33" priority="28" stopIfTrue="1" operator="lessThan">
      <formula>4</formula>
    </cfRule>
    <cfRule type="cellIs" dxfId="32" priority="29" stopIfTrue="1" operator="greaterThan">
      <formula>6.4</formula>
    </cfRule>
  </conditionalFormatting>
  <conditionalFormatting sqref="BD31:BD43">
    <cfRule type="cellIs" dxfId="31" priority="26" stopIfTrue="1" operator="lessThan">
      <formula>4</formula>
    </cfRule>
    <cfRule type="cellIs" dxfId="30" priority="27" stopIfTrue="1" operator="greaterThan">
      <formula>6.4</formula>
    </cfRule>
  </conditionalFormatting>
  <conditionalFormatting sqref="BD31:BD43">
    <cfRule type="cellIs" dxfId="29" priority="24" stopIfTrue="1" operator="lessThan">
      <formula>4</formula>
    </cfRule>
    <cfRule type="cellIs" dxfId="28" priority="25" stopIfTrue="1" operator="greaterThan">
      <formula>6.4</formula>
    </cfRule>
  </conditionalFormatting>
  <conditionalFormatting sqref="BD31:BD43">
    <cfRule type="cellIs" dxfId="27" priority="22" stopIfTrue="1" operator="lessThan">
      <formula>4</formula>
    </cfRule>
    <cfRule type="cellIs" dxfId="26" priority="23" stopIfTrue="1" operator="greaterThan">
      <formula>6.4</formula>
    </cfRule>
  </conditionalFormatting>
  <conditionalFormatting sqref="BD31:BD43">
    <cfRule type="cellIs" dxfId="25" priority="20" stopIfTrue="1" operator="lessThan">
      <formula>4</formula>
    </cfRule>
    <cfRule type="cellIs" dxfId="24" priority="21" stopIfTrue="1" operator="greaterThan">
      <formula>6.4</formula>
    </cfRule>
  </conditionalFormatting>
  <conditionalFormatting sqref="BD31:BD43">
    <cfRule type="cellIs" dxfId="23" priority="18" stopIfTrue="1" operator="lessThan">
      <formula>4</formula>
    </cfRule>
    <cfRule type="cellIs" dxfId="22" priority="19" stopIfTrue="1" operator="greaterThan">
      <formula>6.4</formula>
    </cfRule>
  </conditionalFormatting>
  <conditionalFormatting sqref="AD14:AI14">
    <cfRule type="cellIs" dxfId="21" priority="7" stopIfTrue="1" operator="between">
      <formula>4</formula>
      <formula>5</formula>
    </cfRule>
    <cfRule type="cellIs" dxfId="20" priority="8" stopIfTrue="1" operator="lessThan">
      <formula>4</formula>
    </cfRule>
    <cfRule type="cellIs" dxfId="19" priority="9" stopIfTrue="1" operator="greaterThan">
      <formula>5</formula>
    </cfRule>
  </conditionalFormatting>
  <conditionalFormatting sqref="F14">
    <cfRule type="cellIs" dxfId="18" priority="3" stopIfTrue="1" operator="greaterThan">
      <formula>50</formula>
    </cfRule>
  </conditionalFormatting>
  <conditionalFormatting sqref="F14">
    <cfRule type="cellIs" dxfId="17" priority="1" stopIfTrue="1" operator="lessThan">
      <formula>1</formula>
    </cfRule>
    <cfRule type="cellIs" dxfId="16" priority="2" stopIfTrue="1" operator="between">
      <formula>1</formula>
      <formula>50</formula>
    </cfRule>
  </conditionalFormatting>
  <conditionalFormatting sqref="Y3:Z3 Y7:Z10 Y14:Z18 Y21:Z28">
    <cfRule type="colorScale" priority="5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P16" sqref="P16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131110</v>
      </c>
      <c r="AH1" s="90">
        <f>SUM(AH3:AH17)</f>
        <v>178515.48</v>
      </c>
    </row>
    <row r="2" spans="1:45" x14ac:dyDescent="0.25">
      <c r="A2" s="124" t="s">
        <v>96</v>
      </c>
      <c r="B2" s="124" t="s">
        <v>2</v>
      </c>
      <c r="C2" s="124" t="s">
        <v>64</v>
      </c>
      <c r="D2" s="124" t="s">
        <v>97</v>
      </c>
      <c r="E2" s="124" t="s">
        <v>197</v>
      </c>
      <c r="F2" s="124" t="s">
        <v>198</v>
      </c>
      <c r="G2" s="124" t="s">
        <v>15</v>
      </c>
      <c r="H2" s="124" t="s">
        <v>16</v>
      </c>
      <c r="I2" s="124" t="s">
        <v>17</v>
      </c>
      <c r="J2" s="124" t="s">
        <v>18</v>
      </c>
      <c r="K2" s="124" t="s">
        <v>19</v>
      </c>
      <c r="L2" s="124" t="s">
        <v>20</v>
      </c>
      <c r="M2" s="124" t="s">
        <v>6</v>
      </c>
      <c r="N2" s="124" t="s">
        <v>50</v>
      </c>
      <c r="O2" s="124" t="s">
        <v>199</v>
      </c>
      <c r="P2" s="124" t="s">
        <v>200</v>
      </c>
      <c r="Q2" s="124" t="s">
        <v>201</v>
      </c>
      <c r="R2" s="124" t="s">
        <v>202</v>
      </c>
      <c r="S2" s="124" t="s">
        <v>203</v>
      </c>
      <c r="T2" s="124" t="s">
        <v>204</v>
      </c>
      <c r="U2" s="124" t="s">
        <v>205</v>
      </c>
      <c r="V2" s="124" t="s">
        <v>206</v>
      </c>
      <c r="X2" s="10" t="s">
        <v>96</v>
      </c>
      <c r="Y2" s="10" t="s">
        <v>197</v>
      </c>
      <c r="Z2" s="10" t="s">
        <v>198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199</v>
      </c>
      <c r="AJ2" s="10" t="s">
        <v>200</v>
      </c>
      <c r="AK2" s="10" t="s">
        <v>201</v>
      </c>
      <c r="AL2" s="10" t="s">
        <v>202</v>
      </c>
      <c r="AM2" s="10" t="s">
        <v>203</v>
      </c>
      <c r="AN2" s="10" t="s">
        <v>204</v>
      </c>
      <c r="AO2" s="10" t="s">
        <v>205</v>
      </c>
      <c r="AP2" s="10" t="s">
        <v>206</v>
      </c>
    </row>
    <row r="3" spans="1:45" x14ac:dyDescent="0.25">
      <c r="A3" t="s">
        <v>28</v>
      </c>
      <c r="B3" s="15" t="s">
        <v>27</v>
      </c>
      <c r="C3" s="17"/>
      <c r="D3" s="17" t="s">
        <v>360</v>
      </c>
      <c r="E3" s="3">
        <f>Plantilla!E4</f>
        <v>22</v>
      </c>
      <c r="F3" s="25">
        <f ca="1">Plantilla!F4</f>
        <v>109</v>
      </c>
      <c r="G3" s="105">
        <f>Plantilla!X4</f>
        <v>15</v>
      </c>
      <c r="H3" s="105">
        <f>Plantilla!Y4</f>
        <v>11.111111111111111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0">
        <v>51.5</v>
      </c>
      <c r="P3" s="120">
        <v>49</v>
      </c>
      <c r="Q3" s="120">
        <v>0</v>
      </c>
      <c r="R3" s="89">
        <v>0</v>
      </c>
      <c r="S3" s="89">
        <v>0</v>
      </c>
      <c r="T3" s="89">
        <v>0</v>
      </c>
      <c r="U3" s="89">
        <v>0</v>
      </c>
      <c r="V3" s="127">
        <f>SUM(O3:U3)</f>
        <v>100.5</v>
      </c>
      <c r="X3" t="s">
        <v>28</v>
      </c>
      <c r="Y3" s="17">
        <f>E3+1</f>
        <v>23</v>
      </c>
      <c r="Z3" s="3">
        <f ca="1">F3+(7*$AR$8)-122</f>
        <v>50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0">
        <f>O3</f>
        <v>51.5</v>
      </c>
      <c r="AJ3" s="120">
        <f>P3+$AR$8</f>
        <v>58</v>
      </c>
      <c r="AK3" s="120">
        <f t="shared" ref="AK3:AO3" si="1">Q3</f>
        <v>0</v>
      </c>
      <c r="AL3" s="120">
        <f t="shared" si="1"/>
        <v>0</v>
      </c>
      <c r="AM3" s="120">
        <f t="shared" si="1"/>
        <v>0</v>
      </c>
      <c r="AN3" s="120">
        <f t="shared" si="1"/>
        <v>0</v>
      </c>
      <c r="AO3" s="120">
        <f t="shared" si="1"/>
        <v>0</v>
      </c>
      <c r="AP3" s="127">
        <f>SUM(AI3:AO3)</f>
        <v>109.5</v>
      </c>
    </row>
    <row r="4" spans="1:45" x14ac:dyDescent="0.25">
      <c r="A4" t="s">
        <v>31</v>
      </c>
      <c r="B4" s="15" t="s">
        <v>29</v>
      </c>
      <c r="C4" s="3"/>
      <c r="D4" s="3" t="s">
        <v>349</v>
      </c>
      <c r="E4" s="3">
        <f>Plantilla!E6</f>
        <v>22</v>
      </c>
      <c r="F4" s="3">
        <f ca="1">Plantilla!F6</f>
        <v>106</v>
      </c>
      <c r="G4" s="105">
        <f>Plantilla!X6</f>
        <v>0</v>
      </c>
      <c r="H4" s="105">
        <f>Plantilla!Y6</f>
        <v>15</v>
      </c>
      <c r="I4" s="105">
        <f>Plantilla!Z6</f>
        <v>5</v>
      </c>
      <c r="J4" s="105">
        <f>Plantilla!AA6</f>
        <v>5.4</v>
      </c>
      <c r="K4" s="105">
        <f>Plantilla!AB6</f>
        <v>6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0">
        <v>0</v>
      </c>
      <c r="P4" s="120">
        <v>95</v>
      </c>
      <c r="Q4" s="120">
        <v>9</v>
      </c>
      <c r="R4" s="89">
        <v>6</v>
      </c>
      <c r="S4" s="89">
        <v>10</v>
      </c>
      <c r="T4" s="89">
        <v>0</v>
      </c>
      <c r="U4" s="89">
        <v>0</v>
      </c>
      <c r="V4" s="127">
        <f t="shared" ref="V4:V13" si="2">SUM(O4:U4)</f>
        <v>120</v>
      </c>
      <c r="X4" t="s">
        <v>31</v>
      </c>
      <c r="Y4" s="17">
        <f t="shared" ref="Y4:Y15" si="3">E4+1</f>
        <v>23</v>
      </c>
      <c r="Z4" s="3">
        <f t="shared" ref="Z4:Z15" ca="1" si="4">F4+(7*$AR$8)-122</f>
        <v>47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2">
        <f t="shared" ref="AI4:AI18" si="6">O4</f>
        <v>0</v>
      </c>
      <c r="AJ4" s="122">
        <f t="shared" ref="AJ4:AJ15" si="7">P4+$AR$8</f>
        <v>104</v>
      </c>
      <c r="AK4" s="122">
        <f t="shared" ref="AK4:AK18" si="8">Q4</f>
        <v>9</v>
      </c>
      <c r="AL4" s="122">
        <f t="shared" ref="AL4:AL18" si="9">R4</f>
        <v>6</v>
      </c>
      <c r="AM4" s="122">
        <f t="shared" ref="AM4:AM18" si="10">S4</f>
        <v>10</v>
      </c>
      <c r="AN4" s="122">
        <f t="shared" ref="AN4:AN18" si="11">T4</f>
        <v>0</v>
      </c>
      <c r="AO4" s="122">
        <f t="shared" ref="AO4:AO18" si="12">U4</f>
        <v>0</v>
      </c>
      <c r="AP4" s="127">
        <f>SUM(AI4:AO4)</f>
        <v>129</v>
      </c>
    </row>
    <row r="5" spans="1:45" x14ac:dyDescent="0.25">
      <c r="A5" t="s">
        <v>32</v>
      </c>
      <c r="B5" s="15" t="s">
        <v>29</v>
      </c>
      <c r="C5" s="3"/>
      <c r="D5" s="3" t="s">
        <v>350</v>
      </c>
      <c r="E5" s="3">
        <f>Plantilla!E8</f>
        <v>23</v>
      </c>
      <c r="F5" s="3">
        <f ca="1">Plantilla!F8</f>
        <v>25</v>
      </c>
      <c r="G5" s="105">
        <f>Plantilla!X8</f>
        <v>0</v>
      </c>
      <c r="H5" s="105">
        <f>Plantilla!Y8</f>
        <v>13.083333333333334</v>
      </c>
      <c r="I5" s="105">
        <f>Plantilla!Z8</f>
        <v>3</v>
      </c>
      <c r="J5" s="105">
        <f>Plantilla!AA8</f>
        <v>7.1999999999999993</v>
      </c>
      <c r="K5" s="105">
        <f>Plantilla!AB8</f>
        <v>10.125</v>
      </c>
      <c r="L5" s="105">
        <f>Plantilla!AC8</f>
        <v>3</v>
      </c>
      <c r="M5" s="105">
        <f>Plantilla!AD8</f>
        <v>2</v>
      </c>
      <c r="N5" s="42">
        <f>Plantilla!V8</f>
        <v>11670</v>
      </c>
      <c r="O5" s="120">
        <v>0</v>
      </c>
      <c r="P5" s="120">
        <v>68</v>
      </c>
      <c r="Q5" s="120">
        <v>3</v>
      </c>
      <c r="R5" s="89">
        <v>11.5</v>
      </c>
      <c r="S5" s="89">
        <v>30</v>
      </c>
      <c r="T5" s="89">
        <v>2</v>
      </c>
      <c r="U5" s="89">
        <v>0</v>
      </c>
      <c r="V5" s="127">
        <f>SUM(O5:U5)</f>
        <v>114.5</v>
      </c>
      <c r="X5" t="s">
        <v>32</v>
      </c>
      <c r="Y5" s="17">
        <f t="shared" si="3"/>
        <v>24</v>
      </c>
      <c r="Z5" s="3">
        <f t="shared" ca="1" si="4"/>
        <v>-34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2">
        <f t="shared" si="6"/>
        <v>0</v>
      </c>
      <c r="AJ5" s="122">
        <f t="shared" si="7"/>
        <v>77</v>
      </c>
      <c r="AK5" s="122">
        <f t="shared" si="8"/>
        <v>3</v>
      </c>
      <c r="AL5" s="122">
        <f t="shared" si="9"/>
        <v>11.5</v>
      </c>
      <c r="AM5" s="122">
        <f t="shared" si="10"/>
        <v>30</v>
      </c>
      <c r="AN5" s="122">
        <f t="shared" si="11"/>
        <v>2</v>
      </c>
      <c r="AO5" s="122">
        <f t="shared" si="12"/>
        <v>0</v>
      </c>
      <c r="AP5" s="127">
        <f>SUM(AI5:AO5)</f>
        <v>123.5</v>
      </c>
    </row>
    <row r="6" spans="1:45" x14ac:dyDescent="0.25">
      <c r="A6" t="s">
        <v>38</v>
      </c>
      <c r="B6" s="15" t="s">
        <v>29</v>
      </c>
      <c r="C6" s="3"/>
      <c r="D6" s="3" t="s">
        <v>353</v>
      </c>
      <c r="E6" s="3">
        <f>Plantilla!E7</f>
        <v>22</v>
      </c>
      <c r="F6" s="25">
        <f ca="1">Plantilla!F7</f>
        <v>87</v>
      </c>
      <c r="G6" s="105">
        <f>Plantilla!X7</f>
        <v>0</v>
      </c>
      <c r="H6" s="105">
        <f>Plantilla!Y7</f>
        <v>14.9375</v>
      </c>
      <c r="I6" s="105">
        <f>Plantilla!Z7</f>
        <v>5</v>
      </c>
      <c r="J6" s="105">
        <f>Plantilla!AA7</f>
        <v>7</v>
      </c>
      <c r="K6" s="105">
        <f>Plantilla!AB7</f>
        <v>5.25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0">
        <v>0</v>
      </c>
      <c r="P6" s="120">
        <v>94</v>
      </c>
      <c r="Q6" s="120">
        <v>9</v>
      </c>
      <c r="R6" s="89">
        <v>10.5</v>
      </c>
      <c r="S6" s="89">
        <v>8</v>
      </c>
      <c r="T6" s="89">
        <v>0</v>
      </c>
      <c r="U6" s="89">
        <v>0</v>
      </c>
      <c r="V6" s="127">
        <f>SUM(O6:U6)</f>
        <v>121.5</v>
      </c>
      <c r="X6" t="s">
        <v>38</v>
      </c>
      <c r="Y6" s="17">
        <f t="shared" si="3"/>
        <v>23</v>
      </c>
      <c r="Z6" s="3">
        <f t="shared" ca="1" si="4"/>
        <v>28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2">
        <f t="shared" si="6"/>
        <v>0</v>
      </c>
      <c r="AJ6" s="122">
        <f t="shared" si="7"/>
        <v>103</v>
      </c>
      <c r="AK6" s="122">
        <f t="shared" si="8"/>
        <v>9</v>
      </c>
      <c r="AL6" s="122">
        <f t="shared" si="9"/>
        <v>10.5</v>
      </c>
      <c r="AM6" s="122">
        <f t="shared" si="10"/>
        <v>8</v>
      </c>
      <c r="AN6" s="122">
        <f t="shared" si="11"/>
        <v>0</v>
      </c>
      <c r="AO6" s="122">
        <f t="shared" si="12"/>
        <v>0</v>
      </c>
      <c r="AP6" s="127">
        <f>SUM(AI6:AO6)</f>
        <v>130.5</v>
      </c>
    </row>
    <row r="7" spans="1:45" x14ac:dyDescent="0.25">
      <c r="A7" t="s">
        <v>40</v>
      </c>
      <c r="B7" s="15" t="s">
        <v>29</v>
      </c>
      <c r="C7" s="3"/>
      <c r="D7" s="3" t="s">
        <v>357</v>
      </c>
      <c r="E7" s="3">
        <f>Plantilla!E9</f>
        <v>23</v>
      </c>
      <c r="F7" s="25">
        <f ca="1">Plantilla!F9</f>
        <v>10</v>
      </c>
      <c r="G7" s="105">
        <f>Plantilla!X9</f>
        <v>0</v>
      </c>
      <c r="H7" s="105">
        <f>Plantilla!Y9</f>
        <v>11.111111111111111</v>
      </c>
      <c r="I7" s="105">
        <f>Plantilla!Z9</f>
        <v>11</v>
      </c>
      <c r="J7" s="105">
        <f>Plantilla!AA9</f>
        <v>4</v>
      </c>
      <c r="K7" s="105">
        <f>Plantilla!AB9</f>
        <v>9.1428571428571423</v>
      </c>
      <c r="L7" s="105">
        <f>Plantilla!AC9</f>
        <v>4</v>
      </c>
      <c r="M7" s="105">
        <f>Plantilla!AD9</f>
        <v>1</v>
      </c>
      <c r="N7" s="42">
        <f>Plantilla!V9</f>
        <v>7670</v>
      </c>
      <c r="O7" s="120">
        <v>0</v>
      </c>
      <c r="P7" s="120">
        <v>47</v>
      </c>
      <c r="Q7" s="120">
        <v>40</v>
      </c>
      <c r="R7" s="89">
        <v>3.5</v>
      </c>
      <c r="S7" s="89">
        <v>24</v>
      </c>
      <c r="T7" s="89">
        <v>5</v>
      </c>
      <c r="U7" s="89">
        <v>0</v>
      </c>
      <c r="V7" s="127">
        <f t="shared" si="2"/>
        <v>119.5</v>
      </c>
      <c r="X7" t="s">
        <v>40</v>
      </c>
      <c r="Y7" s="17">
        <f t="shared" si="3"/>
        <v>24</v>
      </c>
      <c r="Z7" s="3">
        <f t="shared" ca="1" si="4"/>
        <v>-49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2">
        <f t="shared" si="6"/>
        <v>0</v>
      </c>
      <c r="AJ7" s="122">
        <f t="shared" si="7"/>
        <v>56</v>
      </c>
      <c r="AK7" s="122">
        <f t="shared" si="8"/>
        <v>40</v>
      </c>
      <c r="AL7" s="122">
        <f t="shared" si="9"/>
        <v>3.5</v>
      </c>
      <c r="AM7" s="122">
        <f t="shared" si="10"/>
        <v>24</v>
      </c>
      <c r="AN7" s="122">
        <f t="shared" si="11"/>
        <v>5</v>
      </c>
      <c r="AO7" s="122">
        <f t="shared" si="12"/>
        <v>0</v>
      </c>
      <c r="AP7" s="127">
        <f t="shared" ref="AP7:AP13" si="13">SUM(AI7:AO7)</f>
        <v>128.5</v>
      </c>
      <c r="AR7" s="106" t="s">
        <v>242</v>
      </c>
      <c r="AS7" s="106" t="s">
        <v>243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0">
        <v>0</v>
      </c>
      <c r="P8" s="120">
        <v>0</v>
      </c>
      <c r="Q8" s="120">
        <v>0</v>
      </c>
      <c r="R8" s="89">
        <v>0</v>
      </c>
      <c r="S8" s="89">
        <v>0</v>
      </c>
      <c r="T8" s="89">
        <v>0</v>
      </c>
      <c r="U8" s="89">
        <v>0</v>
      </c>
      <c r="V8" s="127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2">
        <f t="shared" si="6"/>
        <v>0</v>
      </c>
      <c r="AJ8" s="122">
        <v>0</v>
      </c>
      <c r="AK8" s="122">
        <f t="shared" si="8"/>
        <v>0</v>
      </c>
      <c r="AL8" s="122">
        <f t="shared" si="9"/>
        <v>0</v>
      </c>
      <c r="AM8" s="122">
        <f t="shared" si="10"/>
        <v>0</v>
      </c>
      <c r="AN8" s="122">
        <f t="shared" si="11"/>
        <v>0</v>
      </c>
      <c r="AO8" s="122">
        <f t="shared" si="12"/>
        <v>0</v>
      </c>
      <c r="AP8" s="127">
        <f t="shared" si="13"/>
        <v>0</v>
      </c>
      <c r="AQ8" s="106" t="s">
        <v>29</v>
      </c>
      <c r="AR8" s="60">
        <v>9</v>
      </c>
      <c r="AS8" s="125">
        <f>AR8/16</f>
        <v>0.5625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341</v>
      </c>
      <c r="E9" s="3">
        <f>Plantilla!E11</f>
        <v>22</v>
      </c>
      <c r="F9" s="3">
        <f ca="1">Plantilla!F11</f>
        <v>102</v>
      </c>
      <c r="G9" s="105">
        <f>Plantilla!X11</f>
        <v>0</v>
      </c>
      <c r="H9" s="105">
        <f>Plantilla!Y11</f>
        <v>12.4</v>
      </c>
      <c r="I9" s="105">
        <f>Plantilla!Z11</f>
        <v>4</v>
      </c>
      <c r="J9" s="105">
        <f>Plantilla!AA11</f>
        <v>12.666666666666666</v>
      </c>
      <c r="K9" s="105">
        <f>Plantilla!AB11</f>
        <v>4.5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0">
        <v>0</v>
      </c>
      <c r="P9" s="120">
        <v>60</v>
      </c>
      <c r="Q9" s="120">
        <v>6</v>
      </c>
      <c r="R9" s="89">
        <v>40.5</v>
      </c>
      <c r="S9" s="89">
        <v>6</v>
      </c>
      <c r="T9" s="89">
        <v>16</v>
      </c>
      <c r="U9" s="89">
        <v>1</v>
      </c>
      <c r="V9" s="127">
        <f t="shared" si="2"/>
        <v>129.5</v>
      </c>
      <c r="X9" t="s">
        <v>34</v>
      </c>
      <c r="Y9" s="17">
        <f t="shared" si="3"/>
        <v>23</v>
      </c>
      <c r="Z9" s="3">
        <f t="shared" ca="1" si="4"/>
        <v>43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2">
        <f t="shared" si="6"/>
        <v>0</v>
      </c>
      <c r="AJ9" s="122">
        <f t="shared" si="7"/>
        <v>69</v>
      </c>
      <c r="AK9" s="122">
        <f t="shared" si="8"/>
        <v>6</v>
      </c>
      <c r="AL9" s="122">
        <f t="shared" si="9"/>
        <v>40.5</v>
      </c>
      <c r="AM9" s="122">
        <f t="shared" si="10"/>
        <v>6</v>
      </c>
      <c r="AN9" s="122">
        <f t="shared" si="11"/>
        <v>16</v>
      </c>
      <c r="AO9" s="122">
        <f t="shared" si="12"/>
        <v>1</v>
      </c>
      <c r="AP9" s="127">
        <f t="shared" si="13"/>
        <v>138.5</v>
      </c>
      <c r="AR9" s="126"/>
      <c r="AS9" s="126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208</v>
      </c>
      <c r="E10" s="3">
        <f>Plantilla!E13</f>
        <v>22</v>
      </c>
      <c r="F10" s="3">
        <f ca="1">Plantilla!F13</f>
        <v>102</v>
      </c>
      <c r="G10" s="105">
        <f>Plantilla!X13</f>
        <v>0</v>
      </c>
      <c r="H10" s="105">
        <f>Plantilla!Y13</f>
        <v>11.222222222222221</v>
      </c>
      <c r="I10" s="105">
        <f>Plantilla!Z13</f>
        <v>3</v>
      </c>
      <c r="J10" s="105">
        <f>Plantilla!AA13</f>
        <v>12</v>
      </c>
      <c r="K10" s="105">
        <f>Plantilla!AB13</f>
        <v>6.2000000000000011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0">
        <v>0</v>
      </c>
      <c r="P10" s="120">
        <v>48</v>
      </c>
      <c r="Q10" s="120">
        <v>3</v>
      </c>
      <c r="R10" s="89">
        <v>32.5</v>
      </c>
      <c r="S10" s="89">
        <v>11</v>
      </c>
      <c r="T10" s="89">
        <v>17</v>
      </c>
      <c r="U10" s="89">
        <v>1</v>
      </c>
      <c r="V10" s="127">
        <f t="shared" si="2"/>
        <v>112.5</v>
      </c>
      <c r="X10" t="s">
        <v>30</v>
      </c>
      <c r="Y10" s="17">
        <f t="shared" si="3"/>
        <v>23</v>
      </c>
      <c r="Z10" s="3">
        <f t="shared" ca="1" si="4"/>
        <v>43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2">
        <f t="shared" si="6"/>
        <v>0</v>
      </c>
      <c r="AJ10" s="122">
        <f t="shared" si="7"/>
        <v>57</v>
      </c>
      <c r="AK10" s="122">
        <f t="shared" si="8"/>
        <v>3</v>
      </c>
      <c r="AL10" s="122">
        <f t="shared" si="9"/>
        <v>32.5</v>
      </c>
      <c r="AM10" s="122">
        <f t="shared" si="10"/>
        <v>11</v>
      </c>
      <c r="AN10" s="122">
        <f t="shared" si="11"/>
        <v>17</v>
      </c>
      <c r="AO10" s="122">
        <f t="shared" si="12"/>
        <v>1</v>
      </c>
      <c r="AP10" s="127">
        <f t="shared" si="13"/>
        <v>121.5</v>
      </c>
      <c r="AR10" s="126"/>
      <c r="AS10" s="126"/>
    </row>
    <row r="11" spans="1:45" x14ac:dyDescent="0.25">
      <c r="A11" t="s">
        <v>42</v>
      </c>
      <c r="B11" s="15" t="s">
        <v>244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0">
        <v>0</v>
      </c>
      <c r="P11" s="120">
        <v>0</v>
      </c>
      <c r="Q11" s="120">
        <v>0</v>
      </c>
      <c r="R11" s="89">
        <v>0</v>
      </c>
      <c r="S11" s="89">
        <v>0</v>
      </c>
      <c r="T11" s="89">
        <v>0</v>
      </c>
      <c r="U11" s="89">
        <v>0</v>
      </c>
      <c r="V11" s="127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2">
        <f t="shared" si="6"/>
        <v>0</v>
      </c>
      <c r="AJ11" s="122">
        <v>0</v>
      </c>
      <c r="AK11" s="122">
        <f t="shared" si="8"/>
        <v>0</v>
      </c>
      <c r="AL11" s="122">
        <f t="shared" si="9"/>
        <v>0</v>
      </c>
      <c r="AM11" s="122">
        <f t="shared" si="10"/>
        <v>0</v>
      </c>
      <c r="AN11" s="122">
        <f t="shared" si="11"/>
        <v>0</v>
      </c>
      <c r="AO11" s="122">
        <f t="shared" si="12"/>
        <v>0</v>
      </c>
      <c r="AP11" s="127">
        <f t="shared" si="13"/>
        <v>0</v>
      </c>
    </row>
    <row r="12" spans="1:45" x14ac:dyDescent="0.25">
      <c r="A12" t="s">
        <v>36</v>
      </c>
      <c r="B12" s="15" t="s">
        <v>244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0">
        <v>0</v>
      </c>
      <c r="P12" s="120">
        <v>0</v>
      </c>
      <c r="Q12" s="120">
        <v>0</v>
      </c>
      <c r="R12" s="89">
        <v>0</v>
      </c>
      <c r="S12" s="89">
        <v>0</v>
      </c>
      <c r="T12" s="89">
        <v>0</v>
      </c>
      <c r="U12" s="89">
        <v>0</v>
      </c>
      <c r="V12" s="127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2">
        <f t="shared" si="6"/>
        <v>0</v>
      </c>
      <c r="AJ12" s="122">
        <v>0</v>
      </c>
      <c r="AK12" s="122">
        <f t="shared" si="8"/>
        <v>0</v>
      </c>
      <c r="AL12" s="122">
        <f t="shared" si="9"/>
        <v>0</v>
      </c>
      <c r="AM12" s="122">
        <f t="shared" si="10"/>
        <v>0</v>
      </c>
      <c r="AN12" s="122">
        <f t="shared" si="11"/>
        <v>0</v>
      </c>
      <c r="AO12" s="122">
        <f t="shared" si="12"/>
        <v>0</v>
      </c>
      <c r="AP12" s="127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207</v>
      </c>
      <c r="E13" s="3">
        <f>Plantilla!E14</f>
        <v>22</v>
      </c>
      <c r="F13" s="3">
        <f ca="1">Plantilla!F14</f>
        <v>98</v>
      </c>
      <c r="G13" s="105">
        <f>Plantilla!X14</f>
        <v>0</v>
      </c>
      <c r="H13" s="105">
        <f>Plantilla!Y14</f>
        <v>9.8571428571428577</v>
      </c>
      <c r="I13" s="105">
        <f>Plantilla!Z14</f>
        <v>5.7</v>
      </c>
      <c r="J13" s="105">
        <f>Plantilla!AA14</f>
        <v>14.124999999999996</v>
      </c>
      <c r="K13" s="105">
        <f>Plantilla!AB14</f>
        <v>6.2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0">
        <v>0</v>
      </c>
      <c r="P13" s="120">
        <v>36</v>
      </c>
      <c r="Q13" s="120">
        <v>10.5</v>
      </c>
      <c r="R13" s="89">
        <v>47.5</v>
      </c>
      <c r="S13" s="89">
        <v>11</v>
      </c>
      <c r="T13" s="89">
        <v>18</v>
      </c>
      <c r="U13" s="89">
        <v>3</v>
      </c>
      <c r="V13" s="127">
        <f t="shared" si="2"/>
        <v>126</v>
      </c>
      <c r="X13" t="s">
        <v>35</v>
      </c>
      <c r="Y13" s="17">
        <f t="shared" si="3"/>
        <v>23</v>
      </c>
      <c r="Z13" s="3">
        <f t="shared" ca="1" si="4"/>
        <v>39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2">
        <f t="shared" si="6"/>
        <v>0</v>
      </c>
      <c r="AJ13" s="122">
        <f t="shared" si="7"/>
        <v>45</v>
      </c>
      <c r="AK13" s="122">
        <f t="shared" si="8"/>
        <v>10.5</v>
      </c>
      <c r="AL13" s="122">
        <f t="shared" si="9"/>
        <v>47.5</v>
      </c>
      <c r="AM13" s="122">
        <f t="shared" si="10"/>
        <v>11</v>
      </c>
      <c r="AN13" s="122">
        <f t="shared" si="11"/>
        <v>18</v>
      </c>
      <c r="AO13" s="122">
        <f t="shared" si="12"/>
        <v>3</v>
      </c>
      <c r="AP13" s="127">
        <f t="shared" si="13"/>
        <v>135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340</v>
      </c>
      <c r="E14" s="3">
        <f>Plantilla!E12</f>
        <v>22</v>
      </c>
      <c r="F14" s="3">
        <f ca="1">Plantilla!F12</f>
        <v>63</v>
      </c>
      <c r="G14" s="105">
        <f>Plantilla!X12</f>
        <v>0</v>
      </c>
      <c r="H14" s="105">
        <f>Plantilla!Y12</f>
        <v>11.555555555555555</v>
      </c>
      <c r="I14" s="105">
        <f>Plantilla!Z12</f>
        <v>3</v>
      </c>
      <c r="J14" s="105">
        <f>Plantilla!AA12</f>
        <v>13</v>
      </c>
      <c r="K14" s="105">
        <f>Plantilla!AB12</f>
        <v>7.25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0">
        <v>0</v>
      </c>
      <c r="P14" s="120">
        <v>51</v>
      </c>
      <c r="Q14" s="120">
        <v>3</v>
      </c>
      <c r="R14" s="89">
        <v>39.5</v>
      </c>
      <c r="S14" s="89">
        <v>15</v>
      </c>
      <c r="T14" s="89">
        <v>16</v>
      </c>
      <c r="U14" s="89">
        <v>1</v>
      </c>
      <c r="V14" s="127">
        <f>SUM(O14:U14)</f>
        <v>125.5</v>
      </c>
      <c r="X14" t="s">
        <v>39</v>
      </c>
      <c r="Y14" s="17">
        <f>E14</f>
        <v>22</v>
      </c>
      <c r="Z14" s="3">
        <f ca="1">F14+(7*$AR$8)</f>
        <v>126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2">
        <f t="shared" si="6"/>
        <v>0</v>
      </c>
      <c r="AJ14" s="122">
        <f t="shared" si="7"/>
        <v>60</v>
      </c>
      <c r="AK14" s="122">
        <f t="shared" si="8"/>
        <v>3</v>
      </c>
      <c r="AL14" s="122">
        <f t="shared" si="9"/>
        <v>39.5</v>
      </c>
      <c r="AM14" s="122">
        <f t="shared" si="10"/>
        <v>15</v>
      </c>
      <c r="AN14" s="122">
        <f t="shared" si="11"/>
        <v>16</v>
      </c>
      <c r="AO14" s="122">
        <f t="shared" si="12"/>
        <v>1</v>
      </c>
      <c r="AP14" s="127">
        <f>SUM(AI14:AO14)</f>
        <v>134.5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209</v>
      </c>
      <c r="E15" s="3">
        <f>Plantilla!E15</f>
        <v>22</v>
      </c>
      <c r="F15" s="3">
        <f ca="1">Plantilla!F15</f>
        <v>98</v>
      </c>
      <c r="G15" s="105">
        <f>Plantilla!X15</f>
        <v>0</v>
      </c>
      <c r="H15" s="105">
        <f>Plantilla!Y15</f>
        <v>10.25</v>
      </c>
      <c r="I15" s="105">
        <f>Plantilla!Z15</f>
        <v>5</v>
      </c>
      <c r="J15" s="105">
        <f>Plantilla!AA15</f>
        <v>13.19</v>
      </c>
      <c r="K15" s="105">
        <f>Plantilla!AB15</f>
        <v>5.25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0">
        <v>0</v>
      </c>
      <c r="P15" s="120">
        <v>39</v>
      </c>
      <c r="Q15" s="120">
        <v>9</v>
      </c>
      <c r="R15" s="89">
        <v>39.880000000000003</v>
      </c>
      <c r="S15" s="89">
        <v>8</v>
      </c>
      <c r="T15" s="89">
        <v>19</v>
      </c>
      <c r="U15" s="89">
        <v>1</v>
      </c>
      <c r="V15" s="127">
        <f>SUM(O15:U15)</f>
        <v>115.88</v>
      </c>
      <c r="X15" t="s">
        <v>33</v>
      </c>
      <c r="Y15" s="17">
        <f t="shared" si="3"/>
        <v>23</v>
      </c>
      <c r="Z15" s="3">
        <f t="shared" ca="1" si="4"/>
        <v>39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2">
        <f t="shared" si="6"/>
        <v>0</v>
      </c>
      <c r="AJ15" s="122">
        <f t="shared" si="7"/>
        <v>48</v>
      </c>
      <c r="AK15" s="122">
        <f t="shared" si="8"/>
        <v>9</v>
      </c>
      <c r="AL15" s="122">
        <f t="shared" si="9"/>
        <v>39.880000000000003</v>
      </c>
      <c r="AM15" s="122">
        <f t="shared" si="10"/>
        <v>8</v>
      </c>
      <c r="AN15" s="122">
        <f t="shared" si="11"/>
        <v>19</v>
      </c>
      <c r="AO15" s="122">
        <f t="shared" si="12"/>
        <v>1</v>
      </c>
      <c r="AP15" s="127">
        <f>SUM(AI15:AO15)</f>
        <v>124.88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0">
        <v>0</v>
      </c>
      <c r="P16" s="120">
        <v>0</v>
      </c>
      <c r="Q16" s="120">
        <v>0</v>
      </c>
      <c r="R16" s="89">
        <v>0</v>
      </c>
      <c r="S16" s="89">
        <v>0</v>
      </c>
      <c r="T16" s="89">
        <v>0</v>
      </c>
      <c r="U16" s="89">
        <v>0</v>
      </c>
      <c r="V16" s="127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2">
        <f t="shared" si="6"/>
        <v>0</v>
      </c>
      <c r="AJ16" s="122">
        <v>0</v>
      </c>
      <c r="AK16" s="122">
        <f t="shared" si="8"/>
        <v>0</v>
      </c>
      <c r="AL16" s="122">
        <f t="shared" si="9"/>
        <v>0</v>
      </c>
      <c r="AM16" s="122">
        <f t="shared" si="10"/>
        <v>0</v>
      </c>
      <c r="AN16" s="122">
        <f t="shared" si="11"/>
        <v>0</v>
      </c>
      <c r="AO16" s="122">
        <f t="shared" si="12"/>
        <v>0</v>
      </c>
      <c r="AP16" s="127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0">
        <v>0</v>
      </c>
      <c r="P17" s="120">
        <v>0</v>
      </c>
      <c r="Q17" s="120">
        <v>0</v>
      </c>
      <c r="R17" s="89">
        <v>0</v>
      </c>
      <c r="S17" s="89">
        <v>0</v>
      </c>
      <c r="T17" s="89">
        <v>0</v>
      </c>
      <c r="U17" s="89">
        <v>0</v>
      </c>
      <c r="V17" s="127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2">
        <f t="shared" si="6"/>
        <v>0</v>
      </c>
      <c r="AJ17" s="122">
        <v>0</v>
      </c>
      <c r="AK17" s="122">
        <f t="shared" si="8"/>
        <v>0</v>
      </c>
      <c r="AL17" s="122">
        <f t="shared" si="9"/>
        <v>0</v>
      </c>
      <c r="AM17" s="122">
        <f t="shared" si="10"/>
        <v>0</v>
      </c>
      <c r="AN17" s="122">
        <f t="shared" si="11"/>
        <v>0</v>
      </c>
      <c r="AO17" s="122">
        <f t="shared" si="12"/>
        <v>0</v>
      </c>
      <c r="AP17" s="127">
        <f>SUM(AI17:AO17)</f>
        <v>0</v>
      </c>
    </row>
    <row r="18" spans="1:45" x14ac:dyDescent="0.25">
      <c r="A18" t="s">
        <v>210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0">
        <v>0</v>
      </c>
      <c r="P18" s="120">
        <v>0</v>
      </c>
      <c r="Q18" s="120">
        <v>0</v>
      </c>
      <c r="R18" s="89">
        <v>0</v>
      </c>
      <c r="S18" s="89">
        <v>0</v>
      </c>
      <c r="T18" s="89">
        <v>0</v>
      </c>
      <c r="U18" s="89">
        <v>0</v>
      </c>
      <c r="V18" s="127">
        <f>SUM(O18:U18)</f>
        <v>0</v>
      </c>
      <c r="X18" t="s">
        <v>210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2">
        <f t="shared" si="6"/>
        <v>0</v>
      </c>
      <c r="AJ18" s="122">
        <v>0</v>
      </c>
      <c r="AK18" s="122">
        <f t="shared" si="8"/>
        <v>0</v>
      </c>
      <c r="AL18" s="122">
        <f t="shared" si="9"/>
        <v>0</v>
      </c>
      <c r="AM18" s="122">
        <f t="shared" si="10"/>
        <v>0</v>
      </c>
      <c r="AN18" s="122">
        <f t="shared" si="11"/>
        <v>0</v>
      </c>
      <c r="AO18" s="122">
        <f t="shared" si="12"/>
        <v>0</v>
      </c>
      <c r="AP18" s="127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199</v>
      </c>
      <c r="P20" s="10" t="s">
        <v>200</v>
      </c>
      <c r="Q20" s="10" t="s">
        <v>201</v>
      </c>
      <c r="R20" s="10" t="s">
        <v>202</v>
      </c>
      <c r="S20" s="10" t="s">
        <v>203</v>
      </c>
      <c r="T20" s="10" t="s">
        <v>204</v>
      </c>
      <c r="U20" s="10" t="s">
        <v>205</v>
      </c>
      <c r="V20" s="10" t="s">
        <v>206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199</v>
      </c>
      <c r="AJ20" s="10" t="s">
        <v>200</v>
      </c>
      <c r="AK20" s="10" t="s">
        <v>201</v>
      </c>
      <c r="AL20" s="10" t="s">
        <v>202</v>
      </c>
      <c r="AM20" s="10" t="s">
        <v>203</v>
      </c>
      <c r="AN20" s="10" t="s">
        <v>204</v>
      </c>
      <c r="AO20" s="10" t="s">
        <v>205</v>
      </c>
      <c r="AP20" s="10" t="s">
        <v>206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50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0">
        <f>AI3</f>
        <v>51.5</v>
      </c>
      <c r="P21" s="123">
        <f t="shared" ref="P21:U21" si="24">AJ3</f>
        <v>58</v>
      </c>
      <c r="Q21" s="123">
        <f t="shared" si="24"/>
        <v>0</v>
      </c>
      <c r="R21" s="123">
        <f t="shared" si="24"/>
        <v>0</v>
      </c>
      <c r="S21" s="123">
        <f t="shared" si="24"/>
        <v>0</v>
      </c>
      <c r="T21" s="123">
        <f t="shared" si="24"/>
        <v>0</v>
      </c>
      <c r="U21" s="123">
        <f t="shared" si="24"/>
        <v>0</v>
      </c>
      <c r="V21" s="48">
        <f>SUM(O21:U21)</f>
        <v>109.5</v>
      </c>
      <c r="X21" t="s">
        <v>28</v>
      </c>
      <c r="Y21" s="17">
        <f>E21+2</f>
        <v>25</v>
      </c>
      <c r="Z21" s="17">
        <f ca="1">F21+(($AR$25+$AR$26)*7)-112-112</f>
        <v>29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0">
        <f>O21</f>
        <v>51.5</v>
      </c>
      <c r="AJ21" s="123">
        <f>P21</f>
        <v>58</v>
      </c>
      <c r="AK21" s="120">
        <f t="shared" ref="AK21:AN36" si="26">Q21</f>
        <v>0</v>
      </c>
      <c r="AL21" s="120">
        <f t="shared" si="26"/>
        <v>0</v>
      </c>
      <c r="AM21" s="120">
        <f t="shared" si="26"/>
        <v>0</v>
      </c>
      <c r="AN21" s="120">
        <f t="shared" si="26"/>
        <v>0</v>
      </c>
      <c r="AO21" s="120">
        <f>U21+$AR$26</f>
        <v>15</v>
      </c>
      <c r="AP21" s="48">
        <f>SUM(AI21:AO21)</f>
        <v>124.5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47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6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3">
        <f t="shared" ref="O22:O33" si="36">AI4</f>
        <v>0</v>
      </c>
      <c r="P22" s="123">
        <f t="shared" ref="P22:P33" si="37">AJ4</f>
        <v>104</v>
      </c>
      <c r="Q22" s="123">
        <f t="shared" ref="Q22:Q33" si="38">AK4</f>
        <v>9</v>
      </c>
      <c r="R22" s="123">
        <f t="shared" ref="R22:R33" si="39">AL4</f>
        <v>6</v>
      </c>
      <c r="S22" s="123">
        <f t="shared" ref="S22:S33" si="40">AM4</f>
        <v>10</v>
      </c>
      <c r="T22" s="123">
        <f t="shared" ref="T22:T33" si="41">AN4</f>
        <v>0</v>
      </c>
      <c r="U22" s="123">
        <f t="shared" ref="U22:U33" si="42">AO4</f>
        <v>0</v>
      </c>
      <c r="V22" s="48">
        <f>SUM(O22:U22)</f>
        <v>129</v>
      </c>
      <c r="X22" t="s">
        <v>31</v>
      </c>
      <c r="Y22" s="17">
        <f>E22+1</f>
        <v>24</v>
      </c>
      <c r="Z22" s="17">
        <f ca="1">F22+(($AR$25+$AR$26)*7)-112</f>
        <v>138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0">
        <f t="shared" ref="AI22:AJ36" si="44">O22</f>
        <v>0</v>
      </c>
      <c r="AJ22" s="123">
        <f t="shared" ref="AJ22:AJ33" si="45">P22</f>
        <v>104</v>
      </c>
      <c r="AK22" s="120">
        <f t="shared" si="26"/>
        <v>9</v>
      </c>
      <c r="AL22" s="120">
        <f t="shared" si="26"/>
        <v>6</v>
      </c>
      <c r="AM22" s="120">
        <f>S22+$AR$25</f>
        <v>24</v>
      </c>
      <c r="AN22" s="120">
        <f t="shared" si="26"/>
        <v>0</v>
      </c>
      <c r="AO22" s="123">
        <f t="shared" ref="AO22:AO36" si="46">U22+$AR$26</f>
        <v>15</v>
      </c>
      <c r="AP22" s="48">
        <f>SUM(AI22:AO22)</f>
        <v>158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24</v>
      </c>
      <c r="F23" s="17">
        <f t="shared" ca="1" si="48"/>
        <v>-34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10.125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3">
        <f t="shared" si="36"/>
        <v>0</v>
      </c>
      <c r="P23" s="123">
        <f t="shared" si="37"/>
        <v>77</v>
      </c>
      <c r="Q23" s="123">
        <f t="shared" si="38"/>
        <v>3</v>
      </c>
      <c r="R23" s="123">
        <f t="shared" si="39"/>
        <v>11.5</v>
      </c>
      <c r="S23" s="123">
        <f t="shared" si="40"/>
        <v>30</v>
      </c>
      <c r="T23" s="123">
        <f t="shared" si="41"/>
        <v>2</v>
      </c>
      <c r="U23" s="123">
        <f t="shared" si="42"/>
        <v>0</v>
      </c>
      <c r="V23" s="48">
        <f>SUM(O23:U23)</f>
        <v>123.5</v>
      </c>
      <c r="X23" t="s">
        <v>32</v>
      </c>
      <c r="Y23" s="17">
        <f>E23+2</f>
        <v>26</v>
      </c>
      <c r="Z23" s="17">
        <f ca="1">F23+(($AR$25+$AR$26)*7)-112-112</f>
        <v>-55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0">
        <f t="shared" si="44"/>
        <v>0</v>
      </c>
      <c r="AJ23" s="123">
        <f t="shared" si="45"/>
        <v>77</v>
      </c>
      <c r="AK23" s="120">
        <f t="shared" si="26"/>
        <v>3</v>
      </c>
      <c r="AL23" s="120">
        <f t="shared" si="26"/>
        <v>11.5</v>
      </c>
      <c r="AM23" s="123">
        <f t="shared" ref="AM23:AM36" si="53">S23+$AR$25</f>
        <v>44</v>
      </c>
      <c r="AN23" s="120">
        <f t="shared" si="26"/>
        <v>2</v>
      </c>
      <c r="AO23" s="123">
        <f t="shared" si="46"/>
        <v>15</v>
      </c>
      <c r="AP23" s="48">
        <f>SUM(AI23:AO23)</f>
        <v>152.5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28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5.25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3">
        <f t="shared" si="36"/>
        <v>0</v>
      </c>
      <c r="P24" s="123">
        <f t="shared" si="37"/>
        <v>103</v>
      </c>
      <c r="Q24" s="123">
        <f t="shared" si="38"/>
        <v>9</v>
      </c>
      <c r="R24" s="123">
        <f t="shared" si="39"/>
        <v>10.5</v>
      </c>
      <c r="S24" s="123">
        <f t="shared" si="40"/>
        <v>8</v>
      </c>
      <c r="T24" s="123">
        <f t="shared" si="41"/>
        <v>0</v>
      </c>
      <c r="U24" s="123">
        <f t="shared" si="42"/>
        <v>0</v>
      </c>
      <c r="V24" s="48">
        <f>SUM(O24:U24)</f>
        <v>130.5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119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0">
        <f t="shared" si="44"/>
        <v>0</v>
      </c>
      <c r="AJ24" s="123">
        <f t="shared" si="45"/>
        <v>103</v>
      </c>
      <c r="AK24" s="120">
        <f t="shared" si="26"/>
        <v>9</v>
      </c>
      <c r="AL24" s="120">
        <f t="shared" si="26"/>
        <v>10.5</v>
      </c>
      <c r="AM24" s="123">
        <f t="shared" si="53"/>
        <v>22</v>
      </c>
      <c r="AN24" s="120">
        <f t="shared" si="26"/>
        <v>0</v>
      </c>
      <c r="AO24" s="123">
        <f t="shared" si="46"/>
        <v>15</v>
      </c>
      <c r="AP24" s="48">
        <f>SUM(AI24:AO24)</f>
        <v>159.5</v>
      </c>
      <c r="AQ24" s="106"/>
      <c r="AR24" s="106" t="s">
        <v>242</v>
      </c>
      <c r="AS24" s="106" t="s">
        <v>243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24</v>
      </c>
      <c r="F25" s="17">
        <f t="shared" ca="1" si="55"/>
        <v>-49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9.1428571428571423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3">
        <f t="shared" si="36"/>
        <v>0</v>
      </c>
      <c r="P25" s="123">
        <f t="shared" si="37"/>
        <v>56</v>
      </c>
      <c r="Q25" s="123">
        <f t="shared" si="38"/>
        <v>40</v>
      </c>
      <c r="R25" s="123">
        <f t="shared" si="39"/>
        <v>3.5</v>
      </c>
      <c r="S25" s="123">
        <f t="shared" si="40"/>
        <v>24</v>
      </c>
      <c r="T25" s="123">
        <f t="shared" si="41"/>
        <v>5</v>
      </c>
      <c r="U25" s="123">
        <f t="shared" si="42"/>
        <v>0</v>
      </c>
      <c r="V25" s="48">
        <f t="shared" ref="V25:V31" si="58">SUM(O25:U25)</f>
        <v>128.5</v>
      </c>
      <c r="X25" t="s">
        <v>40</v>
      </c>
      <c r="Y25" s="17">
        <f t="shared" ref="Y25:Y34" si="59">E25+2</f>
        <v>26</v>
      </c>
      <c r="Z25" s="17">
        <f t="shared" ref="Z25:Z34" ca="1" si="60">F25+(($AR$25+$AR$26)*7)-112-112</f>
        <v>-70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0">
        <f t="shared" si="44"/>
        <v>0</v>
      </c>
      <c r="AJ25" s="123">
        <f t="shared" si="45"/>
        <v>56</v>
      </c>
      <c r="AK25" s="120">
        <f t="shared" si="26"/>
        <v>40</v>
      </c>
      <c r="AL25" s="120">
        <f t="shared" si="26"/>
        <v>3.5</v>
      </c>
      <c r="AM25" s="123">
        <f t="shared" si="53"/>
        <v>38</v>
      </c>
      <c r="AN25" s="120">
        <f t="shared" si="26"/>
        <v>5</v>
      </c>
      <c r="AO25" s="123">
        <f t="shared" si="46"/>
        <v>15</v>
      </c>
      <c r="AP25" s="48">
        <f t="shared" ref="AP25:AP31" si="61">SUM(AI25:AO25)</f>
        <v>157.5</v>
      </c>
      <c r="AQ25" s="106" t="s">
        <v>196</v>
      </c>
      <c r="AR25" s="60">
        <v>14</v>
      </c>
      <c r="AS25" s="125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211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3">
        <f t="shared" si="36"/>
        <v>0</v>
      </c>
      <c r="P26" s="123">
        <v>79</v>
      </c>
      <c r="Q26" s="123">
        <v>21</v>
      </c>
      <c r="R26" s="123">
        <f t="shared" si="39"/>
        <v>0</v>
      </c>
      <c r="S26" s="123">
        <v>18</v>
      </c>
      <c r="T26" s="123">
        <f t="shared" si="41"/>
        <v>0</v>
      </c>
      <c r="U26" s="123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0">
        <f t="shared" si="44"/>
        <v>0</v>
      </c>
      <c r="AJ26" s="123">
        <f t="shared" si="45"/>
        <v>79</v>
      </c>
      <c r="AK26" s="120">
        <f t="shared" si="26"/>
        <v>21</v>
      </c>
      <c r="AL26" s="120">
        <f t="shared" si="26"/>
        <v>0</v>
      </c>
      <c r="AM26" s="123">
        <f t="shared" si="53"/>
        <v>32</v>
      </c>
      <c r="AN26" s="120">
        <f t="shared" si="26"/>
        <v>0</v>
      </c>
      <c r="AO26" s="123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5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341</v>
      </c>
      <c r="E27" s="17">
        <f t="shared" ref="E27:F28" si="62">Y9</f>
        <v>23</v>
      </c>
      <c r="F27" s="17">
        <f t="shared" ca="1" si="62"/>
        <v>43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3">
        <f t="shared" si="36"/>
        <v>0</v>
      </c>
      <c r="P27" s="123">
        <f t="shared" si="37"/>
        <v>69</v>
      </c>
      <c r="Q27" s="123">
        <f t="shared" si="38"/>
        <v>6</v>
      </c>
      <c r="R27" s="123">
        <f t="shared" si="39"/>
        <v>40.5</v>
      </c>
      <c r="S27" s="123">
        <f t="shared" si="40"/>
        <v>6</v>
      </c>
      <c r="T27" s="123">
        <f t="shared" si="41"/>
        <v>16</v>
      </c>
      <c r="U27" s="123">
        <f t="shared" si="42"/>
        <v>1</v>
      </c>
      <c r="V27" s="48">
        <f t="shared" si="58"/>
        <v>138.5</v>
      </c>
      <c r="X27" t="s">
        <v>34</v>
      </c>
      <c r="Y27" s="17">
        <f>E27+1</f>
        <v>24</v>
      </c>
      <c r="Z27" s="17">
        <f ca="1">F27+(($AR$25+$AR$26)*7)-112</f>
        <v>134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0">
        <f t="shared" si="44"/>
        <v>0</v>
      </c>
      <c r="AJ27" s="123">
        <f t="shared" si="45"/>
        <v>69</v>
      </c>
      <c r="AK27" s="120">
        <f t="shared" si="26"/>
        <v>6</v>
      </c>
      <c r="AL27" s="120">
        <f t="shared" si="26"/>
        <v>40.5</v>
      </c>
      <c r="AM27" s="123">
        <f t="shared" si="53"/>
        <v>20</v>
      </c>
      <c r="AN27" s="120">
        <f t="shared" si="26"/>
        <v>16</v>
      </c>
      <c r="AO27" s="123">
        <f t="shared" si="46"/>
        <v>16</v>
      </c>
      <c r="AP27" s="48">
        <f t="shared" si="61"/>
        <v>167.5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208</v>
      </c>
      <c r="E28" s="17">
        <f t="shared" si="62"/>
        <v>23</v>
      </c>
      <c r="F28" s="17">
        <f t="shared" ca="1" si="62"/>
        <v>43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6.2000000000000011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3">
        <f t="shared" si="36"/>
        <v>0</v>
      </c>
      <c r="P28" s="123">
        <f t="shared" si="37"/>
        <v>57</v>
      </c>
      <c r="Q28" s="123">
        <f t="shared" si="38"/>
        <v>3</v>
      </c>
      <c r="R28" s="123">
        <f t="shared" si="39"/>
        <v>32.5</v>
      </c>
      <c r="S28" s="123">
        <f t="shared" si="40"/>
        <v>11</v>
      </c>
      <c r="T28" s="123">
        <f t="shared" si="41"/>
        <v>17</v>
      </c>
      <c r="U28" s="123">
        <f t="shared" si="42"/>
        <v>1</v>
      </c>
      <c r="V28" s="48">
        <f t="shared" si="58"/>
        <v>121.5</v>
      </c>
      <c r="X28" t="s">
        <v>30</v>
      </c>
      <c r="Y28" s="17">
        <f>E28+1</f>
        <v>24</v>
      </c>
      <c r="Z28" s="17">
        <f ca="1">F28+(($AR$25+$AR$26)*7)-112</f>
        <v>134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0">
        <f t="shared" si="44"/>
        <v>0</v>
      </c>
      <c r="AJ28" s="123">
        <f t="shared" si="45"/>
        <v>57</v>
      </c>
      <c r="AK28" s="120">
        <f t="shared" si="26"/>
        <v>3</v>
      </c>
      <c r="AL28" s="120">
        <f t="shared" si="26"/>
        <v>32.5</v>
      </c>
      <c r="AM28" s="123">
        <f t="shared" si="53"/>
        <v>25</v>
      </c>
      <c r="AN28" s="120">
        <f t="shared" si="26"/>
        <v>17</v>
      </c>
      <c r="AO28" s="123">
        <f t="shared" si="46"/>
        <v>16</v>
      </c>
      <c r="AP28" s="48">
        <f t="shared" si="61"/>
        <v>150.5</v>
      </c>
      <c r="AQ28" s="106"/>
    </row>
    <row r="29" spans="1:45" x14ac:dyDescent="0.25">
      <c r="A29" t="s">
        <v>42</v>
      </c>
      <c r="B29" s="15" t="s">
        <v>244</v>
      </c>
      <c r="C29" s="3" t="s">
        <v>342</v>
      </c>
      <c r="D29" s="3" t="s">
        <v>361</v>
      </c>
      <c r="E29" s="17">
        <v>23</v>
      </c>
      <c r="F29" s="17">
        <v>50</v>
      </c>
      <c r="G29" s="61">
        <f t="shared" si="2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3">
        <f t="shared" si="36"/>
        <v>0</v>
      </c>
      <c r="P29" s="123">
        <v>67</v>
      </c>
      <c r="Q29" s="123">
        <v>26</v>
      </c>
      <c r="R29" s="123">
        <v>1.5</v>
      </c>
      <c r="S29" s="123">
        <v>10</v>
      </c>
      <c r="T29" s="123">
        <v>5.5</v>
      </c>
      <c r="U29" s="123">
        <v>16</v>
      </c>
      <c r="V29" s="48">
        <f t="shared" si="58"/>
        <v>126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13</v>
      </c>
      <c r="AC29" s="61">
        <f t="shared" si="50"/>
        <v>9</v>
      </c>
      <c r="AD29" s="61">
        <f t="shared" si="51"/>
        <v>3</v>
      </c>
      <c r="AE29" s="61">
        <f>9+5/6</f>
        <v>9.8333333333333339</v>
      </c>
      <c r="AF29" s="61">
        <f t="shared" si="52"/>
        <v>5</v>
      </c>
      <c r="AG29" s="61">
        <v>19</v>
      </c>
      <c r="AH29" s="42">
        <f>(14490+225+200+125+165)*1.049</f>
        <v>15950.044999999998</v>
      </c>
      <c r="AI29" s="120">
        <f t="shared" si="44"/>
        <v>0</v>
      </c>
      <c r="AJ29" s="123">
        <f t="shared" si="45"/>
        <v>67</v>
      </c>
      <c r="AK29" s="120">
        <f t="shared" si="26"/>
        <v>26</v>
      </c>
      <c r="AL29" s="120">
        <f t="shared" si="26"/>
        <v>1.5</v>
      </c>
      <c r="AM29" s="123">
        <f t="shared" si="53"/>
        <v>24</v>
      </c>
      <c r="AN29" s="120">
        <f t="shared" si="26"/>
        <v>5.5</v>
      </c>
      <c r="AO29" s="123">
        <v>31</v>
      </c>
      <c r="AP29" s="48">
        <f t="shared" si="61"/>
        <v>155</v>
      </c>
    </row>
    <row r="30" spans="1:45" x14ac:dyDescent="0.25">
      <c r="A30" t="s">
        <v>36</v>
      </c>
      <c r="B30" s="15" t="s">
        <v>244</v>
      </c>
      <c r="C30" s="3" t="s">
        <v>342</v>
      </c>
      <c r="D30" s="3" t="s">
        <v>361</v>
      </c>
      <c r="E30" s="17">
        <v>23</v>
      </c>
      <c r="F30" s="17">
        <v>50</v>
      </c>
      <c r="G30" s="61">
        <f t="shared" ref="G30" si="63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3">
        <f t="shared" si="36"/>
        <v>0</v>
      </c>
      <c r="P30" s="132">
        <v>67</v>
      </c>
      <c r="Q30" s="132">
        <v>26</v>
      </c>
      <c r="R30" s="132">
        <v>1.5</v>
      </c>
      <c r="S30" s="132">
        <v>10</v>
      </c>
      <c r="T30" s="132">
        <v>5.5</v>
      </c>
      <c r="U30" s="132">
        <v>16</v>
      </c>
      <c r="V30" s="48">
        <f t="shared" si="58"/>
        <v>126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13</v>
      </c>
      <c r="AC30" s="61">
        <f t="shared" si="50"/>
        <v>9</v>
      </c>
      <c r="AD30" s="61">
        <f t="shared" si="51"/>
        <v>3</v>
      </c>
      <c r="AE30" s="61">
        <f>9+5/6</f>
        <v>9.8333333333333339</v>
      </c>
      <c r="AF30" s="61">
        <f t="shared" si="52"/>
        <v>5</v>
      </c>
      <c r="AG30" s="61">
        <v>19</v>
      </c>
      <c r="AH30" s="42">
        <f>(14490+225+200+125+165)*1.049</f>
        <v>15950.044999999998</v>
      </c>
      <c r="AI30" s="120">
        <f t="shared" si="44"/>
        <v>0</v>
      </c>
      <c r="AJ30" s="123">
        <f t="shared" si="45"/>
        <v>67</v>
      </c>
      <c r="AK30" s="120">
        <f t="shared" si="26"/>
        <v>26</v>
      </c>
      <c r="AL30" s="120">
        <f t="shared" si="26"/>
        <v>1.5</v>
      </c>
      <c r="AM30" s="123">
        <f t="shared" si="53"/>
        <v>24</v>
      </c>
      <c r="AN30" s="120">
        <f t="shared" si="26"/>
        <v>5.5</v>
      </c>
      <c r="AO30" s="123">
        <v>31</v>
      </c>
      <c r="AP30" s="48">
        <f t="shared" si="6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207</v>
      </c>
      <c r="E31" s="17">
        <f t="shared" ref="E31:F32" si="64">Y13</f>
        <v>23</v>
      </c>
      <c r="F31" s="17">
        <f t="shared" ca="1" si="64"/>
        <v>39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6.2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3">
        <f t="shared" si="36"/>
        <v>0</v>
      </c>
      <c r="P31" s="123">
        <f t="shared" si="37"/>
        <v>45</v>
      </c>
      <c r="Q31" s="123">
        <f t="shared" si="38"/>
        <v>10.5</v>
      </c>
      <c r="R31" s="123">
        <f t="shared" si="39"/>
        <v>47.5</v>
      </c>
      <c r="S31" s="123">
        <f t="shared" si="40"/>
        <v>11</v>
      </c>
      <c r="T31" s="123">
        <f t="shared" si="41"/>
        <v>18</v>
      </c>
      <c r="U31" s="123">
        <f t="shared" si="42"/>
        <v>3</v>
      </c>
      <c r="V31" s="48">
        <f t="shared" si="58"/>
        <v>135</v>
      </c>
      <c r="X31" t="s">
        <v>35</v>
      </c>
      <c r="Y31" s="17">
        <f>E31+1</f>
        <v>24</v>
      </c>
      <c r="Z31" s="17">
        <f ca="1">F31+(($AR$25+$AR$26)*7)-112</f>
        <v>130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0">
        <f t="shared" si="44"/>
        <v>0</v>
      </c>
      <c r="AJ31" s="123">
        <f t="shared" si="45"/>
        <v>45</v>
      </c>
      <c r="AK31" s="120">
        <f t="shared" si="26"/>
        <v>10.5</v>
      </c>
      <c r="AL31" s="120">
        <f t="shared" si="26"/>
        <v>47.5</v>
      </c>
      <c r="AM31" s="123">
        <f t="shared" si="53"/>
        <v>25</v>
      </c>
      <c r="AN31" s="120">
        <f t="shared" si="26"/>
        <v>18</v>
      </c>
      <c r="AO31" s="123">
        <f t="shared" si="46"/>
        <v>18</v>
      </c>
      <c r="AP31" s="48">
        <f t="shared" si="61"/>
        <v>164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340</v>
      </c>
      <c r="E32" s="17">
        <f t="shared" si="64"/>
        <v>22</v>
      </c>
      <c r="F32" s="17">
        <f t="shared" ca="1" si="64"/>
        <v>126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7.25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3">
        <f t="shared" si="36"/>
        <v>0</v>
      </c>
      <c r="P32" s="123">
        <f t="shared" si="37"/>
        <v>60</v>
      </c>
      <c r="Q32" s="123">
        <f t="shared" si="38"/>
        <v>3</v>
      </c>
      <c r="R32" s="123">
        <f t="shared" si="39"/>
        <v>39.5</v>
      </c>
      <c r="S32" s="123">
        <f t="shared" si="40"/>
        <v>15</v>
      </c>
      <c r="T32" s="123">
        <f t="shared" si="41"/>
        <v>16</v>
      </c>
      <c r="U32" s="123">
        <f t="shared" si="42"/>
        <v>1</v>
      </c>
      <c r="V32" s="48">
        <f>SUM(O32:U32)</f>
        <v>134.5</v>
      </c>
      <c r="X32" t="s">
        <v>39</v>
      </c>
      <c r="Y32" s="17">
        <f t="shared" si="59"/>
        <v>24</v>
      </c>
      <c r="Z32" s="17">
        <f t="shared" ca="1" si="60"/>
        <v>105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0">
        <f t="shared" si="44"/>
        <v>0</v>
      </c>
      <c r="AJ32" s="123">
        <f t="shared" si="45"/>
        <v>60</v>
      </c>
      <c r="AK32" s="120">
        <f t="shared" si="26"/>
        <v>3</v>
      </c>
      <c r="AL32" s="120">
        <f t="shared" si="26"/>
        <v>39.5</v>
      </c>
      <c r="AM32" s="123">
        <f t="shared" si="53"/>
        <v>29</v>
      </c>
      <c r="AN32" s="120">
        <f t="shared" si="26"/>
        <v>16</v>
      </c>
      <c r="AO32" s="123">
        <f t="shared" si="46"/>
        <v>16</v>
      </c>
      <c r="AP32" s="48">
        <f>SUM(AI32:AO32)</f>
        <v>163.5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209</v>
      </c>
      <c r="E33" s="17">
        <f t="shared" ref="E33:F33" si="65">Y15</f>
        <v>23</v>
      </c>
      <c r="F33" s="17">
        <f t="shared" ca="1" si="65"/>
        <v>39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5.25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3">
        <f t="shared" si="36"/>
        <v>0</v>
      </c>
      <c r="P33" s="123">
        <f t="shared" si="37"/>
        <v>48</v>
      </c>
      <c r="Q33" s="123">
        <f t="shared" si="38"/>
        <v>9</v>
      </c>
      <c r="R33" s="123">
        <f t="shared" si="39"/>
        <v>39.880000000000003</v>
      </c>
      <c r="S33" s="123">
        <f t="shared" si="40"/>
        <v>8</v>
      </c>
      <c r="T33" s="123">
        <f t="shared" si="41"/>
        <v>19</v>
      </c>
      <c r="U33" s="123">
        <f t="shared" si="42"/>
        <v>1</v>
      </c>
      <c r="V33" s="48">
        <f>SUM(O33:U33)</f>
        <v>124.88</v>
      </c>
      <c r="X33" t="s">
        <v>33</v>
      </c>
      <c r="Y33" s="17">
        <f>E33+1</f>
        <v>24</v>
      </c>
      <c r="Z33" s="17">
        <f ca="1">F33+(($AR$25+$AR$26)*7)-112</f>
        <v>130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0">
        <f t="shared" si="44"/>
        <v>0</v>
      </c>
      <c r="AJ33" s="123">
        <f t="shared" si="45"/>
        <v>48</v>
      </c>
      <c r="AK33" s="120">
        <f t="shared" si="26"/>
        <v>9</v>
      </c>
      <c r="AL33" s="120">
        <f t="shared" si="26"/>
        <v>39.880000000000003</v>
      </c>
      <c r="AM33" s="123">
        <f t="shared" si="53"/>
        <v>22</v>
      </c>
      <c r="AN33" s="120">
        <f t="shared" si="26"/>
        <v>19</v>
      </c>
      <c r="AO33" s="123">
        <f t="shared" si="46"/>
        <v>16</v>
      </c>
      <c r="AP33" s="48">
        <f>SUM(AI33:AO33)</f>
        <v>153.88</v>
      </c>
    </row>
    <row r="34" spans="1:42" x14ac:dyDescent="0.25">
      <c r="A34" t="s">
        <v>41</v>
      </c>
      <c r="B34" s="15" t="s">
        <v>43</v>
      </c>
      <c r="C34" s="3" t="s">
        <v>342</v>
      </c>
      <c r="D34" s="3" t="s">
        <v>212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0">
        <f t="shared" ref="O34:P34" si="66">AI16</f>
        <v>0</v>
      </c>
      <c r="P34" s="120">
        <f t="shared" si="66"/>
        <v>0</v>
      </c>
      <c r="Q34" s="120">
        <v>16</v>
      </c>
      <c r="R34" s="120">
        <v>10.5</v>
      </c>
      <c r="S34" s="120">
        <v>29</v>
      </c>
      <c r="T34" s="120">
        <v>59</v>
      </c>
      <c r="U34" s="120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0">
        <f t="shared" si="44"/>
        <v>0</v>
      </c>
      <c r="AJ34" s="120">
        <f t="shared" si="44"/>
        <v>0</v>
      </c>
      <c r="AK34" s="120">
        <f t="shared" si="26"/>
        <v>16</v>
      </c>
      <c r="AL34" s="120">
        <f t="shared" si="26"/>
        <v>10.5</v>
      </c>
      <c r="AM34" s="123">
        <f t="shared" si="53"/>
        <v>43</v>
      </c>
      <c r="AN34" s="120">
        <f t="shared" si="26"/>
        <v>59</v>
      </c>
      <c r="AO34" s="123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342</v>
      </c>
      <c r="D35" s="3" t="s">
        <v>212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3">
        <f t="shared" ref="O35:O36" si="71">AI17</f>
        <v>0</v>
      </c>
      <c r="P35" s="123">
        <f t="shared" ref="P35:P36" si="72">AJ17</f>
        <v>0</v>
      </c>
      <c r="Q35" s="123">
        <v>16</v>
      </c>
      <c r="R35" s="123">
        <v>10.5</v>
      </c>
      <c r="S35" s="123">
        <v>29</v>
      </c>
      <c r="T35" s="123">
        <v>59</v>
      </c>
      <c r="U35" s="123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0">
        <f t="shared" si="44"/>
        <v>0</v>
      </c>
      <c r="AJ35" s="120">
        <f t="shared" si="44"/>
        <v>0</v>
      </c>
      <c r="AK35" s="120">
        <f t="shared" si="26"/>
        <v>16</v>
      </c>
      <c r="AL35" s="120">
        <f t="shared" si="26"/>
        <v>10.5</v>
      </c>
      <c r="AM35" s="123">
        <f t="shared" si="53"/>
        <v>43</v>
      </c>
      <c r="AN35" s="120">
        <f t="shared" si="26"/>
        <v>59</v>
      </c>
      <c r="AO35" s="123">
        <f t="shared" si="46"/>
        <v>23</v>
      </c>
      <c r="AP35" s="48">
        <f>SUM(AI35:AO35)</f>
        <v>151.5</v>
      </c>
    </row>
    <row r="36" spans="1:42" x14ac:dyDescent="0.25">
      <c r="A36" t="s">
        <v>210</v>
      </c>
      <c r="B36" s="15" t="s">
        <v>43</v>
      </c>
      <c r="C36" s="3" t="s">
        <v>342</v>
      </c>
      <c r="D36" s="3" t="s">
        <v>212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3">
        <f t="shared" si="71"/>
        <v>0</v>
      </c>
      <c r="P36" s="123">
        <f t="shared" si="72"/>
        <v>0</v>
      </c>
      <c r="Q36" s="123">
        <v>16</v>
      </c>
      <c r="R36" s="123">
        <v>10.5</v>
      </c>
      <c r="S36" s="123">
        <v>29</v>
      </c>
      <c r="T36" s="123">
        <v>59</v>
      </c>
      <c r="U36" s="123">
        <v>8</v>
      </c>
      <c r="V36" s="48">
        <f>SUM(O36:U36)</f>
        <v>122.5</v>
      </c>
      <c r="X36" t="s">
        <v>210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0">
        <f t="shared" si="44"/>
        <v>0</v>
      </c>
      <c r="AJ36" s="120">
        <f t="shared" si="44"/>
        <v>0</v>
      </c>
      <c r="AK36" s="120">
        <f t="shared" si="26"/>
        <v>16</v>
      </c>
      <c r="AL36" s="120">
        <f t="shared" si="26"/>
        <v>10.5</v>
      </c>
      <c r="AM36" s="123">
        <f t="shared" si="53"/>
        <v>43</v>
      </c>
      <c r="AN36" s="120">
        <f t="shared" si="26"/>
        <v>59</v>
      </c>
      <c r="AO36" s="123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R4" activePane="bottomRight" state="frozen"/>
      <selection pane="topRight" activeCell="N1" sqref="N1"/>
      <selection pane="bottomLeft" activeCell="A4" sqref="A4"/>
      <selection pane="bottomRight" activeCell="R15" sqref="R15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11"/>
      <c r="B1" s="311"/>
      <c r="C1" s="311"/>
      <c r="D1" s="454" t="s">
        <v>588</v>
      </c>
      <c r="E1" s="455"/>
      <c r="F1" s="455"/>
      <c r="G1" s="455"/>
      <c r="H1" s="455"/>
      <c r="I1" s="456"/>
      <c r="K1" s="311"/>
      <c r="L1" s="312"/>
      <c r="M1" s="312"/>
      <c r="N1" s="314">
        <v>43637</v>
      </c>
      <c r="O1" s="314">
        <f t="shared" ref="O1:AD1" si="0">N1+7</f>
        <v>43644</v>
      </c>
      <c r="P1" s="314">
        <f t="shared" si="0"/>
        <v>43651</v>
      </c>
      <c r="Q1" s="314">
        <f t="shared" si="0"/>
        <v>43658</v>
      </c>
      <c r="R1" s="314">
        <f t="shared" si="0"/>
        <v>43665</v>
      </c>
      <c r="S1" s="314">
        <f t="shared" si="0"/>
        <v>43672</v>
      </c>
      <c r="T1" s="314">
        <f t="shared" si="0"/>
        <v>43679</v>
      </c>
      <c r="U1" s="314">
        <f t="shared" si="0"/>
        <v>43686</v>
      </c>
      <c r="V1" s="313">
        <f t="shared" si="0"/>
        <v>43693</v>
      </c>
      <c r="W1" s="314">
        <f t="shared" si="0"/>
        <v>43700</v>
      </c>
      <c r="X1" s="314">
        <f t="shared" si="0"/>
        <v>43707</v>
      </c>
      <c r="Y1" s="314">
        <f t="shared" si="0"/>
        <v>43714</v>
      </c>
      <c r="Z1" s="314">
        <f t="shared" si="0"/>
        <v>43721</v>
      </c>
      <c r="AA1" s="314">
        <f t="shared" si="0"/>
        <v>43728</v>
      </c>
      <c r="AB1" s="314">
        <f t="shared" si="0"/>
        <v>43735</v>
      </c>
      <c r="AC1" s="314">
        <f t="shared" si="0"/>
        <v>43742</v>
      </c>
      <c r="AD1" s="314">
        <f t="shared" si="0"/>
        <v>43749</v>
      </c>
    </row>
    <row r="2" spans="1:38" x14ac:dyDescent="0.25">
      <c r="A2" s="315"/>
      <c r="B2" s="315"/>
      <c r="C2" s="315"/>
      <c r="D2" s="457" t="s">
        <v>589</v>
      </c>
      <c r="E2" s="458"/>
      <c r="F2" s="459"/>
      <c r="G2" s="459"/>
      <c r="H2" s="459"/>
      <c r="I2" s="460"/>
      <c r="K2" s="316"/>
      <c r="L2" s="316"/>
      <c r="M2" s="316" t="s">
        <v>590</v>
      </c>
      <c r="N2" s="318" t="s">
        <v>591</v>
      </c>
      <c r="O2" s="318" t="s">
        <v>592</v>
      </c>
      <c r="P2" s="318" t="s">
        <v>593</v>
      </c>
      <c r="Q2" s="318" t="s">
        <v>594</v>
      </c>
      <c r="R2" s="318" t="s">
        <v>595</v>
      </c>
      <c r="S2" s="318" t="s">
        <v>596</v>
      </c>
      <c r="T2" s="318" t="s">
        <v>597</v>
      </c>
      <c r="U2" s="318" t="s">
        <v>598</v>
      </c>
      <c r="V2" s="317" t="s">
        <v>599</v>
      </c>
      <c r="W2" s="318" t="s">
        <v>600</v>
      </c>
      <c r="X2" s="318" t="s">
        <v>601</v>
      </c>
      <c r="Y2" s="318" t="s">
        <v>602</v>
      </c>
      <c r="Z2" s="318" t="s">
        <v>603</v>
      </c>
      <c r="AA2" s="318" t="s">
        <v>604</v>
      </c>
      <c r="AB2" s="318" t="s">
        <v>605</v>
      </c>
      <c r="AC2" s="318" t="s">
        <v>606</v>
      </c>
      <c r="AD2" s="318" t="s">
        <v>591</v>
      </c>
    </row>
    <row r="3" spans="1:38" ht="18.75" x14ac:dyDescent="0.3">
      <c r="A3" s="319"/>
      <c r="B3" s="319"/>
      <c r="C3" s="319"/>
      <c r="D3" s="461" t="s">
        <v>607</v>
      </c>
      <c r="E3" s="462"/>
      <c r="F3" s="320"/>
      <c r="G3" s="463" t="s">
        <v>608</v>
      </c>
      <c r="H3" s="464"/>
      <c r="I3" s="321"/>
      <c r="K3" s="322"/>
      <c r="L3" s="323"/>
      <c r="M3" s="323" t="s">
        <v>609</v>
      </c>
      <c r="N3" s="325">
        <v>1766</v>
      </c>
      <c r="O3" s="325">
        <v>1776</v>
      </c>
      <c r="P3" s="325">
        <f>O3+O11/30</f>
        <v>1784</v>
      </c>
      <c r="Q3" s="325">
        <f t="shared" ref="Q3:AD3" si="1">P3+P11/30</f>
        <v>1794</v>
      </c>
      <c r="R3" s="325">
        <f t="shared" si="1"/>
        <v>1804</v>
      </c>
      <c r="S3" s="325">
        <f t="shared" si="1"/>
        <v>1813</v>
      </c>
      <c r="T3" s="325">
        <f t="shared" si="1"/>
        <v>1823</v>
      </c>
      <c r="U3" s="325">
        <f t="shared" si="1"/>
        <v>1831</v>
      </c>
      <c r="V3" s="324">
        <f t="shared" si="1"/>
        <v>1839</v>
      </c>
      <c r="W3" s="325">
        <f t="shared" si="1"/>
        <v>1843</v>
      </c>
      <c r="X3" s="325">
        <f t="shared" si="1"/>
        <v>1851</v>
      </c>
      <c r="Y3" s="325">
        <f t="shared" si="1"/>
        <v>1859</v>
      </c>
      <c r="Z3" s="325">
        <f t="shared" si="1"/>
        <v>1867</v>
      </c>
      <c r="AA3" s="325">
        <f t="shared" si="1"/>
        <v>1875</v>
      </c>
      <c r="AB3" s="325">
        <f t="shared" si="1"/>
        <v>1883</v>
      </c>
      <c r="AC3" s="325">
        <f t="shared" si="1"/>
        <v>1891</v>
      </c>
      <c r="AD3" s="325">
        <f t="shared" si="1"/>
        <v>1899</v>
      </c>
    </row>
    <row r="4" spans="1:38" ht="18.75" x14ac:dyDescent="0.3">
      <c r="A4" s="319"/>
      <c r="B4" s="319"/>
      <c r="C4" s="319"/>
      <c r="D4" s="326"/>
      <c r="E4" s="327"/>
      <c r="F4" s="328"/>
      <c r="G4" s="329"/>
      <c r="H4" s="328"/>
      <c r="I4" s="330"/>
      <c r="K4" s="331" t="s">
        <v>610</v>
      </c>
      <c r="L4" s="331"/>
      <c r="M4" s="332">
        <f>19299694+500000</f>
        <v>19799694</v>
      </c>
      <c r="N4" s="333">
        <f>M4</f>
        <v>19799694</v>
      </c>
      <c r="O4" s="333">
        <f>N4-N13+N23</f>
        <v>19299694</v>
      </c>
      <c r="P4" s="333">
        <f t="shared" ref="P4:AD4" si="2">O4-O13+O23</f>
        <v>18799694</v>
      </c>
      <c r="Q4" s="333">
        <f t="shared" si="2"/>
        <v>18299694</v>
      </c>
      <c r="R4" s="333">
        <f t="shared" si="2"/>
        <v>17799694</v>
      </c>
      <c r="S4" s="333">
        <f t="shared" si="2"/>
        <v>17299694</v>
      </c>
      <c r="T4" s="333">
        <f t="shared" si="2"/>
        <v>16799694</v>
      </c>
      <c r="U4" s="333">
        <f t="shared" si="2"/>
        <v>16299694</v>
      </c>
      <c r="V4" s="333">
        <f t="shared" si="2"/>
        <v>15799694</v>
      </c>
      <c r="W4" s="333">
        <f t="shared" si="2"/>
        <v>15299694</v>
      </c>
      <c r="X4" s="333">
        <f t="shared" si="2"/>
        <v>14799694</v>
      </c>
      <c r="Y4" s="333">
        <f t="shared" si="2"/>
        <v>14299694</v>
      </c>
      <c r="Z4" s="333">
        <f t="shared" si="2"/>
        <v>13799694</v>
      </c>
      <c r="AA4" s="333">
        <f t="shared" si="2"/>
        <v>13299694</v>
      </c>
      <c r="AB4" s="333">
        <f t="shared" si="2"/>
        <v>12799694</v>
      </c>
      <c r="AC4" s="333">
        <f t="shared" si="2"/>
        <v>12299694</v>
      </c>
      <c r="AD4" s="333">
        <f t="shared" si="2"/>
        <v>11799694</v>
      </c>
    </row>
    <row r="5" spans="1:38" ht="18.75" x14ac:dyDescent="0.3">
      <c r="A5" s="334"/>
      <c r="B5" s="334"/>
      <c r="C5" s="334"/>
      <c r="D5" s="326" t="s">
        <v>611</v>
      </c>
      <c r="E5" s="335">
        <f>SUM(E6:E8)</f>
        <v>5914370</v>
      </c>
      <c r="F5" s="336">
        <f>E5/E35</f>
        <v>8.2344132024276276E-2</v>
      </c>
      <c r="G5" s="326" t="s">
        <v>612</v>
      </c>
      <c r="H5" s="337">
        <f>H6+H7</f>
        <v>64054290</v>
      </c>
      <c r="I5" s="338">
        <f>H5/$H$35</f>
        <v>0.89181010191808752</v>
      </c>
      <c r="K5" s="339" t="s">
        <v>613</v>
      </c>
      <c r="L5" s="339"/>
      <c r="M5" s="340">
        <f>8890545-289136+582050-500000</f>
        <v>8683459</v>
      </c>
      <c r="N5" s="341">
        <f>M5</f>
        <v>8683459</v>
      </c>
      <c r="O5" s="341">
        <f t="shared" ref="O5:AD5" si="3">N26</f>
        <v>9623483</v>
      </c>
      <c r="P5" s="341">
        <f t="shared" si="3"/>
        <v>9994868</v>
      </c>
      <c r="Q5" s="341">
        <f t="shared" si="3"/>
        <v>10377155</v>
      </c>
      <c r="R5" s="341">
        <f t="shared" si="3"/>
        <v>11240455</v>
      </c>
      <c r="S5" s="341">
        <f t="shared" si="3"/>
        <v>11827122</v>
      </c>
      <c r="T5" s="341">
        <f t="shared" si="3"/>
        <v>12507638</v>
      </c>
      <c r="U5" s="341">
        <f t="shared" si="3"/>
        <v>14308664</v>
      </c>
      <c r="V5" s="341">
        <f t="shared" si="3"/>
        <v>13015507</v>
      </c>
      <c r="W5" s="341">
        <f t="shared" si="3"/>
        <v>13763538</v>
      </c>
      <c r="X5" s="341">
        <f t="shared" si="3"/>
        <v>14404320</v>
      </c>
      <c r="Y5" s="341">
        <f t="shared" si="3"/>
        <v>14745102</v>
      </c>
      <c r="Z5" s="341">
        <f t="shared" si="3"/>
        <v>15385884</v>
      </c>
      <c r="AA5" s="341">
        <f t="shared" si="3"/>
        <v>15726666</v>
      </c>
      <c r="AB5" s="341">
        <f t="shared" si="3"/>
        <v>16367448</v>
      </c>
      <c r="AC5" s="341">
        <f t="shared" si="3"/>
        <v>17008230</v>
      </c>
      <c r="AD5" s="341">
        <f t="shared" si="3"/>
        <v>17349012</v>
      </c>
    </row>
    <row r="6" spans="1:38" x14ac:dyDescent="0.25">
      <c r="A6" s="342" t="str">
        <f t="shared" ref="A6:A13" si="4">L6</f>
        <v>Taquillas</v>
      </c>
      <c r="B6" s="343">
        <f t="shared" ref="B6:B13" si="5">M6/$M$14</f>
        <v>0.22935331041004314</v>
      </c>
      <c r="D6" s="344" t="s">
        <v>614</v>
      </c>
      <c r="E6" s="345">
        <v>2231620</v>
      </c>
      <c r="F6" s="346">
        <f>E6/E35</f>
        <v>3.1070225891855839E-2</v>
      </c>
      <c r="G6" s="347" t="s">
        <v>615</v>
      </c>
      <c r="H6" s="348">
        <v>300000</v>
      </c>
      <c r="I6" s="349">
        <f>H6/$H$35</f>
        <v>4.1768167374179972E-3</v>
      </c>
      <c r="K6" s="350" t="s">
        <v>616</v>
      </c>
      <c r="L6" s="350" t="s">
        <v>616</v>
      </c>
      <c r="M6" s="351">
        <f t="shared" ref="M6:M25" si="6">SUM(N6:AD6)</f>
        <v>3583548</v>
      </c>
      <c r="N6" s="352">
        <v>27383</v>
      </c>
      <c r="O6" s="352">
        <f>9097+21309</f>
        <v>30406</v>
      </c>
      <c r="P6" s="352">
        <v>74243</v>
      </c>
      <c r="Q6" s="352">
        <v>543126</v>
      </c>
      <c r="R6" s="352">
        <v>259003</v>
      </c>
      <c r="S6" s="352">
        <f>29598+336329</f>
        <v>365927</v>
      </c>
      <c r="T6" s="352">
        <f>36229+369218</f>
        <v>405447</v>
      </c>
      <c r="U6" s="352">
        <v>37304</v>
      </c>
      <c r="V6" s="352">
        <v>400709</v>
      </c>
      <c r="W6" s="352">
        <v>330000</v>
      </c>
      <c r="X6" s="352">
        <v>30000</v>
      </c>
      <c r="Y6" s="352">
        <v>330000</v>
      </c>
      <c r="Z6" s="352">
        <v>30000</v>
      </c>
      <c r="AA6" s="352">
        <v>330000</v>
      </c>
      <c r="AB6" s="352">
        <v>330000</v>
      </c>
      <c r="AC6" s="352">
        <v>30000</v>
      </c>
      <c r="AD6" s="352">
        <v>30000</v>
      </c>
    </row>
    <row r="7" spans="1:38" x14ac:dyDescent="0.25">
      <c r="A7" s="342" t="str">
        <f t="shared" si="4"/>
        <v>Patrocinadores</v>
      </c>
      <c r="B7" s="343">
        <f t="shared" si="5"/>
        <v>0.11255954161953205</v>
      </c>
      <c r="D7" s="344" t="s">
        <v>617</v>
      </c>
      <c r="E7" s="345">
        <f>102000+300+2105000+1475000+450</f>
        <v>3682750</v>
      </c>
      <c r="F7" s="346">
        <f>E7/E35</f>
        <v>5.1273906132420437E-2</v>
      </c>
      <c r="G7" s="347" t="s">
        <v>618</v>
      </c>
      <c r="H7" s="348">
        <f>63754290</f>
        <v>63754290</v>
      </c>
      <c r="I7" s="349">
        <f>H7/$H$35</f>
        <v>0.88763328518066953</v>
      </c>
      <c r="K7" s="350" t="s">
        <v>619</v>
      </c>
      <c r="L7" s="350" t="s">
        <v>619</v>
      </c>
      <c r="M7" s="351">
        <f t="shared" si="6"/>
        <v>1758695</v>
      </c>
      <c r="N7" s="353">
        <v>101385</v>
      </c>
      <c r="O7" s="353">
        <v>76225</v>
      </c>
      <c r="P7" s="353">
        <v>87880</v>
      </c>
      <c r="Q7" s="353">
        <v>94910</v>
      </c>
      <c r="R7" s="353">
        <v>98980</v>
      </c>
      <c r="S7" s="353">
        <v>101385</v>
      </c>
      <c r="T7" s="353">
        <f t="shared" ref="T7:AD7" si="7">S7+1500</f>
        <v>102885</v>
      </c>
      <c r="U7" s="353">
        <v>103605</v>
      </c>
      <c r="V7" s="353">
        <v>104160</v>
      </c>
      <c r="W7" s="353">
        <f t="shared" si="7"/>
        <v>105660</v>
      </c>
      <c r="X7" s="353">
        <f t="shared" si="7"/>
        <v>107160</v>
      </c>
      <c r="Y7" s="353">
        <f t="shared" si="7"/>
        <v>108660</v>
      </c>
      <c r="Z7" s="353">
        <f t="shared" si="7"/>
        <v>110160</v>
      </c>
      <c r="AA7" s="353">
        <f t="shared" si="7"/>
        <v>111660</v>
      </c>
      <c r="AB7" s="353">
        <f t="shared" si="7"/>
        <v>113160</v>
      </c>
      <c r="AC7" s="353">
        <f t="shared" si="7"/>
        <v>114660</v>
      </c>
      <c r="AD7" s="353">
        <f t="shared" si="7"/>
        <v>116160</v>
      </c>
    </row>
    <row r="8" spans="1:38" x14ac:dyDescent="0.25">
      <c r="A8" s="342" t="str">
        <f t="shared" si="4"/>
        <v>Ventas</v>
      </c>
      <c r="B8" s="343">
        <f t="shared" si="5"/>
        <v>6.8866513169158206E-2</v>
      </c>
      <c r="D8" s="354" t="s">
        <v>620</v>
      </c>
      <c r="E8" s="355">
        <v>0</v>
      </c>
      <c r="F8" s="346">
        <f>E8/E35</f>
        <v>0</v>
      </c>
      <c r="G8" s="356"/>
      <c r="H8" s="357"/>
      <c r="I8" s="338"/>
      <c r="K8" s="350" t="s">
        <v>621</v>
      </c>
      <c r="L8" s="350" t="s">
        <v>622</v>
      </c>
      <c r="M8" s="351">
        <f t="shared" si="6"/>
        <v>1076010</v>
      </c>
      <c r="N8" s="352">
        <v>0</v>
      </c>
      <c r="O8" s="352">
        <v>0</v>
      </c>
      <c r="P8" s="352">
        <v>0</v>
      </c>
      <c r="Q8" s="352">
        <v>0</v>
      </c>
      <c r="R8" s="352">
        <v>0</v>
      </c>
      <c r="S8" s="352">
        <v>0</v>
      </c>
      <c r="T8" s="352">
        <f>959760+116250</f>
        <v>1076010</v>
      </c>
      <c r="U8" s="352">
        <v>0</v>
      </c>
      <c r="V8" s="352">
        <v>0</v>
      </c>
      <c r="W8" s="352">
        <v>0</v>
      </c>
      <c r="X8" s="352">
        <v>0</v>
      </c>
      <c r="Y8" s="352">
        <v>0</v>
      </c>
      <c r="Z8" s="352">
        <v>0</v>
      </c>
      <c r="AA8" s="352">
        <v>0</v>
      </c>
      <c r="AB8" s="352">
        <v>0</v>
      </c>
      <c r="AC8" s="352">
        <v>0</v>
      </c>
      <c r="AD8" s="352">
        <v>0</v>
      </c>
      <c r="AF8" s="358"/>
      <c r="AG8" s="358"/>
    </row>
    <row r="9" spans="1:38" x14ac:dyDescent="0.25">
      <c r="A9" s="342" t="str">
        <f t="shared" si="4"/>
        <v>VentasCantera</v>
      </c>
      <c r="B9" s="343">
        <f t="shared" si="5"/>
        <v>1.1369909261531913E-2</v>
      </c>
      <c r="D9" s="359"/>
      <c r="E9" s="327"/>
      <c r="F9" s="336"/>
      <c r="G9" s="356"/>
      <c r="H9" s="357"/>
      <c r="I9" s="338"/>
      <c r="K9" s="350"/>
      <c r="L9" s="350" t="s">
        <v>623</v>
      </c>
      <c r="M9" s="351">
        <f t="shared" si="6"/>
        <v>177650</v>
      </c>
      <c r="N9" s="352">
        <v>133000</v>
      </c>
      <c r="O9" s="352">
        <v>44650</v>
      </c>
      <c r="P9" s="352">
        <v>0</v>
      </c>
      <c r="Q9" s="352">
        <v>0</v>
      </c>
      <c r="R9" s="352">
        <v>0</v>
      </c>
      <c r="S9" s="352">
        <v>0</v>
      </c>
      <c r="T9" s="352">
        <v>0</v>
      </c>
      <c r="U9" s="352">
        <v>0</v>
      </c>
      <c r="V9" s="352">
        <v>0</v>
      </c>
      <c r="W9" s="352">
        <v>0</v>
      </c>
      <c r="X9" s="352">
        <v>0</v>
      </c>
      <c r="Y9" s="352">
        <v>0</v>
      </c>
      <c r="Z9" s="352">
        <v>0</v>
      </c>
      <c r="AA9" s="352">
        <v>0</v>
      </c>
      <c r="AB9" s="352">
        <v>0</v>
      </c>
      <c r="AC9" s="352">
        <v>0</v>
      </c>
      <c r="AD9" s="352">
        <v>0</v>
      </c>
    </row>
    <row r="10" spans="1:38" x14ac:dyDescent="0.25">
      <c r="A10" s="342" t="str">
        <f t="shared" si="4"/>
        <v>Comisiones</v>
      </c>
      <c r="B10" s="343">
        <f t="shared" si="5"/>
        <v>4.5735644009517063E-3</v>
      </c>
      <c r="D10" s="326" t="s">
        <v>670</v>
      </c>
      <c r="E10" s="335">
        <f>E11+E12+E13</f>
        <v>11299694</v>
      </c>
      <c r="F10" s="336">
        <f>E10/E35</f>
        <v>0.15732250342300574</v>
      </c>
      <c r="G10" s="326" t="s">
        <v>624</v>
      </c>
      <c r="H10" s="337">
        <f>SUM(H11:H16)</f>
        <v>1152503</v>
      </c>
      <c r="I10" s="338">
        <f t="shared" ref="I10:I16" si="8">H10/$H$35</f>
        <v>1.6045979401081514E-2</v>
      </c>
      <c r="K10" s="350" t="s">
        <v>625</v>
      </c>
      <c r="L10" s="350" t="s">
        <v>625</v>
      </c>
      <c r="M10" s="351">
        <f t="shared" si="6"/>
        <v>71460</v>
      </c>
      <c r="N10" s="353">
        <f>1750+16320+2040</f>
        <v>20110</v>
      </c>
      <c r="O10" s="353">
        <v>0</v>
      </c>
      <c r="P10" s="353">
        <v>0</v>
      </c>
      <c r="Q10" s="353">
        <v>5100</v>
      </c>
      <c r="R10" s="353">
        <v>8550</v>
      </c>
      <c r="S10" s="353">
        <v>0</v>
      </c>
      <c r="T10" s="353">
        <v>4040</v>
      </c>
      <c r="U10" s="353">
        <v>0</v>
      </c>
      <c r="V10" s="353">
        <v>33660</v>
      </c>
      <c r="W10" s="353">
        <v>0</v>
      </c>
      <c r="X10" s="353">
        <f t="shared" ref="X10:AD11" si="9">W10</f>
        <v>0</v>
      </c>
      <c r="Y10" s="353">
        <f t="shared" si="9"/>
        <v>0</v>
      </c>
      <c r="Z10" s="353">
        <f t="shared" si="9"/>
        <v>0</v>
      </c>
      <c r="AA10" s="353">
        <f t="shared" si="9"/>
        <v>0</v>
      </c>
      <c r="AB10" s="353">
        <f t="shared" si="9"/>
        <v>0</v>
      </c>
      <c r="AC10" s="353">
        <f t="shared" si="9"/>
        <v>0</v>
      </c>
      <c r="AD10" s="353">
        <f t="shared" si="9"/>
        <v>0</v>
      </c>
    </row>
    <row r="11" spans="1:38" x14ac:dyDescent="0.25">
      <c r="A11" s="342" t="str">
        <f t="shared" si="4"/>
        <v>Nuevos Socios</v>
      </c>
      <c r="B11" s="343">
        <f t="shared" si="5"/>
        <v>3.6616675973586482E-3</v>
      </c>
      <c r="D11" s="360" t="s">
        <v>626</v>
      </c>
      <c r="E11" s="361">
        <f>N4</f>
        <v>19799694</v>
      </c>
      <c r="F11" s="346">
        <f>E11/E35</f>
        <v>0.27566564431651569</v>
      </c>
      <c r="G11" s="362" t="s">
        <v>627</v>
      </c>
      <c r="H11" s="363">
        <f>37680+114250</f>
        <v>151930</v>
      </c>
      <c r="I11" s="349">
        <f t="shared" si="8"/>
        <v>2.1152792230530546E-3</v>
      </c>
      <c r="K11" s="466" t="s">
        <v>628</v>
      </c>
      <c r="L11" s="350" t="s">
        <v>629</v>
      </c>
      <c r="M11" s="351">
        <f t="shared" si="6"/>
        <v>57212</v>
      </c>
      <c r="N11" s="353">
        <f>52982+150+150</f>
        <v>53282</v>
      </c>
      <c r="O11" s="353">
        <v>240</v>
      </c>
      <c r="P11" s="353">
        <v>300</v>
      </c>
      <c r="Q11" s="353">
        <v>300</v>
      </c>
      <c r="R11" s="353">
        <v>270</v>
      </c>
      <c r="S11" s="353">
        <v>300</v>
      </c>
      <c r="T11" s="353">
        <v>240</v>
      </c>
      <c r="U11" s="353">
        <v>240</v>
      </c>
      <c r="V11" s="353">
        <v>120</v>
      </c>
      <c r="W11" s="353">
        <v>240</v>
      </c>
      <c r="X11" s="353">
        <f t="shared" si="9"/>
        <v>240</v>
      </c>
      <c r="Y11" s="353">
        <f t="shared" si="9"/>
        <v>240</v>
      </c>
      <c r="Z11" s="353">
        <f t="shared" si="9"/>
        <v>240</v>
      </c>
      <c r="AA11" s="353">
        <f t="shared" si="9"/>
        <v>240</v>
      </c>
      <c r="AB11" s="353">
        <f t="shared" si="9"/>
        <v>240</v>
      </c>
      <c r="AC11" s="353">
        <f t="shared" si="9"/>
        <v>240</v>
      </c>
      <c r="AD11" s="353">
        <f t="shared" si="9"/>
        <v>240</v>
      </c>
    </row>
    <row r="12" spans="1:38" x14ac:dyDescent="0.25">
      <c r="A12" s="342" t="str">
        <f t="shared" si="4"/>
        <v>Premios</v>
      </c>
      <c r="B12" s="343">
        <f t="shared" si="5"/>
        <v>2.560069633894042E-2</v>
      </c>
      <c r="D12" s="360" t="str">
        <f>L13</f>
        <v>Ing Reservas</v>
      </c>
      <c r="E12" s="451">
        <f>M13*-1</f>
        <v>-8500000</v>
      </c>
      <c r="F12" s="346">
        <f>E12/E35</f>
        <v>-0.11834314089350993</v>
      </c>
      <c r="G12" s="364" t="s">
        <v>630</v>
      </c>
      <c r="H12" s="365">
        <v>0</v>
      </c>
      <c r="I12" s="366">
        <f t="shared" si="8"/>
        <v>0</v>
      </c>
      <c r="K12" s="467"/>
      <c r="L12" s="350" t="s">
        <v>631</v>
      </c>
      <c r="M12" s="351">
        <f t="shared" si="6"/>
        <v>400000</v>
      </c>
      <c r="N12" s="353">
        <v>400000</v>
      </c>
      <c r="O12" s="353">
        <v>0</v>
      </c>
      <c r="P12" s="353">
        <v>0</v>
      </c>
      <c r="Q12" s="353">
        <v>0</v>
      </c>
      <c r="R12" s="353">
        <v>0</v>
      </c>
      <c r="S12" s="353">
        <v>0</v>
      </c>
      <c r="T12" s="353">
        <v>0</v>
      </c>
      <c r="U12" s="353">
        <v>0</v>
      </c>
      <c r="V12" s="353">
        <v>0</v>
      </c>
      <c r="W12" s="353">
        <v>0</v>
      </c>
      <c r="X12" s="353">
        <v>0</v>
      </c>
      <c r="Y12" s="353">
        <v>0</v>
      </c>
      <c r="Z12" s="353">
        <v>0</v>
      </c>
      <c r="AA12" s="353">
        <v>0</v>
      </c>
      <c r="AB12" s="353">
        <v>0</v>
      </c>
      <c r="AC12" s="353">
        <v>0</v>
      </c>
      <c r="AD12" s="353">
        <v>0</v>
      </c>
    </row>
    <row r="13" spans="1:38" ht="18.75" x14ac:dyDescent="0.3">
      <c r="A13" s="342" t="str">
        <f t="shared" si="4"/>
        <v>Ing Reservas</v>
      </c>
      <c r="B13" s="343">
        <f t="shared" si="5"/>
        <v>0.54401479720248391</v>
      </c>
      <c r="C13" s="367"/>
      <c r="D13" s="360" t="str">
        <f>L23</f>
        <v>Pago Reservas</v>
      </c>
      <c r="E13" s="361">
        <f>M23</f>
        <v>0</v>
      </c>
      <c r="F13" s="346">
        <f>E13/E35</f>
        <v>0</v>
      </c>
      <c r="G13" s="362" t="s">
        <v>632</v>
      </c>
      <c r="H13" s="363">
        <f>133000+44650</f>
        <v>177650</v>
      </c>
      <c r="I13" s="349">
        <f t="shared" si="8"/>
        <v>2.4733716446743576E-3</v>
      </c>
      <c r="J13" s="368"/>
      <c r="K13" s="468"/>
      <c r="L13" s="350" t="s">
        <v>633</v>
      </c>
      <c r="M13" s="351">
        <f t="shared" si="6"/>
        <v>8500000</v>
      </c>
      <c r="N13" s="353">
        <v>500000</v>
      </c>
      <c r="O13" s="353">
        <f>N13</f>
        <v>500000</v>
      </c>
      <c r="P13" s="353">
        <f t="shared" ref="P13:AD13" si="10">O13</f>
        <v>500000</v>
      </c>
      <c r="Q13" s="353">
        <f t="shared" si="10"/>
        <v>500000</v>
      </c>
      <c r="R13" s="353">
        <f t="shared" si="10"/>
        <v>500000</v>
      </c>
      <c r="S13" s="353">
        <f t="shared" si="10"/>
        <v>500000</v>
      </c>
      <c r="T13" s="353">
        <f t="shared" si="10"/>
        <v>500000</v>
      </c>
      <c r="U13" s="353">
        <f t="shared" si="10"/>
        <v>500000</v>
      </c>
      <c r="V13" s="353">
        <f t="shared" si="10"/>
        <v>500000</v>
      </c>
      <c r="W13" s="353">
        <f t="shared" si="10"/>
        <v>500000</v>
      </c>
      <c r="X13" s="353">
        <f t="shared" si="10"/>
        <v>500000</v>
      </c>
      <c r="Y13" s="353">
        <f t="shared" si="10"/>
        <v>500000</v>
      </c>
      <c r="Z13" s="353">
        <f t="shared" si="10"/>
        <v>500000</v>
      </c>
      <c r="AA13" s="353">
        <f t="shared" si="10"/>
        <v>500000</v>
      </c>
      <c r="AB13" s="353">
        <f t="shared" si="10"/>
        <v>500000</v>
      </c>
      <c r="AC13" s="353">
        <f t="shared" si="10"/>
        <v>500000</v>
      </c>
      <c r="AD13" s="353">
        <f t="shared" si="10"/>
        <v>500000</v>
      </c>
      <c r="AE13" s="368"/>
      <c r="AF13" s="368"/>
      <c r="AG13" s="368"/>
      <c r="AH13" s="368"/>
      <c r="AI13" s="368"/>
      <c r="AJ13" s="368"/>
      <c r="AK13" s="368"/>
      <c r="AL13" s="368"/>
    </row>
    <row r="14" spans="1:38" ht="18.75" x14ac:dyDescent="0.3">
      <c r="A14" s="367"/>
      <c r="B14" s="369">
        <f>SUM(B6:B13)</f>
        <v>1</v>
      </c>
      <c r="D14" s="359"/>
      <c r="E14" s="370"/>
      <c r="G14" s="362" t="s">
        <v>634</v>
      </c>
      <c r="H14" s="363">
        <v>0</v>
      </c>
      <c r="I14" s="349">
        <f t="shared" si="8"/>
        <v>0</v>
      </c>
      <c r="K14" s="371" t="s">
        <v>635</v>
      </c>
      <c r="L14" s="372"/>
      <c r="M14" s="373">
        <f t="shared" si="6"/>
        <v>15624575</v>
      </c>
      <c r="N14" s="374">
        <f>SUM(N6:N13)</f>
        <v>1235160</v>
      </c>
      <c r="O14" s="374">
        <f t="shared" ref="O14:AD14" si="11">SUM(O6:O13)</f>
        <v>651521</v>
      </c>
      <c r="P14" s="374">
        <f t="shared" si="11"/>
        <v>662423</v>
      </c>
      <c r="Q14" s="374">
        <f t="shared" si="11"/>
        <v>1143436</v>
      </c>
      <c r="R14" s="374">
        <f t="shared" si="11"/>
        <v>866803</v>
      </c>
      <c r="S14" s="374">
        <f t="shared" si="11"/>
        <v>967612</v>
      </c>
      <c r="T14" s="374">
        <f t="shared" si="11"/>
        <v>2088622</v>
      </c>
      <c r="U14" s="374">
        <f t="shared" si="11"/>
        <v>641149</v>
      </c>
      <c r="V14" s="374">
        <f t="shared" si="11"/>
        <v>1038649</v>
      </c>
      <c r="W14" s="374">
        <f t="shared" si="11"/>
        <v>935900</v>
      </c>
      <c r="X14" s="374">
        <f t="shared" si="11"/>
        <v>637400</v>
      </c>
      <c r="Y14" s="374">
        <f t="shared" si="11"/>
        <v>938900</v>
      </c>
      <c r="Z14" s="374">
        <f t="shared" si="11"/>
        <v>640400</v>
      </c>
      <c r="AA14" s="374">
        <f t="shared" si="11"/>
        <v>941900</v>
      </c>
      <c r="AB14" s="374">
        <f t="shared" si="11"/>
        <v>943400</v>
      </c>
      <c r="AC14" s="374">
        <f t="shared" si="11"/>
        <v>644900</v>
      </c>
      <c r="AD14" s="374">
        <f t="shared" si="11"/>
        <v>646400</v>
      </c>
    </row>
    <row r="15" spans="1:38" ht="18.75" x14ac:dyDescent="0.3">
      <c r="A15" s="473">
        <f>M14</f>
        <v>15624575</v>
      </c>
      <c r="B15" s="473"/>
      <c r="D15" s="326" t="s">
        <v>636</v>
      </c>
      <c r="E15" s="335">
        <f>SUM(E16:E19)</f>
        <v>30302935</v>
      </c>
      <c r="F15" s="336">
        <f>E15/E35</f>
        <v>0.42189935366963216</v>
      </c>
      <c r="G15" s="362" t="s">
        <v>637</v>
      </c>
      <c r="H15" s="363">
        <v>0</v>
      </c>
      <c r="I15" s="349">
        <f t="shared" si="8"/>
        <v>0</v>
      </c>
      <c r="K15" s="375" t="s">
        <v>638</v>
      </c>
      <c r="L15" s="376" t="str">
        <f>K15</f>
        <v>Sueldos</v>
      </c>
      <c r="M15" s="377">
        <f t="shared" si="6"/>
        <v>2957684</v>
      </c>
      <c r="N15" s="378">
        <v>162736</v>
      </c>
      <c r="O15" s="378">
        <v>162736</v>
      </c>
      <c r="P15" s="378">
        <v>162736</v>
      </c>
      <c r="Q15" s="378">
        <f>P15</f>
        <v>162736</v>
      </c>
      <c r="R15" s="378">
        <v>162736</v>
      </c>
      <c r="S15" s="378">
        <v>168696</v>
      </c>
      <c r="T15" s="378">
        <f t="shared" ref="T15:AD15" si="12">S15+1500</f>
        <v>170196</v>
      </c>
      <c r="U15" s="378">
        <v>165150</v>
      </c>
      <c r="V15" s="378">
        <v>176218</v>
      </c>
      <c r="W15" s="378">
        <f t="shared" si="12"/>
        <v>177718</v>
      </c>
      <c r="X15" s="378">
        <f t="shared" si="12"/>
        <v>179218</v>
      </c>
      <c r="Y15" s="378">
        <f t="shared" si="12"/>
        <v>180718</v>
      </c>
      <c r="Z15" s="378">
        <f t="shared" si="12"/>
        <v>182218</v>
      </c>
      <c r="AA15" s="378">
        <f t="shared" si="12"/>
        <v>183718</v>
      </c>
      <c r="AB15" s="378">
        <f t="shared" si="12"/>
        <v>185218</v>
      </c>
      <c r="AC15" s="378">
        <f t="shared" si="12"/>
        <v>186718</v>
      </c>
      <c r="AD15" s="378">
        <f t="shared" si="12"/>
        <v>188218</v>
      </c>
    </row>
    <row r="16" spans="1:38" x14ac:dyDescent="0.25">
      <c r="D16" s="360" t="s">
        <v>639</v>
      </c>
      <c r="E16" s="361">
        <v>0</v>
      </c>
      <c r="F16" s="346">
        <f>E16/E35</f>
        <v>0</v>
      </c>
      <c r="G16" s="379" t="s">
        <v>640</v>
      </c>
      <c r="H16" s="380">
        <f>E29-H26</f>
        <v>822923</v>
      </c>
      <c r="I16" s="349">
        <f t="shared" si="8"/>
        <v>1.1457328533354101E-2</v>
      </c>
      <c r="K16" s="375" t="s">
        <v>641</v>
      </c>
      <c r="L16" s="376" t="str">
        <f>K16</f>
        <v xml:space="preserve">Mantenimiento </v>
      </c>
      <c r="M16" s="377">
        <f t="shared" si="6"/>
        <v>495040</v>
      </c>
      <c r="N16" s="378">
        <v>29120</v>
      </c>
      <c r="O16" s="378">
        <f>N16</f>
        <v>29120</v>
      </c>
      <c r="P16" s="378">
        <f t="shared" ref="P16:AD16" si="13">O16</f>
        <v>29120</v>
      </c>
      <c r="Q16" s="378">
        <f t="shared" si="13"/>
        <v>29120</v>
      </c>
      <c r="R16" s="378">
        <f t="shared" si="13"/>
        <v>29120</v>
      </c>
      <c r="S16" s="378">
        <f t="shared" si="13"/>
        <v>29120</v>
      </c>
      <c r="T16" s="378">
        <f t="shared" si="13"/>
        <v>29120</v>
      </c>
      <c r="U16" s="378">
        <f t="shared" si="13"/>
        <v>29120</v>
      </c>
      <c r="V16" s="378">
        <f t="shared" si="13"/>
        <v>29120</v>
      </c>
      <c r="W16" s="378">
        <f t="shared" si="13"/>
        <v>29120</v>
      </c>
      <c r="X16" s="378">
        <f t="shared" si="13"/>
        <v>29120</v>
      </c>
      <c r="Y16" s="378">
        <f t="shared" si="13"/>
        <v>29120</v>
      </c>
      <c r="Z16" s="378">
        <f t="shared" si="13"/>
        <v>29120</v>
      </c>
      <c r="AA16" s="378">
        <f t="shared" si="13"/>
        <v>29120</v>
      </c>
      <c r="AB16" s="378">
        <f t="shared" si="13"/>
        <v>29120</v>
      </c>
      <c r="AC16" s="378">
        <f t="shared" si="13"/>
        <v>29120</v>
      </c>
      <c r="AD16" s="378">
        <f t="shared" si="13"/>
        <v>29120</v>
      </c>
    </row>
    <row r="17" spans="1:30" ht="20.25" customHeight="1" x14ac:dyDescent="0.25">
      <c r="D17" s="381" t="s">
        <v>636</v>
      </c>
      <c r="E17" s="382">
        <f>14003+1100+450+378420+6200+2100000+19100+99021+350+895000+8000+1838000+8434+5000+1570248</f>
        <v>6943326</v>
      </c>
      <c r="F17" s="383">
        <f>E17/E35</f>
        <v>9.6670000833831843E-2</v>
      </c>
      <c r="G17" s="359"/>
      <c r="H17" s="357"/>
      <c r="I17" s="384"/>
      <c r="K17" s="375" t="s">
        <v>642</v>
      </c>
      <c r="L17" s="376" t="s">
        <v>614</v>
      </c>
      <c r="M17" s="377">
        <f t="shared" si="6"/>
        <v>0</v>
      </c>
      <c r="N17" s="378">
        <v>0</v>
      </c>
      <c r="O17" s="378">
        <v>0</v>
      </c>
      <c r="P17" s="378">
        <v>0</v>
      </c>
      <c r="Q17" s="378">
        <v>0</v>
      </c>
      <c r="R17" s="378">
        <v>0</v>
      </c>
      <c r="S17" s="378">
        <v>0</v>
      </c>
      <c r="T17" s="378">
        <v>0</v>
      </c>
      <c r="U17" s="378">
        <v>0</v>
      </c>
      <c r="V17" s="378">
        <v>0</v>
      </c>
      <c r="W17" s="378">
        <v>0</v>
      </c>
      <c r="X17" s="378">
        <v>0</v>
      </c>
      <c r="Y17" s="378">
        <v>0</v>
      </c>
      <c r="Z17" s="378">
        <v>0</v>
      </c>
      <c r="AA17" s="378">
        <v>0</v>
      </c>
      <c r="AB17" s="378">
        <v>0</v>
      </c>
      <c r="AC17" s="378">
        <v>0</v>
      </c>
      <c r="AD17" s="378">
        <v>0</v>
      </c>
    </row>
    <row r="18" spans="1:30" x14ac:dyDescent="0.25">
      <c r="D18" s="360" t="s">
        <v>643</v>
      </c>
      <c r="E18" s="361">
        <f>7000000+19000+600000+4000+496109+4000+1530000+5500+3450000+10000+2500000+5000+3600000+15000+3869000+5000+245000+2000</f>
        <v>23359609</v>
      </c>
      <c r="F18" s="346">
        <f>E18/E35</f>
        <v>0.32522935283580029</v>
      </c>
      <c r="G18" s="326" t="s">
        <v>644</v>
      </c>
      <c r="H18" s="385">
        <f>H19</f>
        <v>1570248</v>
      </c>
      <c r="I18" s="338">
        <f>H18/$H$35</f>
        <v>2.1862127094323787E-2</v>
      </c>
      <c r="K18" s="375" t="s">
        <v>645</v>
      </c>
      <c r="L18" s="376" t="str">
        <f>K18</f>
        <v>Empleados</v>
      </c>
      <c r="M18" s="377">
        <f t="shared" si="6"/>
        <v>1109760</v>
      </c>
      <c r="N18" s="378">
        <v>65280</v>
      </c>
      <c r="O18" s="378">
        <f>N18</f>
        <v>65280</v>
      </c>
      <c r="P18" s="378">
        <f t="shared" ref="P18:AD24" si="14">O18</f>
        <v>65280</v>
      </c>
      <c r="Q18" s="378">
        <f t="shared" si="14"/>
        <v>65280</v>
      </c>
      <c r="R18" s="378">
        <f t="shared" si="14"/>
        <v>65280</v>
      </c>
      <c r="S18" s="378">
        <f t="shared" si="14"/>
        <v>65280</v>
      </c>
      <c r="T18" s="378">
        <f t="shared" si="14"/>
        <v>65280</v>
      </c>
      <c r="U18" s="378">
        <f t="shared" si="14"/>
        <v>65280</v>
      </c>
      <c r="V18" s="378">
        <f t="shared" si="14"/>
        <v>65280</v>
      </c>
      <c r="W18" s="378">
        <f t="shared" si="14"/>
        <v>65280</v>
      </c>
      <c r="X18" s="378">
        <f t="shared" si="14"/>
        <v>65280</v>
      </c>
      <c r="Y18" s="378">
        <f t="shared" si="14"/>
        <v>65280</v>
      </c>
      <c r="Z18" s="378">
        <f t="shared" si="14"/>
        <v>65280</v>
      </c>
      <c r="AA18" s="378">
        <f t="shared" si="14"/>
        <v>65280</v>
      </c>
      <c r="AB18" s="378">
        <f t="shared" si="14"/>
        <v>65280</v>
      </c>
      <c r="AC18" s="378">
        <f t="shared" si="14"/>
        <v>65280</v>
      </c>
      <c r="AD18" s="378">
        <f t="shared" si="14"/>
        <v>65280</v>
      </c>
    </row>
    <row r="19" spans="1:30" x14ac:dyDescent="0.25">
      <c r="D19" s="360" t="s">
        <v>646</v>
      </c>
      <c r="E19" s="361">
        <v>0</v>
      </c>
      <c r="F19" s="346">
        <f>E19/E35</f>
        <v>0</v>
      </c>
      <c r="G19" s="386" t="s">
        <v>647</v>
      </c>
      <c r="H19" s="387">
        <f>M20</f>
        <v>1570248</v>
      </c>
      <c r="I19" s="349">
        <f>H19/$H$35</f>
        <v>2.1862127094323787E-2</v>
      </c>
      <c r="K19" s="375" t="s">
        <v>648</v>
      </c>
      <c r="L19" s="376" t="str">
        <f>K19</f>
        <v>Juveniles</v>
      </c>
      <c r="M19" s="377">
        <f t="shared" si="6"/>
        <v>340000</v>
      </c>
      <c r="N19" s="378">
        <v>20000</v>
      </c>
      <c r="O19" s="378">
        <f>N19</f>
        <v>20000</v>
      </c>
      <c r="P19" s="378">
        <f t="shared" si="14"/>
        <v>20000</v>
      </c>
      <c r="Q19" s="378">
        <f t="shared" si="14"/>
        <v>20000</v>
      </c>
      <c r="R19" s="378">
        <f t="shared" si="14"/>
        <v>20000</v>
      </c>
      <c r="S19" s="378">
        <f t="shared" si="14"/>
        <v>20000</v>
      </c>
      <c r="T19" s="378">
        <f t="shared" si="14"/>
        <v>20000</v>
      </c>
      <c r="U19" s="378">
        <f t="shared" si="14"/>
        <v>20000</v>
      </c>
      <c r="V19" s="378">
        <f t="shared" si="14"/>
        <v>20000</v>
      </c>
      <c r="W19" s="378">
        <f t="shared" si="14"/>
        <v>20000</v>
      </c>
      <c r="X19" s="378">
        <f t="shared" si="14"/>
        <v>20000</v>
      </c>
      <c r="Y19" s="378">
        <f t="shared" si="14"/>
        <v>20000</v>
      </c>
      <c r="Z19" s="378">
        <f t="shared" si="14"/>
        <v>20000</v>
      </c>
      <c r="AA19" s="378">
        <f t="shared" si="14"/>
        <v>20000</v>
      </c>
      <c r="AB19" s="378">
        <f t="shared" si="14"/>
        <v>20000</v>
      </c>
      <c r="AC19" s="378">
        <f t="shared" si="14"/>
        <v>20000</v>
      </c>
      <c r="AD19" s="378">
        <f t="shared" si="14"/>
        <v>20000</v>
      </c>
    </row>
    <row r="20" spans="1:30" ht="20.25" customHeight="1" x14ac:dyDescent="0.25">
      <c r="D20" s="359"/>
      <c r="E20" s="370"/>
      <c r="F20" s="388"/>
      <c r="G20" s="389"/>
      <c r="H20" s="390"/>
      <c r="I20" s="391"/>
      <c r="K20" s="375" t="s">
        <v>649</v>
      </c>
      <c r="L20" s="376" t="s">
        <v>647</v>
      </c>
      <c r="M20" s="377">
        <f t="shared" si="6"/>
        <v>1570248</v>
      </c>
      <c r="N20" s="378">
        <v>0</v>
      </c>
      <c r="O20" s="378">
        <v>0</v>
      </c>
      <c r="P20" s="378">
        <f t="shared" si="14"/>
        <v>0</v>
      </c>
      <c r="Q20" s="378">
        <f t="shared" si="14"/>
        <v>0</v>
      </c>
      <c r="R20" s="378">
        <f t="shared" si="14"/>
        <v>0</v>
      </c>
      <c r="S20" s="378">
        <f t="shared" si="14"/>
        <v>0</v>
      </c>
      <c r="T20" s="378">
        <f t="shared" si="14"/>
        <v>0</v>
      </c>
      <c r="U20" s="378">
        <v>1570248</v>
      </c>
      <c r="V20" s="378">
        <v>0</v>
      </c>
      <c r="W20" s="378">
        <f t="shared" si="14"/>
        <v>0</v>
      </c>
      <c r="X20" s="378">
        <f t="shared" si="14"/>
        <v>0</v>
      </c>
      <c r="Y20" s="378">
        <f t="shared" si="14"/>
        <v>0</v>
      </c>
      <c r="Z20" s="378">
        <f t="shared" si="14"/>
        <v>0</v>
      </c>
      <c r="AA20" s="378">
        <f t="shared" si="14"/>
        <v>0</v>
      </c>
      <c r="AB20" s="378">
        <f t="shared" si="14"/>
        <v>0</v>
      </c>
      <c r="AC20" s="378">
        <f t="shared" si="14"/>
        <v>0</v>
      </c>
      <c r="AD20" s="378">
        <f t="shared" si="14"/>
        <v>0</v>
      </c>
    </row>
    <row r="21" spans="1:30" x14ac:dyDescent="0.25">
      <c r="D21" s="326" t="s">
        <v>622</v>
      </c>
      <c r="E21" s="392">
        <f>E22</f>
        <v>1253660</v>
      </c>
      <c r="F21" s="336">
        <f>E21/E35</f>
        <v>1.745436023677149E-2</v>
      </c>
      <c r="G21" s="389"/>
      <c r="H21" s="390"/>
      <c r="I21" s="391"/>
      <c r="K21" s="469" t="s">
        <v>628</v>
      </c>
      <c r="L21" s="376" t="s">
        <v>617</v>
      </c>
      <c r="M21" s="377">
        <f t="shared" si="6"/>
        <v>0</v>
      </c>
      <c r="N21" s="378">
        <v>0</v>
      </c>
      <c r="O21" s="378">
        <f>N21</f>
        <v>0</v>
      </c>
      <c r="P21" s="378">
        <f t="shared" si="14"/>
        <v>0</v>
      </c>
      <c r="Q21" s="378">
        <f t="shared" si="14"/>
        <v>0</v>
      </c>
      <c r="R21" s="378">
        <f t="shared" si="14"/>
        <v>0</v>
      </c>
      <c r="S21" s="378">
        <f t="shared" si="14"/>
        <v>0</v>
      </c>
      <c r="T21" s="378">
        <f t="shared" si="14"/>
        <v>0</v>
      </c>
      <c r="U21" s="378">
        <f t="shared" si="14"/>
        <v>0</v>
      </c>
      <c r="V21" s="378">
        <f t="shared" si="14"/>
        <v>0</v>
      </c>
      <c r="W21" s="378">
        <f t="shared" si="14"/>
        <v>0</v>
      </c>
      <c r="X21" s="378">
        <f t="shared" si="14"/>
        <v>0</v>
      </c>
      <c r="Y21" s="378">
        <f t="shared" si="14"/>
        <v>0</v>
      </c>
      <c r="Z21" s="378">
        <f t="shared" si="14"/>
        <v>0</v>
      </c>
      <c r="AA21" s="378">
        <f t="shared" si="14"/>
        <v>0</v>
      </c>
      <c r="AB21" s="378">
        <f t="shared" si="14"/>
        <v>0</v>
      </c>
      <c r="AC21" s="378">
        <f t="shared" si="14"/>
        <v>0</v>
      </c>
      <c r="AD21" s="378">
        <f t="shared" si="14"/>
        <v>0</v>
      </c>
    </row>
    <row r="22" spans="1:30" x14ac:dyDescent="0.25">
      <c r="D22" s="360" t="s">
        <v>622</v>
      </c>
      <c r="E22" s="361">
        <f>M8+M9</f>
        <v>1253660</v>
      </c>
      <c r="F22" s="346">
        <f>E22/E35</f>
        <v>1.745436023677149E-2</v>
      </c>
      <c r="G22" s="326" t="s">
        <v>650</v>
      </c>
      <c r="H22" s="337">
        <f>SUM(H23:H24)</f>
        <v>0</v>
      </c>
      <c r="I22" s="338">
        <f>H22/$H$35</f>
        <v>0</v>
      </c>
      <c r="K22" s="470"/>
      <c r="L22" s="376" t="s">
        <v>651</v>
      </c>
      <c r="M22" s="377">
        <f t="shared" si="6"/>
        <v>145508</v>
      </c>
      <c r="N22" s="378">
        <v>18000</v>
      </c>
      <c r="O22" s="378">
        <v>3000</v>
      </c>
      <c r="P22" s="378">
        <v>3000</v>
      </c>
      <c r="Q22" s="378">
        <v>3000</v>
      </c>
      <c r="R22" s="378">
        <v>3000</v>
      </c>
      <c r="S22" s="378">
        <v>4000</v>
      </c>
      <c r="T22" s="378">
        <v>3000</v>
      </c>
      <c r="U22" s="378">
        <v>84508</v>
      </c>
      <c r="V22" s="378">
        <v>0</v>
      </c>
      <c r="W22" s="378">
        <v>3000</v>
      </c>
      <c r="X22" s="378">
        <f t="shared" si="14"/>
        <v>3000</v>
      </c>
      <c r="Y22" s="378">
        <f t="shared" si="14"/>
        <v>3000</v>
      </c>
      <c r="Z22" s="378">
        <f t="shared" si="14"/>
        <v>3000</v>
      </c>
      <c r="AA22" s="378">
        <f t="shared" si="14"/>
        <v>3000</v>
      </c>
      <c r="AB22" s="378">
        <f t="shared" si="14"/>
        <v>3000</v>
      </c>
      <c r="AC22" s="378">
        <f t="shared" si="14"/>
        <v>3000</v>
      </c>
      <c r="AD22" s="378">
        <f t="shared" si="14"/>
        <v>3000</v>
      </c>
    </row>
    <row r="23" spans="1:30" ht="18.75" x14ac:dyDescent="0.3">
      <c r="C23" s="393"/>
      <c r="D23" s="359"/>
      <c r="E23" s="370"/>
      <c r="F23" s="388"/>
      <c r="G23" s="386" t="s">
        <v>614</v>
      </c>
      <c r="H23" s="394">
        <f>M17</f>
        <v>0</v>
      </c>
      <c r="I23" s="349">
        <f>H23/$H$35</f>
        <v>0</v>
      </c>
      <c r="K23" s="471"/>
      <c r="L23" s="376" t="s">
        <v>652</v>
      </c>
      <c r="M23" s="377">
        <f t="shared" si="6"/>
        <v>0</v>
      </c>
      <c r="N23" s="378">
        <v>0</v>
      </c>
      <c r="O23" s="378">
        <f>N23</f>
        <v>0</v>
      </c>
      <c r="P23" s="378">
        <f t="shared" si="14"/>
        <v>0</v>
      </c>
      <c r="Q23" s="378">
        <f t="shared" si="14"/>
        <v>0</v>
      </c>
      <c r="R23" s="378">
        <f t="shared" si="14"/>
        <v>0</v>
      </c>
      <c r="S23" s="378">
        <f t="shared" si="14"/>
        <v>0</v>
      </c>
      <c r="T23" s="378">
        <f t="shared" si="14"/>
        <v>0</v>
      </c>
      <c r="U23" s="378">
        <f t="shared" si="14"/>
        <v>0</v>
      </c>
      <c r="V23" s="378">
        <f t="shared" si="14"/>
        <v>0</v>
      </c>
      <c r="W23" s="378">
        <f t="shared" si="14"/>
        <v>0</v>
      </c>
      <c r="X23" s="378">
        <f t="shared" si="14"/>
        <v>0</v>
      </c>
      <c r="Y23" s="378">
        <f t="shared" si="14"/>
        <v>0</v>
      </c>
      <c r="Z23" s="378">
        <f t="shared" si="14"/>
        <v>0</v>
      </c>
      <c r="AA23" s="378">
        <f t="shared" si="14"/>
        <v>0</v>
      </c>
      <c r="AB23" s="378">
        <f t="shared" si="14"/>
        <v>0</v>
      </c>
      <c r="AC23" s="378">
        <f t="shared" si="14"/>
        <v>0</v>
      </c>
      <c r="AD23" s="378">
        <f t="shared" si="14"/>
        <v>0</v>
      </c>
    </row>
    <row r="24" spans="1:30" ht="18.75" x14ac:dyDescent="0.3">
      <c r="A24" s="395" t="str">
        <f t="shared" ref="A24:A31" si="15">L15</f>
        <v>Sueldos</v>
      </c>
      <c r="B24" s="396">
        <f t="shared" ref="B24:B31" si="16">M15/$M$25</f>
        <v>0.44689887341649742</v>
      </c>
      <c r="C24" s="334"/>
      <c r="D24" s="326" t="s">
        <v>669</v>
      </c>
      <c r="E24" s="335">
        <f>E25+E26-E27</f>
        <v>17183459</v>
      </c>
      <c r="F24" s="336">
        <f>E24/E35</f>
        <v>0.23924053052645308</v>
      </c>
      <c r="G24" s="386" t="s">
        <v>617</v>
      </c>
      <c r="H24" s="394">
        <f>M21</f>
        <v>0</v>
      </c>
      <c r="I24" s="349">
        <f>H24/$H$35</f>
        <v>0</v>
      </c>
      <c r="K24" s="375" t="s">
        <v>653</v>
      </c>
      <c r="L24" s="376" t="str">
        <f>K24</f>
        <v>Intereses</v>
      </c>
      <c r="M24" s="377">
        <f t="shared" si="6"/>
        <v>0</v>
      </c>
      <c r="N24" s="378">
        <v>0</v>
      </c>
      <c r="O24" s="378">
        <f t="shared" ref="O24" si="17">N24</f>
        <v>0</v>
      </c>
      <c r="P24" s="378">
        <f t="shared" si="14"/>
        <v>0</v>
      </c>
      <c r="Q24" s="378">
        <f t="shared" si="14"/>
        <v>0</v>
      </c>
      <c r="R24" s="378">
        <f t="shared" si="14"/>
        <v>0</v>
      </c>
      <c r="S24" s="378">
        <f t="shared" si="14"/>
        <v>0</v>
      </c>
      <c r="T24" s="378">
        <f t="shared" si="14"/>
        <v>0</v>
      </c>
      <c r="U24" s="378">
        <f t="shared" si="14"/>
        <v>0</v>
      </c>
      <c r="V24" s="378">
        <f t="shared" si="14"/>
        <v>0</v>
      </c>
      <c r="W24" s="378">
        <f t="shared" si="14"/>
        <v>0</v>
      </c>
      <c r="X24" s="378">
        <f t="shared" si="14"/>
        <v>0</v>
      </c>
      <c r="Y24" s="378">
        <f t="shared" si="14"/>
        <v>0</v>
      </c>
      <c r="Z24" s="378">
        <f t="shared" si="14"/>
        <v>0</v>
      </c>
      <c r="AA24" s="378">
        <f t="shared" si="14"/>
        <v>0</v>
      </c>
      <c r="AB24" s="378">
        <f t="shared" si="14"/>
        <v>0</v>
      </c>
      <c r="AC24" s="378">
        <f t="shared" si="14"/>
        <v>0</v>
      </c>
      <c r="AD24" s="378">
        <f t="shared" si="14"/>
        <v>0</v>
      </c>
    </row>
    <row r="25" spans="1:30" ht="18.75" x14ac:dyDescent="0.3">
      <c r="A25" s="395" t="str">
        <f t="shared" si="15"/>
        <v xml:space="preserve">Mantenimiento </v>
      </c>
      <c r="B25" s="396">
        <f t="shared" si="16"/>
        <v>7.4799342423363308E-2</v>
      </c>
      <c r="C25" s="311"/>
      <c r="D25" s="362" t="s">
        <v>654</v>
      </c>
      <c r="E25" s="397">
        <f>N5</f>
        <v>8683459</v>
      </c>
      <c r="F25" s="346">
        <f>E25/E35</f>
        <v>0.12089738963294315</v>
      </c>
      <c r="G25" s="398"/>
      <c r="H25" s="399"/>
      <c r="I25" s="400"/>
      <c r="K25" s="401" t="s">
        <v>655</v>
      </c>
      <c r="L25" s="402"/>
      <c r="M25" s="403">
        <f t="shared" si="6"/>
        <v>6618240</v>
      </c>
      <c r="N25" s="404">
        <f>SUM(N15:N24)</f>
        <v>295136</v>
      </c>
      <c r="O25" s="404">
        <f t="shared" ref="O25:AD25" si="18">SUM(O15:O24)</f>
        <v>280136</v>
      </c>
      <c r="P25" s="404">
        <f t="shared" si="18"/>
        <v>280136</v>
      </c>
      <c r="Q25" s="404">
        <f t="shared" si="18"/>
        <v>280136</v>
      </c>
      <c r="R25" s="404">
        <f t="shared" si="18"/>
        <v>280136</v>
      </c>
      <c r="S25" s="404">
        <f t="shared" si="18"/>
        <v>287096</v>
      </c>
      <c r="T25" s="404">
        <f t="shared" si="18"/>
        <v>287596</v>
      </c>
      <c r="U25" s="404">
        <f t="shared" si="18"/>
        <v>1934306</v>
      </c>
      <c r="V25" s="404">
        <f t="shared" si="18"/>
        <v>290618</v>
      </c>
      <c r="W25" s="404">
        <f t="shared" si="18"/>
        <v>295118</v>
      </c>
      <c r="X25" s="404">
        <f t="shared" si="18"/>
        <v>296618</v>
      </c>
      <c r="Y25" s="404">
        <f t="shared" si="18"/>
        <v>298118</v>
      </c>
      <c r="Z25" s="404">
        <f t="shared" si="18"/>
        <v>299618</v>
      </c>
      <c r="AA25" s="404">
        <f t="shared" si="18"/>
        <v>301118</v>
      </c>
      <c r="AB25" s="404">
        <f t="shared" si="18"/>
        <v>302618</v>
      </c>
      <c r="AC25" s="404">
        <f t="shared" si="18"/>
        <v>304118</v>
      </c>
      <c r="AD25" s="404">
        <f t="shared" si="18"/>
        <v>305618</v>
      </c>
    </row>
    <row r="26" spans="1:30" ht="18.75" x14ac:dyDescent="0.3">
      <c r="A26" s="395" t="str">
        <f t="shared" si="15"/>
        <v>Estadio</v>
      </c>
      <c r="B26" s="396">
        <f t="shared" si="16"/>
        <v>0</v>
      </c>
      <c r="C26" s="319"/>
      <c r="D26" s="362" t="str">
        <f>D12</f>
        <v>Ing Reservas</v>
      </c>
      <c r="E26" s="397">
        <f>M13</f>
        <v>8500000</v>
      </c>
      <c r="F26" s="346">
        <f>E26/E35</f>
        <v>0.11834314089350993</v>
      </c>
      <c r="G26" s="326" t="s">
        <v>656</v>
      </c>
      <c r="H26" s="337">
        <f>SUM(H27:H32)</f>
        <v>5047992</v>
      </c>
      <c r="I26" s="338">
        <f t="shared" ref="I26:I32" si="19">H26/$H$35</f>
        <v>7.0281791586507172E-2</v>
      </c>
      <c r="K26" s="405" t="s">
        <v>657</v>
      </c>
      <c r="L26" s="405"/>
      <c r="M26" s="341">
        <f t="shared" ref="M26:AD26" si="20">M5+M14-M25</f>
        <v>17689794</v>
      </c>
      <c r="N26" s="341">
        <f t="shared" si="20"/>
        <v>9623483</v>
      </c>
      <c r="O26" s="341">
        <f t="shared" si="20"/>
        <v>9994868</v>
      </c>
      <c r="P26" s="341">
        <f t="shared" si="20"/>
        <v>10377155</v>
      </c>
      <c r="Q26" s="341">
        <f t="shared" si="20"/>
        <v>11240455</v>
      </c>
      <c r="R26" s="341">
        <f t="shared" si="20"/>
        <v>11827122</v>
      </c>
      <c r="S26" s="341">
        <f t="shared" si="20"/>
        <v>12507638</v>
      </c>
      <c r="T26" s="341">
        <f t="shared" si="20"/>
        <v>14308664</v>
      </c>
      <c r="U26" s="341">
        <f t="shared" si="20"/>
        <v>13015507</v>
      </c>
      <c r="V26" s="341">
        <f t="shared" si="20"/>
        <v>13763538</v>
      </c>
      <c r="W26" s="341">
        <f t="shared" si="20"/>
        <v>14404320</v>
      </c>
      <c r="X26" s="341">
        <f t="shared" si="20"/>
        <v>14745102</v>
      </c>
      <c r="Y26" s="341">
        <f t="shared" si="20"/>
        <v>15385884</v>
      </c>
      <c r="Z26" s="341">
        <f t="shared" si="20"/>
        <v>15726666</v>
      </c>
      <c r="AA26" s="341">
        <f t="shared" si="20"/>
        <v>16367448</v>
      </c>
      <c r="AB26" s="341">
        <f t="shared" si="20"/>
        <v>17008230</v>
      </c>
      <c r="AC26" s="341">
        <f t="shared" si="20"/>
        <v>17349012</v>
      </c>
      <c r="AD26" s="341">
        <f t="shared" si="20"/>
        <v>17689794</v>
      </c>
    </row>
    <row r="27" spans="1:30" x14ac:dyDescent="0.25">
      <c r="A27" s="395" t="str">
        <f t="shared" si="15"/>
        <v>Empleados</v>
      </c>
      <c r="B27" s="396">
        <f t="shared" si="16"/>
        <v>0.16768204235567161</v>
      </c>
      <c r="C27" s="315"/>
      <c r="D27" s="362" t="str">
        <f>D13</f>
        <v>Pago Reservas</v>
      </c>
      <c r="E27" s="397">
        <f>M23*-1</f>
        <v>0</v>
      </c>
      <c r="F27" s="346">
        <f>E27/E35</f>
        <v>0</v>
      </c>
      <c r="G27" s="386" t="s">
        <v>658</v>
      </c>
      <c r="H27" s="394">
        <f>M15</f>
        <v>2957684</v>
      </c>
      <c r="I27" s="349">
        <f t="shared" si="19"/>
        <v>4.1179013450644709E-2</v>
      </c>
      <c r="K27" s="406"/>
      <c r="L27" s="406"/>
      <c r="M27" s="406"/>
      <c r="N27" s="407">
        <f>N1+7</f>
        <v>43644</v>
      </c>
      <c r="O27" s="407">
        <f t="shared" ref="O27:AD27" si="21">N27+7</f>
        <v>43651</v>
      </c>
      <c r="P27" s="407">
        <f t="shared" si="21"/>
        <v>43658</v>
      </c>
      <c r="Q27" s="407">
        <f t="shared" si="21"/>
        <v>43665</v>
      </c>
      <c r="R27" s="407">
        <f t="shared" si="21"/>
        <v>43672</v>
      </c>
      <c r="S27" s="407">
        <f t="shared" si="21"/>
        <v>43679</v>
      </c>
      <c r="T27" s="407">
        <f t="shared" si="21"/>
        <v>43686</v>
      </c>
      <c r="U27" s="407">
        <f t="shared" si="21"/>
        <v>43693</v>
      </c>
      <c r="V27" s="407">
        <f t="shared" si="21"/>
        <v>43700</v>
      </c>
      <c r="W27" s="407">
        <f t="shared" si="21"/>
        <v>43707</v>
      </c>
      <c r="X27" s="407">
        <f t="shared" si="21"/>
        <v>43714</v>
      </c>
      <c r="Y27" s="407">
        <f t="shared" si="21"/>
        <v>43721</v>
      </c>
      <c r="Z27" s="407">
        <f t="shared" si="21"/>
        <v>43728</v>
      </c>
      <c r="AA27" s="407">
        <f t="shared" si="21"/>
        <v>43735</v>
      </c>
      <c r="AB27" s="407">
        <f t="shared" si="21"/>
        <v>43742</v>
      </c>
      <c r="AC27" s="407">
        <f t="shared" si="21"/>
        <v>43749</v>
      </c>
      <c r="AD27" s="407">
        <f t="shared" si="21"/>
        <v>43756</v>
      </c>
    </row>
    <row r="28" spans="1:30" x14ac:dyDescent="0.25">
      <c r="A28" s="395" t="str">
        <f t="shared" si="15"/>
        <v>Juveniles</v>
      </c>
      <c r="B28" s="396">
        <f t="shared" si="16"/>
        <v>5.1373174741320957E-2</v>
      </c>
      <c r="C28" s="319"/>
      <c r="D28" s="389"/>
      <c r="E28" s="408"/>
      <c r="F28" s="346"/>
      <c r="G28" s="386" t="s">
        <v>641</v>
      </c>
      <c r="H28" s="394">
        <f>M16</f>
        <v>495040</v>
      </c>
      <c r="I28" s="349">
        <f t="shared" si="19"/>
        <v>6.8923045256380185E-3</v>
      </c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  <c r="AA28" s="409"/>
      <c r="AB28" s="409"/>
      <c r="AC28" s="409"/>
      <c r="AD28" s="409"/>
    </row>
    <row r="29" spans="1:30" x14ac:dyDescent="0.25">
      <c r="A29" s="395" t="str">
        <f t="shared" si="15"/>
        <v>Compra</v>
      </c>
      <c r="B29" s="396">
        <f t="shared" si="16"/>
        <v>0.23726066144473454</v>
      </c>
      <c r="D29" s="326" t="s">
        <v>659</v>
      </c>
      <c r="E29" s="335">
        <f>SUM(E30:E34)</f>
        <v>5870915</v>
      </c>
      <c r="F29" s="336">
        <f>E29/E35</f>
        <v>8.1739120119861272E-2</v>
      </c>
      <c r="G29" s="386" t="s">
        <v>645</v>
      </c>
      <c r="H29" s="394">
        <f>M18</f>
        <v>1109760</v>
      </c>
      <c r="I29" s="349">
        <f t="shared" si="19"/>
        <v>1.5450880475056656E-2</v>
      </c>
      <c r="K29" s="410"/>
      <c r="L29" s="410"/>
      <c r="M29" s="411" t="s">
        <v>636</v>
      </c>
      <c r="N29" s="412">
        <v>18</v>
      </c>
      <c r="O29" s="412">
        <v>18</v>
      </c>
      <c r="P29" s="412">
        <v>18</v>
      </c>
      <c r="Q29" s="412">
        <v>18</v>
      </c>
      <c r="R29" s="412">
        <v>18</v>
      </c>
      <c r="S29" s="412">
        <v>18</v>
      </c>
      <c r="T29" s="412"/>
      <c r="U29" s="412"/>
      <c r="V29" s="412">
        <v>17</v>
      </c>
      <c r="W29" s="412"/>
      <c r="X29" s="412"/>
      <c r="Y29" s="412"/>
      <c r="Z29" s="412"/>
      <c r="AA29" s="412"/>
      <c r="AB29" s="412"/>
      <c r="AC29" s="412"/>
      <c r="AD29" s="412"/>
    </row>
    <row r="30" spans="1:30" x14ac:dyDescent="0.25">
      <c r="A30" s="395" t="str">
        <f t="shared" si="15"/>
        <v>Entrenador</v>
      </c>
      <c r="B30" s="396">
        <f t="shared" si="16"/>
        <v>0</v>
      </c>
      <c r="D30" s="362" t="s">
        <v>609</v>
      </c>
      <c r="E30" s="397">
        <f>M11</f>
        <v>57212</v>
      </c>
      <c r="F30" s="346">
        <f>E30/E35</f>
        <v>7.9654679727052822E-4</v>
      </c>
      <c r="G30" s="386" t="s">
        <v>648</v>
      </c>
      <c r="H30" s="394">
        <f>M19</f>
        <v>340000</v>
      </c>
      <c r="I30" s="349">
        <f t="shared" si="19"/>
        <v>4.7337256357403972E-3</v>
      </c>
      <c r="K30" s="322"/>
      <c r="L30" s="472" t="s">
        <v>660</v>
      </c>
      <c r="M30" s="413" t="s">
        <v>12</v>
      </c>
      <c r="N30" s="412">
        <v>950340</v>
      </c>
      <c r="O30" s="412">
        <v>949900</v>
      </c>
      <c r="P30" s="412">
        <v>1007530</v>
      </c>
      <c r="Q30" s="412">
        <v>1065770</v>
      </c>
      <c r="R30" s="412">
        <v>1065800</v>
      </c>
      <c r="S30" s="412">
        <v>1092850</v>
      </c>
      <c r="T30" s="412"/>
      <c r="U30" s="412"/>
      <c r="V30" s="412">
        <v>1154480</v>
      </c>
      <c r="W30" s="412"/>
      <c r="X30" s="412"/>
      <c r="Y30" s="412"/>
      <c r="Z30" s="412"/>
      <c r="AA30" s="412"/>
      <c r="AB30" s="412"/>
      <c r="AC30" s="412"/>
      <c r="AD30" s="412"/>
    </row>
    <row r="31" spans="1:30" x14ac:dyDescent="0.25">
      <c r="A31" s="395" t="str">
        <f t="shared" si="15"/>
        <v>Viajes+Venta</v>
      </c>
      <c r="B31" s="396">
        <f t="shared" si="16"/>
        <v>2.1985905618412144E-2</v>
      </c>
      <c r="D31" s="362" t="s">
        <v>631</v>
      </c>
      <c r="E31" s="397">
        <f>M12</f>
        <v>400000</v>
      </c>
      <c r="F31" s="346">
        <f>E31/E35</f>
        <v>5.5690889832239968E-3</v>
      </c>
      <c r="G31" s="386" t="s">
        <v>651</v>
      </c>
      <c r="H31" s="394">
        <f>M22</f>
        <v>145508</v>
      </c>
      <c r="I31" s="349">
        <f t="shared" si="19"/>
        <v>2.0258674994273933E-3</v>
      </c>
      <c r="K31" s="322"/>
      <c r="L31" s="472"/>
      <c r="M31" s="413" t="s">
        <v>50</v>
      </c>
      <c r="N31" s="412">
        <v>162436</v>
      </c>
      <c r="O31" s="412">
        <v>162436</v>
      </c>
      <c r="P31" s="412">
        <v>162436</v>
      </c>
      <c r="Q31" s="412">
        <v>162436</v>
      </c>
      <c r="R31" s="412">
        <v>162436</v>
      </c>
      <c r="S31" s="412">
        <v>168396</v>
      </c>
      <c r="T31" s="412"/>
      <c r="U31" s="412"/>
      <c r="V31" s="412">
        <v>175918</v>
      </c>
      <c r="W31" s="412"/>
      <c r="X31" s="412"/>
      <c r="Y31" s="412"/>
      <c r="Z31" s="412"/>
      <c r="AA31" s="412"/>
      <c r="AB31" s="412"/>
      <c r="AC31" s="412"/>
      <c r="AD31" s="412"/>
    </row>
    <row r="32" spans="1:30" x14ac:dyDescent="0.25">
      <c r="A32" s="395" t="str">
        <f>L24</f>
        <v>Intereses</v>
      </c>
      <c r="B32" s="396">
        <f>M24/$M$25</f>
        <v>0</v>
      </c>
      <c r="D32" s="362" t="s">
        <v>616</v>
      </c>
      <c r="E32" s="397">
        <f>M6</f>
        <v>3583548</v>
      </c>
      <c r="F32" s="346">
        <f>E32/E35</f>
        <v>4.9892744219135969E-2</v>
      </c>
      <c r="G32" s="386" t="s">
        <v>653</v>
      </c>
      <c r="H32" s="394">
        <f>M24</f>
        <v>0</v>
      </c>
      <c r="I32" s="349">
        <f t="shared" si="19"/>
        <v>0</v>
      </c>
      <c r="K32" s="322"/>
      <c r="L32" s="472"/>
      <c r="M32" s="413" t="s">
        <v>661</v>
      </c>
      <c r="N32" s="412">
        <v>867000</v>
      </c>
      <c r="O32" s="412">
        <v>866870</v>
      </c>
      <c r="P32" s="412">
        <v>921130</v>
      </c>
      <c r="Q32" s="412">
        <v>981580</v>
      </c>
      <c r="R32" s="412">
        <v>981420</v>
      </c>
      <c r="S32" s="412">
        <v>1007480</v>
      </c>
      <c r="T32" s="412"/>
      <c r="U32" s="412"/>
      <c r="V32" s="412">
        <v>1062240</v>
      </c>
      <c r="W32" s="412"/>
      <c r="X32" s="412"/>
      <c r="Y32" s="412"/>
      <c r="Z32" s="412"/>
      <c r="AA32" s="412"/>
      <c r="AB32" s="412"/>
      <c r="AC32" s="412"/>
      <c r="AD32" s="412"/>
    </row>
    <row r="33" spans="1:30" ht="18.75" x14ac:dyDescent="0.3">
      <c r="A33" s="319"/>
      <c r="B33" s="414">
        <f>SUM(B24:B32)</f>
        <v>1</v>
      </c>
      <c r="D33" s="362" t="s">
        <v>619</v>
      </c>
      <c r="E33" s="397">
        <f>M7</f>
        <v>1758695</v>
      </c>
      <c r="F33" s="346">
        <f>E33/E35</f>
        <v>2.4485822373377816E-2</v>
      </c>
      <c r="G33" s="389"/>
      <c r="H33" s="390"/>
      <c r="I33" s="391"/>
      <c r="K33" s="322"/>
      <c r="L33" s="472"/>
      <c r="M33" s="413" t="s">
        <v>662</v>
      </c>
      <c r="N33" s="412">
        <v>140830</v>
      </c>
      <c r="O33" s="412">
        <v>140830</v>
      </c>
      <c r="P33" s="412">
        <v>140830</v>
      </c>
      <c r="Q33" s="412">
        <v>140830</v>
      </c>
      <c r="R33" s="412">
        <v>140830</v>
      </c>
      <c r="S33" s="412">
        <v>146790</v>
      </c>
      <c r="T33" s="412"/>
      <c r="U33" s="412"/>
      <c r="V33" s="412">
        <v>148210</v>
      </c>
      <c r="W33" s="412"/>
      <c r="X33" s="412"/>
      <c r="Y33" s="412"/>
      <c r="Z33" s="412"/>
      <c r="AA33" s="412"/>
      <c r="AB33" s="412"/>
      <c r="AC33" s="412"/>
      <c r="AD33" s="412"/>
    </row>
    <row r="34" spans="1:30" ht="18.75" x14ac:dyDescent="0.3">
      <c r="A34" s="315"/>
      <c r="B34" s="415"/>
      <c r="D34" s="416" t="s">
        <v>625</v>
      </c>
      <c r="E34" s="417">
        <f>M10</f>
        <v>71460</v>
      </c>
      <c r="F34" s="346">
        <f>E34/E35</f>
        <v>9.9491774685296695E-4</v>
      </c>
      <c r="G34" s="418"/>
      <c r="H34" s="419"/>
      <c r="I34" s="420"/>
      <c r="K34" s="322"/>
      <c r="L34" s="472"/>
      <c r="M34" s="413" t="s">
        <v>663</v>
      </c>
      <c r="N34" s="421" t="s">
        <v>668</v>
      </c>
      <c r="O34" s="421" t="s">
        <v>673</v>
      </c>
      <c r="P34" s="421" t="s">
        <v>674</v>
      </c>
      <c r="Q34" s="421" t="s">
        <v>687</v>
      </c>
      <c r="R34" s="421" t="s">
        <v>688</v>
      </c>
      <c r="S34" s="421" t="s">
        <v>691</v>
      </c>
      <c r="T34" s="421"/>
      <c r="U34" s="421"/>
      <c r="V34" s="421" t="s">
        <v>721</v>
      </c>
      <c r="W34" s="421"/>
      <c r="X34" s="421"/>
      <c r="Y34" s="421"/>
      <c r="Z34" s="421"/>
      <c r="AA34" s="421"/>
      <c r="AB34" s="421"/>
      <c r="AC34" s="421"/>
      <c r="AD34" s="421"/>
    </row>
    <row r="35" spans="1:30" ht="18.75" x14ac:dyDescent="0.3">
      <c r="A35" s="474">
        <f>M25</f>
        <v>6618240</v>
      </c>
      <c r="B35" s="474"/>
      <c r="D35" s="422" t="s">
        <v>85</v>
      </c>
      <c r="E35" s="423">
        <f>E29+E21+E15+E5+E10+E24</f>
        <v>71825033</v>
      </c>
      <c r="F35" s="424">
        <f>F29+F21+F15+F5+F10+F24</f>
        <v>1</v>
      </c>
      <c r="G35" s="422" t="s">
        <v>85</v>
      </c>
      <c r="H35" s="423">
        <f>H26+H18+H10+H5+H22</f>
        <v>71825033</v>
      </c>
      <c r="I35" s="425">
        <f>H35/$H$35</f>
        <v>1</v>
      </c>
      <c r="K35" s="322"/>
      <c r="L35" s="472"/>
      <c r="M35" s="413" t="s">
        <v>664</v>
      </c>
      <c r="N35" s="426">
        <v>6</v>
      </c>
      <c r="O35" s="426">
        <v>6</v>
      </c>
      <c r="P35" s="426">
        <v>6</v>
      </c>
      <c r="Q35" s="426">
        <v>6</v>
      </c>
      <c r="R35" s="426">
        <v>6</v>
      </c>
      <c r="S35" s="426">
        <v>6</v>
      </c>
      <c r="T35" s="426"/>
      <c r="U35" s="426"/>
      <c r="V35" s="426">
        <v>6.25</v>
      </c>
      <c r="W35" s="426"/>
      <c r="X35" s="426"/>
      <c r="Y35" s="426"/>
      <c r="Z35" s="426"/>
      <c r="AA35" s="426"/>
      <c r="AB35" s="426"/>
      <c r="AC35" s="426"/>
      <c r="AD35" s="426"/>
    </row>
    <row r="36" spans="1:30" x14ac:dyDescent="0.25">
      <c r="E36" s="358"/>
      <c r="F36" s="328"/>
      <c r="G36" s="427"/>
      <c r="H36" s="428">
        <f>E35-H35</f>
        <v>0</v>
      </c>
      <c r="I36" s="358"/>
      <c r="K36" s="319"/>
      <c r="L36" s="472"/>
      <c r="M36" s="413" t="s">
        <v>665</v>
      </c>
      <c r="N36" s="426">
        <v>5.25</v>
      </c>
      <c r="O36" s="426">
        <v>5.25</v>
      </c>
      <c r="P36" s="426">
        <v>5.75</v>
      </c>
      <c r="Q36" s="426">
        <v>6</v>
      </c>
      <c r="R36" s="426">
        <v>6</v>
      </c>
      <c r="S36" s="426">
        <v>6</v>
      </c>
      <c r="T36" s="426"/>
      <c r="U36" s="426"/>
      <c r="V36" s="426">
        <v>6</v>
      </c>
      <c r="W36" s="426"/>
      <c r="X36" s="426"/>
      <c r="Y36" s="426"/>
      <c r="Z36" s="426"/>
      <c r="AA36" s="426"/>
      <c r="AB36" s="426"/>
      <c r="AC36" s="426"/>
      <c r="AD36" s="426"/>
    </row>
    <row r="37" spans="1:30" x14ac:dyDescent="0.25">
      <c r="E37" s="358"/>
      <c r="F37" s="358"/>
      <c r="H37" s="358"/>
      <c r="I37" s="358"/>
      <c r="K37" s="319"/>
      <c r="L37" s="472"/>
      <c r="M37" s="413" t="s">
        <v>666</v>
      </c>
      <c r="N37" s="426">
        <v>4.25</v>
      </c>
      <c r="O37" s="426">
        <v>4.25</v>
      </c>
      <c r="P37" s="426">
        <v>4.25</v>
      </c>
      <c r="Q37" s="426">
        <v>4.5</v>
      </c>
      <c r="R37" s="426">
        <v>4.5</v>
      </c>
      <c r="S37" s="426">
        <v>4.5</v>
      </c>
      <c r="T37" s="426"/>
      <c r="U37" s="426"/>
      <c r="V37" s="426">
        <v>4.5</v>
      </c>
      <c r="W37" s="426"/>
      <c r="X37" s="426"/>
      <c r="Y37" s="426"/>
      <c r="Z37" s="426"/>
      <c r="AA37" s="426"/>
      <c r="AB37" s="426"/>
      <c r="AC37" s="426"/>
      <c r="AD37" s="426"/>
    </row>
    <row r="38" spans="1:30" ht="15.75" x14ac:dyDescent="0.25">
      <c r="D38" s="429"/>
      <c r="E38" s="430"/>
      <c r="F38" s="358"/>
      <c r="G38" s="46"/>
      <c r="H38" s="431"/>
      <c r="I38" s="431"/>
      <c r="K38" s="319"/>
      <c r="L38" s="319"/>
      <c r="M38" s="432" t="s">
        <v>667</v>
      </c>
      <c r="N38" s="433">
        <f t="shared" ref="N38:AD38" si="22">N30/N31</f>
        <v>5.8505503706075004</v>
      </c>
      <c r="O38" s="433">
        <f t="shared" si="22"/>
        <v>5.847841611465439</v>
      </c>
      <c r="P38" s="433">
        <f t="shared" si="22"/>
        <v>6.2026274963677999</v>
      </c>
      <c r="Q38" s="433">
        <f t="shared" si="22"/>
        <v>6.5611687064443842</v>
      </c>
      <c r="R38" s="433">
        <f t="shared" si="22"/>
        <v>6.5613533945677069</v>
      </c>
      <c r="S38" s="433">
        <f t="shared" si="22"/>
        <v>6.489762227131286</v>
      </c>
      <c r="T38" s="433"/>
      <c r="U38" s="433"/>
      <c r="V38" s="433">
        <f t="shared" si="22"/>
        <v>6.5626030309576056</v>
      </c>
      <c r="W38" s="433" t="e">
        <f t="shared" si="22"/>
        <v>#DIV/0!</v>
      </c>
      <c r="X38" s="433" t="e">
        <f t="shared" si="22"/>
        <v>#DIV/0!</v>
      </c>
      <c r="Y38" s="433" t="e">
        <f t="shared" si="22"/>
        <v>#DIV/0!</v>
      </c>
      <c r="Z38" s="433" t="e">
        <f t="shared" si="22"/>
        <v>#DIV/0!</v>
      </c>
      <c r="AA38" s="433" t="e">
        <f t="shared" si="22"/>
        <v>#DIV/0!</v>
      </c>
      <c r="AB38" s="433" t="e">
        <f t="shared" si="22"/>
        <v>#DIV/0!</v>
      </c>
      <c r="AC38" s="433" t="e">
        <f t="shared" si="22"/>
        <v>#DIV/0!</v>
      </c>
      <c r="AD38" s="433" t="e">
        <f t="shared" si="22"/>
        <v>#DIV/0!</v>
      </c>
    </row>
    <row r="39" spans="1:30" x14ac:dyDescent="0.25">
      <c r="E39" s="431"/>
      <c r="F39" s="358"/>
      <c r="H39" s="358"/>
      <c r="I39" s="358"/>
      <c r="K39" s="319"/>
      <c r="L39" s="319"/>
      <c r="M39" s="319"/>
      <c r="N39" s="132"/>
      <c r="O39" s="434"/>
      <c r="P39" s="475"/>
      <c r="Q39" s="475"/>
      <c r="R39" s="475"/>
      <c r="S39" s="475"/>
    </row>
    <row r="40" spans="1:30" x14ac:dyDescent="0.25">
      <c r="E40" s="358"/>
      <c r="F40" s="358"/>
      <c r="H40" s="358"/>
      <c r="I40" s="358"/>
      <c r="K40" s="319"/>
      <c r="L40" s="319"/>
      <c r="M40" s="319"/>
      <c r="N40" s="435"/>
      <c r="O40" s="435"/>
      <c r="P40" s="435"/>
      <c r="Q40" s="435"/>
      <c r="R40" s="435"/>
      <c r="S40" s="435"/>
      <c r="T40" s="435"/>
      <c r="U40" s="435"/>
      <c r="V40" s="435"/>
      <c r="W40" s="435"/>
      <c r="X40" s="435"/>
      <c r="Y40" s="435"/>
    </row>
    <row r="41" spans="1:30" x14ac:dyDescent="0.25">
      <c r="K41" s="319"/>
      <c r="L41" s="319"/>
      <c r="M41" s="319"/>
      <c r="O41" s="434"/>
      <c r="P41" s="434"/>
      <c r="Q41" s="434"/>
      <c r="R41" s="434"/>
      <c r="S41" s="434"/>
      <c r="T41" s="434"/>
      <c r="U41" s="434"/>
      <c r="V41" s="450">
        <f>V26-13263538-V13</f>
        <v>0</v>
      </c>
      <c r="W41" s="434"/>
      <c r="X41" s="434"/>
      <c r="Y41" s="434"/>
      <c r="Z41" s="434"/>
      <c r="AA41" s="434"/>
      <c r="AB41" s="434"/>
      <c r="AC41" s="434"/>
      <c r="AD41" s="434"/>
    </row>
    <row r="42" spans="1:30" x14ac:dyDescent="0.25">
      <c r="K42" s="319"/>
      <c r="L42" s="319"/>
      <c r="M42" s="319"/>
      <c r="O42" s="434"/>
      <c r="P42" s="465"/>
      <c r="Q42" s="465"/>
      <c r="R42" s="465"/>
      <c r="S42" s="465"/>
      <c r="V42" s="436"/>
    </row>
    <row r="43" spans="1:30" x14ac:dyDescent="0.25">
      <c r="K43" s="319"/>
      <c r="L43" s="319"/>
      <c r="M43" s="319"/>
      <c r="N43" s="436"/>
      <c r="O43" s="434"/>
      <c r="P43" s="437"/>
      <c r="Q43" s="437"/>
      <c r="R43" s="437"/>
      <c r="S43" s="437"/>
    </row>
    <row r="44" spans="1:30" x14ac:dyDescent="0.25">
      <c r="K44" s="319"/>
      <c r="L44" s="319"/>
      <c r="M44" s="319"/>
      <c r="O44" s="434"/>
      <c r="P44" s="465"/>
      <c r="Q44" s="465"/>
      <c r="R44" s="465"/>
      <c r="S44" s="465"/>
      <c r="Y44" s="436"/>
    </row>
    <row r="45" spans="1:30" x14ac:dyDescent="0.25">
      <c r="K45" s="319"/>
      <c r="L45" s="319"/>
      <c r="M45" s="319"/>
      <c r="O45" s="434"/>
      <c r="P45" s="465"/>
      <c r="Q45" s="465"/>
      <c r="R45" s="465"/>
      <c r="S45" s="438"/>
    </row>
    <row r="46" spans="1:30" x14ac:dyDescent="0.25">
      <c r="K46" s="319"/>
      <c r="L46" s="319"/>
      <c r="M46" s="319"/>
      <c r="O46" s="434"/>
    </row>
    <row r="47" spans="1:30" x14ac:dyDescent="0.25">
      <c r="K47" s="319"/>
      <c r="L47" s="319"/>
      <c r="M47" s="319"/>
      <c r="O47" s="434"/>
    </row>
    <row r="48" spans="1:30" x14ac:dyDescent="0.25">
      <c r="K48" s="319"/>
      <c r="L48" s="319"/>
      <c r="M48" s="319"/>
      <c r="O48" s="434"/>
    </row>
    <row r="49" spans="11:15" x14ac:dyDescent="0.25">
      <c r="K49" s="319"/>
      <c r="L49" s="319"/>
      <c r="M49" s="319"/>
      <c r="O49" s="434"/>
    </row>
    <row r="50" spans="11:15" x14ac:dyDescent="0.25">
      <c r="K50" s="319"/>
      <c r="L50" s="319"/>
      <c r="M50" s="319"/>
      <c r="O50" s="434"/>
    </row>
    <row r="51" spans="11:15" x14ac:dyDescent="0.25">
      <c r="K51" s="319"/>
      <c r="L51" s="319"/>
      <c r="M51" s="319"/>
      <c r="O51" s="434"/>
    </row>
    <row r="52" spans="11:15" x14ac:dyDescent="0.25">
      <c r="K52" s="319"/>
      <c r="L52" s="319"/>
      <c r="M52" s="319"/>
      <c r="O52" s="434"/>
    </row>
    <row r="53" spans="11:15" x14ac:dyDescent="0.25">
      <c r="K53" s="319"/>
      <c r="L53" s="319"/>
      <c r="M53" s="319"/>
      <c r="O53" s="434"/>
    </row>
    <row r="54" spans="11:15" x14ac:dyDescent="0.25">
      <c r="K54" s="319"/>
      <c r="L54" s="319"/>
      <c r="M54" s="319"/>
      <c r="O54" s="434"/>
    </row>
    <row r="55" spans="11:15" x14ac:dyDescent="0.25">
      <c r="K55" s="319"/>
      <c r="L55" s="319"/>
      <c r="M55" s="319"/>
      <c r="O55" s="434"/>
    </row>
    <row r="56" spans="11:15" x14ac:dyDescent="0.25">
      <c r="K56" s="319"/>
      <c r="L56" s="319"/>
      <c r="M56" s="319"/>
      <c r="O56" s="434"/>
    </row>
    <row r="57" spans="11:15" x14ac:dyDescent="0.25">
      <c r="K57" s="319"/>
      <c r="L57" s="319"/>
      <c r="M57" s="319"/>
      <c r="O57" s="434"/>
    </row>
    <row r="58" spans="11:15" x14ac:dyDescent="0.25">
      <c r="K58" s="319"/>
      <c r="L58" s="319"/>
      <c r="M58" s="319"/>
      <c r="O58" s="434"/>
    </row>
    <row r="59" spans="11:15" x14ac:dyDescent="0.25">
      <c r="K59" s="319"/>
      <c r="L59" s="319"/>
      <c r="M59" s="319"/>
      <c r="O59" s="434"/>
    </row>
    <row r="60" spans="11:15" x14ac:dyDescent="0.25">
      <c r="K60" s="319"/>
      <c r="L60" s="319"/>
      <c r="M60" s="319"/>
      <c r="O60" s="434"/>
    </row>
    <row r="61" spans="11:15" x14ac:dyDescent="0.25">
      <c r="K61" s="319"/>
      <c r="L61" s="319"/>
      <c r="M61" s="319"/>
      <c r="O61" s="434"/>
    </row>
    <row r="62" spans="11:15" x14ac:dyDescent="0.25">
      <c r="K62" s="319"/>
      <c r="L62" s="319"/>
      <c r="M62" s="319"/>
      <c r="O62" s="434"/>
    </row>
    <row r="63" spans="11:15" x14ac:dyDescent="0.25">
      <c r="K63" s="319"/>
      <c r="L63" s="319"/>
      <c r="M63" s="319"/>
      <c r="O63" s="434"/>
    </row>
    <row r="64" spans="11:15" x14ac:dyDescent="0.25">
      <c r="K64" s="319"/>
      <c r="L64" s="319"/>
      <c r="M64" s="319"/>
      <c r="O64" s="434"/>
    </row>
    <row r="65" spans="11:15" x14ac:dyDescent="0.25">
      <c r="K65" s="319"/>
      <c r="L65" s="319"/>
      <c r="M65" s="319"/>
      <c r="O65" s="434"/>
    </row>
    <row r="66" spans="11:15" x14ac:dyDescent="0.25">
      <c r="K66" s="319"/>
      <c r="L66" s="319"/>
      <c r="M66" s="319"/>
      <c r="O66" s="434"/>
    </row>
    <row r="67" spans="11:15" x14ac:dyDescent="0.25">
      <c r="K67" s="319"/>
      <c r="L67" s="319"/>
      <c r="M67" s="319"/>
      <c r="O67" s="434"/>
    </row>
    <row r="68" spans="11:15" x14ac:dyDescent="0.25">
      <c r="K68" s="319"/>
      <c r="L68" s="319"/>
      <c r="M68" s="319"/>
      <c r="O68" s="434"/>
    </row>
    <row r="69" spans="11:15" x14ac:dyDescent="0.25">
      <c r="K69" s="319"/>
      <c r="L69" s="319"/>
      <c r="M69" s="319"/>
      <c r="O69" s="434"/>
    </row>
    <row r="70" spans="11:15" x14ac:dyDescent="0.25">
      <c r="K70" s="319"/>
      <c r="L70" s="319"/>
      <c r="M70" s="319"/>
      <c r="O70" s="434"/>
    </row>
    <row r="71" spans="11:15" x14ac:dyDescent="0.25">
      <c r="K71" s="319"/>
      <c r="L71" s="319"/>
      <c r="M71" s="319"/>
      <c r="O71" s="434"/>
    </row>
    <row r="72" spans="11:15" x14ac:dyDescent="0.25">
      <c r="K72" s="319"/>
      <c r="L72" s="319"/>
      <c r="M72" s="319"/>
      <c r="O72" s="434"/>
    </row>
    <row r="73" spans="11:15" x14ac:dyDescent="0.25">
      <c r="K73" s="319"/>
      <c r="L73" s="319"/>
      <c r="M73" s="319"/>
      <c r="O73" s="434"/>
    </row>
    <row r="74" spans="11:15" x14ac:dyDescent="0.25">
      <c r="K74" s="319"/>
      <c r="L74" s="319"/>
      <c r="M74" s="319"/>
      <c r="O74" s="434"/>
    </row>
    <row r="75" spans="11:15" x14ac:dyDescent="0.25">
      <c r="K75" s="319"/>
      <c r="L75" s="319"/>
      <c r="M75" s="319"/>
      <c r="O75" s="434"/>
    </row>
    <row r="76" spans="11:15" x14ac:dyDescent="0.25">
      <c r="K76" s="319"/>
      <c r="L76" s="319"/>
      <c r="M76" s="319"/>
      <c r="O76" s="434"/>
    </row>
    <row r="77" spans="11:15" x14ac:dyDescent="0.25">
      <c r="K77" s="319"/>
      <c r="L77" s="319"/>
      <c r="M77" s="319"/>
      <c r="O77" s="434"/>
    </row>
    <row r="78" spans="11:15" x14ac:dyDescent="0.25">
      <c r="K78" s="319"/>
      <c r="L78" s="319"/>
      <c r="M78" s="319"/>
      <c r="O78" s="434"/>
    </row>
    <row r="79" spans="11:15" x14ac:dyDescent="0.25">
      <c r="K79" s="319"/>
      <c r="L79" s="319"/>
      <c r="M79" s="319"/>
      <c r="O79" s="434"/>
    </row>
    <row r="80" spans="11:15" x14ac:dyDescent="0.25">
      <c r="K80" s="319"/>
      <c r="L80" s="319"/>
      <c r="M80" s="319"/>
      <c r="O80" s="434"/>
    </row>
    <row r="81" spans="11:15" x14ac:dyDescent="0.25">
      <c r="K81" s="319"/>
      <c r="L81" s="319"/>
      <c r="M81" s="319"/>
      <c r="O81" s="434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J4" sqref="J4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213</v>
      </c>
      <c r="F1" s="92" t="s">
        <v>214</v>
      </c>
      <c r="G1" s="93"/>
      <c r="H1" s="93"/>
      <c r="I1" s="94" t="s">
        <v>213</v>
      </c>
      <c r="J1" s="95" t="s">
        <v>214</v>
      </c>
      <c r="K1" s="52"/>
      <c r="P1" s="91" t="s">
        <v>213</v>
      </c>
      <c r="Q1" s="92" t="s">
        <v>214</v>
      </c>
      <c r="R1" s="91"/>
      <c r="S1" s="92"/>
    </row>
    <row r="2" spans="1:19" x14ac:dyDescent="0.25">
      <c r="A2" s="96" t="s">
        <v>3</v>
      </c>
      <c r="B2" s="96" t="s">
        <v>215</v>
      </c>
      <c r="C2" s="96" t="s">
        <v>216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217</v>
      </c>
      <c r="J2" s="95" t="s">
        <v>217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5</v>
      </c>
      <c r="E3" s="100">
        <f>D3</f>
        <v>5</v>
      </c>
      <c r="F3" s="100">
        <f>E3+0.1</f>
        <v>5.0999999999999996</v>
      </c>
      <c r="G3" s="100">
        <f>C3</f>
        <v>4</v>
      </c>
      <c r="H3" s="100">
        <f>G3+0.99</f>
        <v>4.99</v>
      </c>
      <c r="I3" s="101">
        <f>G3*G3*E3</f>
        <v>80</v>
      </c>
      <c r="J3" s="101">
        <f>H3*H3*F3</f>
        <v>126.99051</v>
      </c>
      <c r="K3" s="102"/>
      <c r="N3" s="46" t="s">
        <v>217</v>
      </c>
      <c r="O3" t="str">
        <f>A12</f>
        <v>Valeri Gomis</v>
      </c>
      <c r="P3" s="103">
        <f>E12</f>
        <v>4.4000000000000004</v>
      </c>
      <c r="Q3" s="103">
        <f t="shared" ref="Q3:S3" si="0">F12</f>
        <v>4.5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23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2.8</v>
      </c>
      <c r="Q4" s="103">
        <f t="shared" ref="Q4:S4" si="7">F5</f>
        <v>2.9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2.8</v>
      </c>
      <c r="E5" s="100">
        <f t="shared" si="1"/>
        <v>2.8</v>
      </c>
      <c r="F5" s="100">
        <f t="shared" si="2"/>
        <v>2.9</v>
      </c>
      <c r="G5" s="100">
        <f t="shared" si="3"/>
        <v>5</v>
      </c>
      <c r="H5" s="100">
        <f t="shared" si="4"/>
        <v>5.99</v>
      </c>
      <c r="I5" s="101">
        <f t="shared" si="5"/>
        <v>70</v>
      </c>
      <c r="J5" s="101">
        <f t="shared" si="6"/>
        <v>104.05229000000001</v>
      </c>
      <c r="K5" s="102"/>
      <c r="L5" s="81"/>
      <c r="O5" t="str">
        <f>A3</f>
        <v>Cosme Fonteboa</v>
      </c>
      <c r="P5" s="103">
        <f>E3</f>
        <v>5</v>
      </c>
      <c r="Q5" s="103">
        <f t="shared" ref="Q5:S5" si="8">F3</f>
        <v>5.0999999999999996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3.8</v>
      </c>
      <c r="E6" s="100">
        <f t="shared" si="1"/>
        <v>3.8</v>
      </c>
      <c r="F6" s="100">
        <f t="shared" si="2"/>
        <v>3.9</v>
      </c>
      <c r="G6" s="100">
        <f t="shared" si="3"/>
        <v>4</v>
      </c>
      <c r="H6" s="100">
        <f t="shared" si="4"/>
        <v>4.99</v>
      </c>
      <c r="I6" s="101">
        <f t="shared" si="5"/>
        <v>60.8</v>
      </c>
      <c r="J6" s="101">
        <f t="shared" si="6"/>
        <v>97.11039000000001</v>
      </c>
      <c r="K6" s="102"/>
      <c r="O6" t="str">
        <f>A7</f>
        <v>Berto Abandero</v>
      </c>
      <c r="P6" s="103">
        <f>E7</f>
        <v>4</v>
      </c>
      <c r="Q6" s="103">
        <f t="shared" ref="Q6:S6" si="9">F7</f>
        <v>4.0999999999999996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23</v>
      </c>
      <c r="C7" s="98">
        <f>Plantilla!H8</f>
        <v>1</v>
      </c>
      <c r="D7" s="99">
        <f>Plantilla!I8</f>
        <v>4</v>
      </c>
      <c r="E7" s="100">
        <f t="shared" si="1"/>
        <v>4</v>
      </c>
      <c r="F7" s="100">
        <f t="shared" si="2"/>
        <v>4.0999999999999996</v>
      </c>
      <c r="G7" s="100">
        <f t="shared" si="3"/>
        <v>1</v>
      </c>
      <c r="H7" s="100">
        <f t="shared" si="4"/>
        <v>1.99</v>
      </c>
      <c r="I7" s="101">
        <f t="shared" si="5"/>
        <v>4</v>
      </c>
      <c r="J7" s="101">
        <f t="shared" si="6"/>
        <v>16.236409999999999</v>
      </c>
      <c r="K7" s="102"/>
      <c r="O7" t="str">
        <f>A6</f>
        <v>Iván Real Figueroa</v>
      </c>
      <c r="P7" s="103">
        <f>E6</f>
        <v>3.8</v>
      </c>
      <c r="Q7" s="103">
        <f t="shared" ref="Q7:S7" si="10">F6</f>
        <v>3.9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23</v>
      </c>
      <c r="C8" s="98">
        <f>Plantilla!H9</f>
        <v>4</v>
      </c>
      <c r="D8" s="99">
        <f>Plantilla!I9</f>
        <v>4.7</v>
      </c>
      <c r="E8" s="100">
        <f t="shared" si="1"/>
        <v>4.7</v>
      </c>
      <c r="F8" s="100">
        <f t="shared" si="2"/>
        <v>4.8</v>
      </c>
      <c r="G8" s="100">
        <f t="shared" si="3"/>
        <v>4</v>
      </c>
      <c r="H8" s="100">
        <f t="shared" si="4"/>
        <v>4.99</v>
      </c>
      <c r="I8" s="101">
        <f t="shared" si="5"/>
        <v>75.2</v>
      </c>
      <c r="J8" s="101">
        <f t="shared" si="6"/>
        <v>119.52048000000001</v>
      </c>
      <c r="K8" s="102"/>
      <c r="O8" t="str">
        <f>A10</f>
        <v>Francesc Añigas</v>
      </c>
      <c r="P8" s="103">
        <f>E10</f>
        <v>4.4000000000000004</v>
      </c>
      <c r="Q8" s="103">
        <f t="shared" ref="Q8:S8" si="11">F10</f>
        <v>4.5</v>
      </c>
      <c r="R8" s="103">
        <f t="shared" si="11"/>
        <v>5</v>
      </c>
      <c r="S8" s="103">
        <f t="shared" si="11"/>
        <v>5.99</v>
      </c>
    </row>
    <row r="9" spans="1:19" x14ac:dyDescent="0.25">
      <c r="A9" s="97">
        <f>Plantilla!D10</f>
        <v>0</v>
      </c>
      <c r="B9" s="98">
        <f>Plantilla!E10</f>
        <v>22</v>
      </c>
      <c r="C9" s="98">
        <f>Plantilla!H10</f>
        <v>0</v>
      </c>
      <c r="D9" s="99">
        <f>Plantilla!I10</f>
        <v>0</v>
      </c>
      <c r="E9" s="100">
        <f t="shared" si="1"/>
        <v>0</v>
      </c>
      <c r="F9" s="100">
        <f t="shared" si="2"/>
        <v>0.1</v>
      </c>
      <c r="G9" s="100">
        <f t="shared" si="3"/>
        <v>0</v>
      </c>
      <c r="H9" s="100">
        <f t="shared" si="4"/>
        <v>0.99</v>
      </c>
      <c r="I9" s="101">
        <f t="shared" si="5"/>
        <v>0</v>
      </c>
      <c r="J9" s="101">
        <f t="shared" si="6"/>
        <v>9.801E-2</v>
      </c>
      <c r="K9" s="102"/>
      <c r="O9" t="str">
        <f>A15</f>
        <v>David Garcia-Spiess</v>
      </c>
      <c r="P9" s="103">
        <f>E15</f>
        <v>7.3</v>
      </c>
      <c r="Q9" s="103">
        <f t="shared" ref="Q9:S9" si="12">F15</f>
        <v>7.3999999999999995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4.4000000000000004</v>
      </c>
      <c r="E10" s="100">
        <f t="shared" si="1"/>
        <v>4.4000000000000004</v>
      </c>
      <c r="F10" s="100">
        <f t="shared" si="2"/>
        <v>4.5</v>
      </c>
      <c r="G10" s="100">
        <f t="shared" si="3"/>
        <v>5</v>
      </c>
      <c r="H10" s="100">
        <f t="shared" si="4"/>
        <v>5.99</v>
      </c>
      <c r="I10" s="101">
        <f t="shared" si="5"/>
        <v>110.00000000000001</v>
      </c>
      <c r="J10" s="101">
        <f t="shared" si="6"/>
        <v>161.46045000000004</v>
      </c>
      <c r="K10" s="102"/>
      <c r="O10" t="str">
        <f>A14</f>
        <v>J. G. Peñuela</v>
      </c>
      <c r="P10" s="103">
        <f>E14</f>
        <v>4.3</v>
      </c>
      <c r="Q10" s="103">
        <f t="shared" ref="Q10:S10" si="13">F14</f>
        <v>4.3999999999999995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4.5</v>
      </c>
      <c r="E11" s="100">
        <f t="shared" si="1"/>
        <v>4.5</v>
      </c>
      <c r="F11" s="100">
        <f t="shared" si="2"/>
        <v>4.5999999999999996</v>
      </c>
      <c r="G11" s="100">
        <f t="shared" si="3"/>
        <v>3</v>
      </c>
      <c r="H11" s="100">
        <f t="shared" si="4"/>
        <v>3.99</v>
      </c>
      <c r="I11" s="101">
        <f t="shared" si="5"/>
        <v>40.5</v>
      </c>
      <c r="J11" s="101">
        <f t="shared" si="6"/>
        <v>73.232460000000003</v>
      </c>
      <c r="K11" s="102"/>
      <c r="O11" t="str">
        <f>A13</f>
        <v>Enrique Cubas</v>
      </c>
      <c r="P11" s="103">
        <f>E13</f>
        <v>5</v>
      </c>
      <c r="Q11" s="103">
        <f t="shared" ref="Q11:S11" si="14">F13</f>
        <v>5.0999999999999996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4.4000000000000004</v>
      </c>
      <c r="E12" s="100">
        <f t="shared" si="1"/>
        <v>4.4000000000000004</v>
      </c>
      <c r="F12" s="100">
        <f t="shared" si="2"/>
        <v>4.5</v>
      </c>
      <c r="G12" s="100">
        <f t="shared" si="3"/>
        <v>6</v>
      </c>
      <c r="H12" s="100">
        <f t="shared" si="4"/>
        <v>6.99</v>
      </c>
      <c r="I12" s="101">
        <f t="shared" si="5"/>
        <v>158.4</v>
      </c>
      <c r="J12" s="101">
        <f t="shared" si="6"/>
        <v>219.87045000000001</v>
      </c>
      <c r="K12" s="102"/>
      <c r="O12" t="str">
        <f>A20</f>
        <v>Leo Hilpinen</v>
      </c>
      <c r="P12" s="103">
        <f>E20</f>
        <v>6</v>
      </c>
      <c r="Q12" s="103">
        <f t="shared" ref="Q12:S12" si="15">F20</f>
        <v>6.1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5</v>
      </c>
      <c r="E13" s="100">
        <f t="shared" si="1"/>
        <v>5</v>
      </c>
      <c r="F13" s="100">
        <f t="shared" si="2"/>
        <v>5.0999999999999996</v>
      </c>
      <c r="G13" s="100">
        <f t="shared" si="3"/>
        <v>1</v>
      </c>
      <c r="H13" s="100">
        <f t="shared" si="4"/>
        <v>1.99</v>
      </c>
      <c r="I13" s="101">
        <f t="shared" si="5"/>
        <v>5</v>
      </c>
      <c r="J13" s="101">
        <f t="shared" si="6"/>
        <v>20.19651</v>
      </c>
      <c r="K13" s="102"/>
      <c r="O13" t="str">
        <f>A19</f>
        <v>Emilio Rojas</v>
      </c>
      <c r="P13" s="103">
        <f>E19</f>
        <v>6.4</v>
      </c>
      <c r="Q13" s="103">
        <f t="shared" ref="Q13:S13" si="16">F19</f>
        <v>6.5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4.3</v>
      </c>
      <c r="E14" s="100">
        <f t="shared" si="1"/>
        <v>4.3</v>
      </c>
      <c r="F14" s="100">
        <f t="shared" si="2"/>
        <v>4.3999999999999995</v>
      </c>
      <c r="G14" s="100">
        <f t="shared" si="3"/>
        <v>6</v>
      </c>
      <c r="H14" s="100">
        <f t="shared" si="4"/>
        <v>6.99</v>
      </c>
      <c r="I14" s="101">
        <f t="shared" si="5"/>
        <v>154.79999999999998</v>
      </c>
      <c r="J14" s="101">
        <f t="shared" si="6"/>
        <v>214.98443999999998</v>
      </c>
      <c r="K14" s="102"/>
      <c r="P14" s="32">
        <f>SUM(P4:P13)/10</f>
        <v>4.9000000000000004</v>
      </c>
      <c r="Q14" s="32">
        <f>SUM(Q4:Q13)/10</f>
        <v>5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7.3</v>
      </c>
      <c r="E15" s="100">
        <f t="shared" si="1"/>
        <v>7.3</v>
      </c>
      <c r="F15" s="100">
        <f t="shared" si="2"/>
        <v>7.3999999999999995</v>
      </c>
      <c r="G15" s="100">
        <f t="shared" si="3"/>
        <v>1</v>
      </c>
      <c r="H15" s="100">
        <f t="shared" si="4"/>
        <v>1.99</v>
      </c>
      <c r="I15" s="101">
        <f t="shared" si="5"/>
        <v>7.3</v>
      </c>
      <c r="J15" s="101">
        <f t="shared" si="6"/>
        <v>29.304739999999999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5</v>
      </c>
      <c r="E16" s="100">
        <f t="shared" si="1"/>
        <v>5</v>
      </c>
      <c r="F16" s="100">
        <f t="shared" si="2"/>
        <v>5.0999999999999996</v>
      </c>
      <c r="G16" s="100">
        <f t="shared" si="3"/>
        <v>5</v>
      </c>
      <c r="H16" s="100">
        <f t="shared" si="4"/>
        <v>5.99</v>
      </c>
      <c r="I16" s="101">
        <f t="shared" si="5"/>
        <v>125</v>
      </c>
      <c r="J16" s="101">
        <f t="shared" si="6"/>
        <v>182.98851000000002</v>
      </c>
      <c r="K16" s="102"/>
      <c r="L16" s="51" t="s">
        <v>218</v>
      </c>
      <c r="O16" t="s">
        <v>219</v>
      </c>
      <c r="P16" s="29">
        <f>SUM(P3:P13)</f>
        <v>53.4</v>
      </c>
      <c r="Q16" s="29">
        <f>SUM(Q3:Q13)</f>
        <v>54.5</v>
      </c>
      <c r="R16" s="29"/>
    </row>
    <row r="17" spans="1:18" x14ac:dyDescent="0.25">
      <c r="A17" s="97" t="str">
        <f>Plantilla!D18</f>
        <v>Fernando Gazón</v>
      </c>
      <c r="B17" s="98">
        <f>Plantilla!E18</f>
        <v>23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220</v>
      </c>
      <c r="P17" s="32">
        <f>P16/17</f>
        <v>3.1411764705882352</v>
      </c>
      <c r="Q17" s="32">
        <f>Q16/17</f>
        <v>3.2058823529411766</v>
      </c>
      <c r="R17" s="32"/>
    </row>
    <row r="18" spans="1:18" x14ac:dyDescent="0.25">
      <c r="A18" s="97" t="str">
        <f>Plantilla!D19</f>
        <v>Stanisław Zdankiewicz</v>
      </c>
      <c r="B18" s="98">
        <f>Plantilla!E19</f>
        <v>29</v>
      </c>
      <c r="C18" s="98">
        <f>Plantilla!H19</f>
        <v>2</v>
      </c>
      <c r="D18" s="99">
        <f>Plantilla!I19</f>
        <v>8.9</v>
      </c>
      <c r="E18" s="100">
        <f t="shared" si="1"/>
        <v>8.9</v>
      </c>
      <c r="F18" s="100">
        <f t="shared" si="2"/>
        <v>9</v>
      </c>
      <c r="G18" s="100">
        <f t="shared" si="3"/>
        <v>2</v>
      </c>
      <c r="H18" s="100">
        <f t="shared" si="4"/>
        <v>2.99</v>
      </c>
      <c r="I18" s="101">
        <f t="shared" si="5"/>
        <v>35.6</v>
      </c>
      <c r="J18" s="101">
        <f t="shared" si="6"/>
        <v>80.460900000000009</v>
      </c>
      <c r="K18" s="102"/>
      <c r="L18" s="51" t="s">
        <v>221</v>
      </c>
      <c r="O18" t="s">
        <v>222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6.4</v>
      </c>
      <c r="E19" s="100">
        <f t="shared" si="1"/>
        <v>6.4</v>
      </c>
      <c r="F19" s="100">
        <f t="shared" si="2"/>
        <v>6.5</v>
      </c>
      <c r="G19" s="100">
        <f t="shared" si="3"/>
        <v>4</v>
      </c>
      <c r="H19" s="100">
        <f t="shared" si="4"/>
        <v>4.99</v>
      </c>
      <c r="I19" s="101">
        <f t="shared" si="5"/>
        <v>102.4</v>
      </c>
      <c r="J19" s="101">
        <f t="shared" si="6"/>
        <v>161.85065</v>
      </c>
      <c r="K19" s="102"/>
      <c r="L19" s="51" t="s">
        <v>223</v>
      </c>
      <c r="O19" t="s">
        <v>224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6</v>
      </c>
      <c r="E20" s="100">
        <f t="shared" si="1"/>
        <v>6</v>
      </c>
      <c r="F20" s="100">
        <f t="shared" si="2"/>
        <v>6.1</v>
      </c>
      <c r="G20" s="100">
        <f t="shared" si="3"/>
        <v>3</v>
      </c>
      <c r="H20" s="100">
        <f t="shared" si="4"/>
        <v>3.99</v>
      </c>
      <c r="I20" s="101">
        <f t="shared" si="5"/>
        <v>54</v>
      </c>
      <c r="J20" s="101">
        <f t="shared" si="6"/>
        <v>97.112610000000004</v>
      </c>
      <c r="K20" s="102"/>
      <c r="L20" s="51" t="s">
        <v>225</v>
      </c>
      <c r="O20" t="s">
        <v>226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227</v>
      </c>
      <c r="O21" s="60" t="s">
        <v>95</v>
      </c>
      <c r="P21" s="82">
        <f>P17+P20</f>
        <v>4.1170245164469765</v>
      </c>
      <c r="Q21" s="82">
        <f>Q17+Q20</f>
        <v>4.420174879480367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228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10" priority="1" operator="between">
      <formula>70</formula>
      <formula>100</formula>
    </cfRule>
    <cfRule type="cellIs" dxfId="9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K24" sqref="K24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3" t="s">
        <v>3</v>
      </c>
      <c r="B1" s="133" t="s">
        <v>29</v>
      </c>
      <c r="C1" s="133" t="s">
        <v>69</v>
      </c>
      <c r="D1" s="134" t="s">
        <v>371</v>
      </c>
      <c r="E1" s="134" t="s">
        <v>213</v>
      </c>
      <c r="F1" s="134" t="s">
        <v>214</v>
      </c>
      <c r="H1" s="133" t="s">
        <v>372</v>
      </c>
      <c r="I1" s="133" t="s">
        <v>29</v>
      </c>
      <c r="J1" s="133" t="s">
        <v>69</v>
      </c>
      <c r="K1" s="133" t="str">
        <f>D1</f>
        <v>N_CA</v>
      </c>
      <c r="L1" s="134" t="s">
        <v>213</v>
      </c>
      <c r="M1" s="134" t="s">
        <v>214</v>
      </c>
      <c r="O1" s="133" t="s">
        <v>372</v>
      </c>
      <c r="P1" s="133" t="s">
        <v>29</v>
      </c>
      <c r="Q1" s="133" t="s">
        <v>69</v>
      </c>
      <c r="R1" s="133" t="str">
        <f>K1</f>
        <v>N_CA</v>
      </c>
      <c r="S1" s="134" t="s">
        <v>213</v>
      </c>
      <c r="T1" s="134" t="s">
        <v>214</v>
      </c>
    </row>
    <row r="2" spans="1:20" x14ac:dyDescent="0.25">
      <c r="A2" t="str">
        <f>Plantilla!D4</f>
        <v>Cosme Fonteboa</v>
      </c>
      <c r="B2" s="29">
        <f ca="1">Plantilla!Y4+Plantilla!N4+Plantilla!J4</f>
        <v>12.939026083381908</v>
      </c>
      <c r="C2" s="29">
        <f ca="1">Plantilla!AB4+Plantilla!N4+Plantilla!J4</f>
        <v>1.8279149722707979</v>
      </c>
      <c r="D2" s="82">
        <f ca="1">(C2*2+B2)/8</f>
        <v>2.0743570034904382</v>
      </c>
      <c r="E2" s="29">
        <f ca="1">D2*Plantilla!R4</f>
        <v>1.9204814079354082</v>
      </c>
      <c r="F2" s="29">
        <f ca="1">D2*Plantilla!S4</f>
        <v>2.0728747903654932</v>
      </c>
      <c r="H2" s="32" t="str">
        <f>A6</f>
        <v>Berto Abandero</v>
      </c>
      <c r="I2" s="29">
        <f t="shared" ref="I2:M2" ca="1" si="0">B6</f>
        <v>14.845616747592482</v>
      </c>
      <c r="J2" s="29">
        <f t="shared" ca="1" si="0"/>
        <v>11.887283414259148</v>
      </c>
      <c r="K2" s="82">
        <f ca="1">(J2*2+I2)/8</f>
        <v>4.827522947013847</v>
      </c>
      <c r="L2" s="32">
        <f t="shared" ca="1" si="0"/>
        <v>4.4694177764586414</v>
      </c>
      <c r="M2" s="32">
        <f t="shared" ca="1" si="0"/>
        <v>4.824073483946016</v>
      </c>
      <c r="O2" t="str">
        <f>A2</f>
        <v>Cosme Fonteboa</v>
      </c>
      <c r="P2" s="29">
        <f ca="1">I2</f>
        <v>14.845616747592482</v>
      </c>
      <c r="Q2" s="29">
        <f ca="1">J2</f>
        <v>11.887283414259148</v>
      </c>
      <c r="R2" s="82">
        <f ca="1">(Q2*2+P2)/8</f>
        <v>4.827522947013847</v>
      </c>
      <c r="S2" s="32">
        <f ca="1">E2</f>
        <v>1.9204814079354082</v>
      </c>
      <c r="T2" s="32">
        <f ca="1">F2</f>
        <v>2.0728747903654932</v>
      </c>
    </row>
    <row r="3" spans="1:20" x14ac:dyDescent="0.25">
      <c r="A3" t="str">
        <f>Plantilla!D5</f>
        <v>Nicolae Hornet</v>
      </c>
      <c r="B3" s="29">
        <f ca="1">Plantilla!Y5+Plantilla!N5+Plantilla!J5</f>
        <v>5.9448373809043176</v>
      </c>
      <c r="C3" s="29">
        <f ca="1">Plantilla!AB5+Plantilla!N5+Plantilla!J5</f>
        <v>1.1948373809043173</v>
      </c>
      <c r="D3" s="82">
        <f t="shared" ref="D3:D19" ca="1" si="1">(C3*2+B3)/8</f>
        <v>1.0418140178391191</v>
      </c>
      <c r="E3" s="29">
        <f ca="1">D3*Plantilla!R5</f>
        <v>0.96453235794025594</v>
      </c>
      <c r="F3" s="29">
        <f ca="1">D3*Plantilla!S5</f>
        <v>1.0410695990103473</v>
      </c>
      <c r="H3" s="32" t="str">
        <f>A7</f>
        <v>Guillermo Pedrajas</v>
      </c>
      <c r="I3" s="29">
        <f t="shared" ref="I3:M3" ca="1" si="2">B7</f>
        <v>12.895071050110081</v>
      </c>
      <c r="J3" s="29">
        <f t="shared" ca="1" si="2"/>
        <v>10.926817081856113</v>
      </c>
      <c r="K3" s="82">
        <f t="shared" ref="K3:K6" ca="1" si="3">(J3*2+I3)/8</f>
        <v>4.3435881517277881</v>
      </c>
      <c r="L3" s="32">
        <f t="shared" ca="1" si="2"/>
        <v>4.0213812160034932</v>
      </c>
      <c r="M3" s="32">
        <f t="shared" ca="1" si="2"/>
        <v>4.3404844799118889</v>
      </c>
      <c r="O3" t="str">
        <f>A7</f>
        <v>Guillermo Pedrajas</v>
      </c>
      <c r="P3" s="29">
        <f t="shared" ref="P3:P5" ca="1" si="4">I3</f>
        <v>12.895071050110081</v>
      </c>
      <c r="Q3" s="29">
        <f t="shared" ref="Q3:Q5" ca="1" si="5">J3</f>
        <v>10.926817081856113</v>
      </c>
      <c r="R3" s="82">
        <f t="shared" ref="R3:R5" ca="1" si="6">(Q3*2+P3)/8</f>
        <v>4.3435881517277881</v>
      </c>
      <c r="S3" s="32">
        <f ca="1">E7</f>
        <v>4.0213812160034932</v>
      </c>
      <c r="T3" s="32">
        <f ca="1">F7</f>
        <v>4.3404844799118889</v>
      </c>
    </row>
    <row r="4" spans="1:20" x14ac:dyDescent="0.25">
      <c r="A4" t="str">
        <f>Plantilla!D6</f>
        <v>Miguel Fernández</v>
      </c>
      <c r="B4" s="29">
        <f ca="1">Plantilla!Y6+Plantilla!N6+Plantilla!J6</f>
        <v>16.532189794382177</v>
      </c>
      <c r="C4" s="29">
        <f ca="1">Plantilla!AB6+Plantilla!N6+Plantilla!J6</f>
        <v>7.5321897943821767</v>
      </c>
      <c r="D4" s="82">
        <f t="shared" ca="1" si="1"/>
        <v>3.9495711728933163</v>
      </c>
      <c r="E4" s="29">
        <f ca="1">D4*Plantilla!R6</f>
        <v>2.9855951739501152</v>
      </c>
      <c r="F4" s="29">
        <f ca="1">D4*Plantilla!S6</f>
        <v>3.334657213573232</v>
      </c>
      <c r="H4" t="str">
        <f>A10</f>
        <v>Will Duffill</v>
      </c>
      <c r="I4" s="29">
        <f t="shared" ref="I4:M4" ca="1" si="7">B10</f>
        <v>13.426505573922681</v>
      </c>
      <c r="J4" s="29">
        <f t="shared" ca="1" si="7"/>
        <v>9.1209500183671253</v>
      </c>
      <c r="K4" s="82">
        <f t="shared" ca="1" si="3"/>
        <v>3.9585507013321166</v>
      </c>
      <c r="L4" s="32">
        <f t="shared" ca="1" si="7"/>
        <v>3.3455859677893915</v>
      </c>
      <c r="M4" s="32">
        <f t="shared" ca="1" si="7"/>
        <v>3.6618504434926611</v>
      </c>
      <c r="O4" t="str">
        <f t="shared" ref="O4" si="8">A4</f>
        <v>Miguel Fernández</v>
      </c>
      <c r="P4" s="29">
        <f t="shared" ca="1" si="4"/>
        <v>13.426505573922681</v>
      </c>
      <c r="Q4" s="29">
        <f t="shared" ca="1" si="5"/>
        <v>9.1209500183671253</v>
      </c>
      <c r="R4" s="82">
        <f t="shared" ca="1" si="6"/>
        <v>3.9585507013321166</v>
      </c>
      <c r="S4" s="32">
        <f ca="1">E4</f>
        <v>2.9855951739501152</v>
      </c>
      <c r="T4" s="32">
        <f ca="1">F4</f>
        <v>3.334657213573232</v>
      </c>
    </row>
    <row r="5" spans="1:20" x14ac:dyDescent="0.25">
      <c r="A5" t="str">
        <f>Plantilla!D7</f>
        <v>Iván Real Figueroa</v>
      </c>
      <c r="B5" s="29">
        <f ca="1">Plantilla!Y7+Plantilla!N7+Plantilla!J7</f>
        <v>16.616598738386728</v>
      </c>
      <c r="C5" s="29">
        <f ca="1">Plantilla!AB7+Plantilla!N7+Plantilla!J7</f>
        <v>6.9290987383867266</v>
      </c>
      <c r="D5" s="82">
        <f t="shared" ca="1" si="1"/>
        <v>3.8093495268950228</v>
      </c>
      <c r="E5" s="29">
        <f ca="1">D5*Plantilla!R7</f>
        <v>3.5267723590584716</v>
      </c>
      <c r="F5" s="29">
        <f ca="1">D5*Plantilla!S7</f>
        <v>3.8066275904796583</v>
      </c>
      <c r="H5" s="32" t="str">
        <f>A5</f>
        <v>Iván Real Figueroa</v>
      </c>
      <c r="I5" s="29">
        <f t="shared" ref="I5:M5" ca="1" si="9">B5</f>
        <v>16.616598738386728</v>
      </c>
      <c r="J5" s="29">
        <f t="shared" ca="1" si="9"/>
        <v>6.9290987383867266</v>
      </c>
      <c r="K5" s="82">
        <f t="shared" ca="1" si="3"/>
        <v>3.8093495268950228</v>
      </c>
      <c r="L5" s="32">
        <f t="shared" ca="1" si="9"/>
        <v>3.5267723590584716</v>
      </c>
      <c r="M5" s="32">
        <f t="shared" ca="1" si="9"/>
        <v>3.8066275904796583</v>
      </c>
      <c r="O5" s="32" t="str">
        <f>H5</f>
        <v>Iván Real Figueroa</v>
      </c>
      <c r="P5" s="29">
        <f t="shared" ca="1" si="4"/>
        <v>16.616598738386728</v>
      </c>
      <c r="Q5" s="29">
        <f t="shared" ca="1" si="5"/>
        <v>6.9290987383867266</v>
      </c>
      <c r="R5" s="82">
        <f t="shared" ca="1" si="6"/>
        <v>3.8093495268950228</v>
      </c>
      <c r="S5" s="32">
        <f ca="1">L5</f>
        <v>3.5267723590584716</v>
      </c>
      <c r="T5" s="32">
        <f ca="1">M5</f>
        <v>3.8066275904796583</v>
      </c>
    </row>
    <row r="6" spans="1:20" x14ac:dyDescent="0.25">
      <c r="A6" t="str">
        <f>Plantilla!D8</f>
        <v>Berto Abandero</v>
      </c>
      <c r="B6" s="29">
        <f ca="1">Plantilla!Y8+Plantilla!N8+Plantilla!J8</f>
        <v>14.845616747592482</v>
      </c>
      <c r="C6" s="29">
        <f ca="1">Plantilla!AB8+Plantilla!N8+Plantilla!J8</f>
        <v>11.887283414259148</v>
      </c>
      <c r="D6" s="82">
        <f t="shared" ca="1" si="1"/>
        <v>4.827522947013847</v>
      </c>
      <c r="E6" s="29">
        <f ca="1">D6*Plantilla!R8</f>
        <v>4.4694177764586414</v>
      </c>
      <c r="F6" s="29">
        <f ca="1">D6*Plantilla!S8</f>
        <v>4.824073483946016</v>
      </c>
      <c r="H6" t="str">
        <f>A4</f>
        <v>Miguel Fernández</v>
      </c>
      <c r="I6" s="29">
        <f t="shared" ref="I6:M6" ca="1" si="10">B4</f>
        <v>16.532189794382177</v>
      </c>
      <c r="J6" s="29">
        <f t="shared" ca="1" si="10"/>
        <v>7.5321897943821767</v>
      </c>
      <c r="K6" s="82">
        <f t="shared" ca="1" si="3"/>
        <v>3.9495711728933163</v>
      </c>
      <c r="L6" s="32">
        <f t="shared" ca="1" si="10"/>
        <v>2.9855951739501152</v>
      </c>
      <c r="M6" s="32">
        <f t="shared" ca="1" si="10"/>
        <v>3.334657213573232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12.895071050110081</v>
      </c>
      <c r="C7" s="29">
        <f ca="1">Plantilla!AB9+Plantilla!N9+Plantilla!J9</f>
        <v>10.926817081856113</v>
      </c>
      <c r="D7" s="82">
        <f t="shared" ca="1" si="1"/>
        <v>4.3435881517277881</v>
      </c>
      <c r="E7" s="29">
        <f ca="1">D7*Plantilla!R9</f>
        <v>4.0213812160034932</v>
      </c>
      <c r="F7" s="29">
        <f ca="1">D7*Plantilla!S9</f>
        <v>4.3404844799118889</v>
      </c>
      <c r="K7" s="135">
        <f ca="1">SUM(K2:K6)</f>
        <v>20.888582499862089</v>
      </c>
      <c r="L7" s="135">
        <f t="shared" ref="L7:M7" ca="1" si="11">SUM(L2:L6)</f>
        <v>18.348752493260115</v>
      </c>
      <c r="M7" s="135">
        <f t="shared" ca="1" si="11"/>
        <v>19.967693211403457</v>
      </c>
      <c r="N7" s="135"/>
      <c r="O7" s="135"/>
      <c r="P7" s="135"/>
      <c r="Q7" s="135"/>
      <c r="R7" s="135">
        <f ca="1">SUM(R2:R6)</f>
        <v>16.939011326968775</v>
      </c>
      <c r="S7" s="135">
        <f t="shared" ref="S7:T7" ca="1" si="12">SUM(S2:S6)</f>
        <v>12.454230156947487</v>
      </c>
      <c r="T7" s="135">
        <f t="shared" ca="1" si="12"/>
        <v>13.554644074330273</v>
      </c>
    </row>
    <row r="8" spans="1:20" x14ac:dyDescent="0.25">
      <c r="A8">
        <f>Plantilla!D10</f>
        <v>0</v>
      </c>
      <c r="B8" s="29" t="e">
        <f ca="1">Plantilla!Y10+Plantilla!N10+Plantilla!J10</f>
        <v>#NUM!</v>
      </c>
      <c r="C8" s="29" t="e">
        <f ca="1">Plantilla!AB10+Plantilla!N10+Plantilla!J10</f>
        <v>#NUM!</v>
      </c>
      <c r="D8" s="82" t="e">
        <f t="shared" ca="1" si="1"/>
        <v>#NUM!</v>
      </c>
      <c r="E8" s="29" t="e">
        <f ca="1">D8*Plantilla!R10</f>
        <v>#NUM!</v>
      </c>
      <c r="F8" s="29" t="e">
        <f ca="1">D8*Plantilla!S10</f>
        <v>#NUM!</v>
      </c>
      <c r="L8" s="64">
        <f ca="1">(K7-L7)/K7</f>
        <v>0.12158939011868052</v>
      </c>
      <c r="M8" s="64">
        <f ca="1">(K7-M7)/K7</f>
        <v>4.4085772142016429E-2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14.257936901981584</v>
      </c>
      <c r="C9" s="29">
        <f ca="1">Plantilla!AB11+Plantilla!N11+Plantilla!J11</f>
        <v>6.3579369019815832</v>
      </c>
      <c r="D9" s="82">
        <f t="shared" ca="1" si="1"/>
        <v>3.3717263382430938</v>
      </c>
      <c r="E9" s="29">
        <f ca="1">D9*Plantilla!R11</f>
        <v>3.3717263382430938</v>
      </c>
      <c r="F9" s="29">
        <f ca="1">D9*Plantilla!S11</f>
        <v>3.3717263382430938</v>
      </c>
    </row>
    <row r="10" spans="1:20" x14ac:dyDescent="0.25">
      <c r="A10" t="str">
        <f>Plantilla!D12</f>
        <v>Will Duffill</v>
      </c>
      <c r="B10" s="29">
        <f ca="1">Plantilla!Y12+Plantilla!N12+Plantilla!J12</f>
        <v>13.426505573922681</v>
      </c>
      <c r="C10" s="29">
        <f ca="1">Plantilla!AB12+Plantilla!N12+Plantilla!J12</f>
        <v>9.1209500183671253</v>
      </c>
      <c r="D10" s="82">
        <f t="shared" ca="1" si="1"/>
        <v>3.9585507013321166</v>
      </c>
      <c r="E10" s="29">
        <f ca="1">D10*Plantilla!R12</f>
        <v>3.3455859677893915</v>
      </c>
      <c r="F10" s="29">
        <f ca="1">D10*Plantilla!S12</f>
        <v>3.6618504434926611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13.080159124203805</v>
      </c>
      <c r="C11" s="29">
        <f ca="1">Plantilla!AB13+Plantilla!N13+Plantilla!J13</f>
        <v>8.0579369019815843</v>
      </c>
      <c r="D11" s="82">
        <f t="shared" ca="1" si="1"/>
        <v>3.6495041160208714</v>
      </c>
      <c r="E11" s="29">
        <f ca="1">D11*Plantilla!R13</f>
        <v>3.0843939313042732</v>
      </c>
      <c r="F11" s="29">
        <f ca="1">D11*Plantilla!S13</f>
        <v>3.3759674370931103</v>
      </c>
    </row>
    <row r="12" spans="1:20" x14ac:dyDescent="0.25">
      <c r="A12" t="str">
        <f>Plantilla!D14</f>
        <v>Enrique Cubas</v>
      </c>
      <c r="B12" s="29">
        <f>Plantilla!Y14+Plantilla!N14+Plantilla!J14</f>
        <v>12.289102862924215</v>
      </c>
      <c r="C12" s="29">
        <f>Plantilla!AB14+Plantilla!N14+Plantilla!J14</f>
        <v>8.6319600057813588</v>
      </c>
      <c r="D12" s="82">
        <f t="shared" si="1"/>
        <v>3.6941278593108668</v>
      </c>
      <c r="E12" s="29">
        <f>D12*Plantilla!R14</f>
        <v>3.4200978232797485</v>
      </c>
      <c r="F12" s="29">
        <f>D12*Plantilla!S14</f>
        <v>3.6914882535009301</v>
      </c>
      <c r="H12" s="136" t="s">
        <v>372</v>
      </c>
      <c r="I12" s="136" t="s">
        <v>29</v>
      </c>
      <c r="J12" s="136" t="s">
        <v>69</v>
      </c>
      <c r="K12" s="137" t="s">
        <v>371</v>
      </c>
      <c r="L12" s="137" t="s">
        <v>213</v>
      </c>
      <c r="M12" s="137" t="s">
        <v>214</v>
      </c>
      <c r="O12" s="136" t="s">
        <v>372</v>
      </c>
      <c r="P12" s="136" t="s">
        <v>29</v>
      </c>
      <c r="Q12" s="136" t="s">
        <v>69</v>
      </c>
      <c r="R12" s="136" t="str">
        <f>K12</f>
        <v>N_CA</v>
      </c>
      <c r="S12" s="137" t="s">
        <v>213</v>
      </c>
      <c r="T12" s="137" t="s">
        <v>214</v>
      </c>
    </row>
    <row r="13" spans="1:20" x14ac:dyDescent="0.25">
      <c r="A13" t="str">
        <f>Plantilla!D15</f>
        <v>J. G. Peñuela</v>
      </c>
      <c r="B13" s="29">
        <f ca="1">Plantilla!Y15+Plantilla!N15+Plantilla!J15</f>
        <v>12.094624607439449</v>
      </c>
      <c r="C13" s="29">
        <f ca="1">Plantilla!AB15+Plantilla!N15+Plantilla!J15</f>
        <v>7.0946246074394486</v>
      </c>
      <c r="D13" s="82">
        <f t="shared" ca="1" si="1"/>
        <v>3.2854842277897935</v>
      </c>
      <c r="E13" s="29">
        <f ca="1">D13*Plantilla!R15</f>
        <v>3.0417673355734909</v>
      </c>
      <c r="F13" s="29">
        <f ca="1">D13*Plantilla!S15</f>
        <v>3.2831366146084386</v>
      </c>
      <c r="H13" s="32" t="str">
        <f>H2</f>
        <v>Berto Abandero</v>
      </c>
      <c r="I13" s="29">
        <f ca="1">I2</f>
        <v>14.845616747592482</v>
      </c>
      <c r="J13" s="29">
        <f ca="1">J2</f>
        <v>11.887283414259148</v>
      </c>
      <c r="K13" s="82">
        <f ca="1">(J13*2+I13)/8</f>
        <v>4.827522947013847</v>
      </c>
      <c r="L13" s="32">
        <f ca="1">K13*(1-$L$8)</f>
        <v>4.2405473761024979</v>
      </c>
      <c r="M13" s="32">
        <f ca="1">K13*(1-$M$8)</f>
        <v>4.6146978703614385</v>
      </c>
      <c r="O13" s="32" t="str">
        <f>H13</f>
        <v>Berto Abandero</v>
      </c>
      <c r="P13" s="32">
        <f t="shared" ref="P13:Q13" ca="1" si="13">I13</f>
        <v>14.845616747592482</v>
      </c>
      <c r="Q13" s="32">
        <f t="shared" ca="1" si="13"/>
        <v>11.887283414259148</v>
      </c>
      <c r="R13" s="82">
        <f ca="1">(Q13*2+P13)/8</f>
        <v>4.827522947013847</v>
      </c>
      <c r="S13" s="32">
        <f ca="1">L13</f>
        <v>4.2405473761024979</v>
      </c>
      <c r="T13" s="32">
        <f ca="1">M13</f>
        <v>4.6146978703614385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10.742990568401108</v>
      </c>
      <c r="C14" s="29">
        <f ca="1">Plantilla!AB16+Plantilla!N16+Plantilla!J16</f>
        <v>8.7747366001471416</v>
      </c>
      <c r="D14" s="82">
        <f t="shared" ca="1" si="1"/>
        <v>3.5365579710869239</v>
      </c>
      <c r="E14" s="29">
        <f ca="1">D14*Plantilla!R16</f>
        <v>3.274216453643108</v>
      </c>
      <c r="F14" s="29">
        <f ca="1">D14*Plantilla!S16</f>
        <v>3.5340309554222848</v>
      </c>
      <c r="H14" s="32" t="str">
        <f t="shared" ref="H14:I17" si="14">H3</f>
        <v>Guillermo Pedrajas</v>
      </c>
      <c r="I14" s="29">
        <f t="shared" ca="1" si="14"/>
        <v>12.895071050110081</v>
      </c>
      <c r="J14" s="29">
        <f t="shared" ref="J14:J17" ca="1" si="15">J3</f>
        <v>10.926817081856113</v>
      </c>
      <c r="K14" s="82">
        <f t="shared" ref="K14:K17" ca="1" si="16">(J14*2+I14)/8</f>
        <v>4.3435881517277881</v>
      </c>
      <c r="L14" s="32">
        <f t="shared" ref="L14:L17" ca="1" si="17">K14*(1-$L$8)</f>
        <v>3.8154539174324795</v>
      </c>
      <c r="M14" s="32">
        <f t="shared" ref="M14:M17" ca="1" si="18">K14*(1-$M$8)</f>
        <v>4.1520977141919539</v>
      </c>
      <c r="O14" s="32" t="str">
        <f t="shared" ref="O14:O16" si="19">H14</f>
        <v>Guillermo Pedrajas</v>
      </c>
      <c r="P14" s="32">
        <f t="shared" ref="P14:P16" ca="1" si="20">I14</f>
        <v>12.895071050110081</v>
      </c>
      <c r="Q14" s="32">
        <f t="shared" ref="Q14:Q16" ca="1" si="21">J14</f>
        <v>10.926817081856113</v>
      </c>
      <c r="R14" s="82">
        <f t="shared" ref="R14:R16" ca="1" si="22">(Q14*2+P14)/8</f>
        <v>4.3435881517277881</v>
      </c>
      <c r="S14" s="32">
        <f t="shared" ref="S14:S16" ca="1" si="23">L14</f>
        <v>3.8154539174324795</v>
      </c>
      <c r="T14" s="32">
        <f t="shared" ref="T14:T16" ca="1" si="24">M14</f>
        <v>4.1520977141919539</v>
      </c>
    </row>
    <row r="15" spans="1:20" x14ac:dyDescent="0.25">
      <c r="A15" t="str">
        <f>Plantilla!D17</f>
        <v>Fabien Fabre</v>
      </c>
      <c r="B15" s="29">
        <f ca="1">Plantilla!Y17+Plantilla!N17+Plantilla!J17</f>
        <v>7.8279149722707979</v>
      </c>
      <c r="C15" s="29">
        <f ca="1">Plantilla!AB17+Plantilla!N17+Plantilla!J17</f>
        <v>5.8695816389374649</v>
      </c>
      <c r="D15" s="82">
        <f t="shared" ca="1" si="1"/>
        <v>2.4458847812682158</v>
      </c>
      <c r="E15" s="29">
        <f ca="1">D15*Plantilla!R17</f>
        <v>2.2644492922259047</v>
      </c>
      <c r="F15" s="29">
        <f ca="1">D15*Plantilla!S17</f>
        <v>2.4441370963138906</v>
      </c>
      <c r="H15" s="32" t="str">
        <f t="shared" si="14"/>
        <v>Will Duffill</v>
      </c>
      <c r="I15" s="29">
        <f t="shared" ca="1" si="14"/>
        <v>13.426505573922681</v>
      </c>
      <c r="J15" s="29">
        <f t="shared" ca="1" si="15"/>
        <v>9.1209500183671253</v>
      </c>
      <c r="K15" s="82">
        <f t="shared" ca="1" si="16"/>
        <v>3.9585507013321166</v>
      </c>
      <c r="L15" s="32">
        <f t="shared" ca="1" si="17"/>
        <v>3.4772329358032694</v>
      </c>
      <c r="M15" s="32">
        <f t="shared" ca="1" si="18"/>
        <v>3.7840349371005693</v>
      </c>
      <c r="O15" s="32" t="str">
        <f t="shared" si="19"/>
        <v>Will Duffill</v>
      </c>
      <c r="P15" s="32">
        <f t="shared" ca="1" si="20"/>
        <v>13.426505573922681</v>
      </c>
      <c r="Q15" s="32">
        <f t="shared" ca="1" si="21"/>
        <v>9.1209500183671253</v>
      </c>
      <c r="R15" s="82">
        <f t="shared" ca="1" si="22"/>
        <v>3.9585507013321166</v>
      </c>
      <c r="S15" s="32">
        <f t="shared" ca="1" si="23"/>
        <v>3.4772329358032694</v>
      </c>
      <c r="T15" s="32">
        <f t="shared" ca="1" si="24"/>
        <v>3.7840349371005693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2">
        <f t="shared" ca="1" si="1"/>
        <v>2.2145950043360187</v>
      </c>
      <c r="E16" s="29">
        <f ca="1">D16*Plantilla!R18</f>
        <v>1.6740764674854611</v>
      </c>
      <c r="F16" s="29">
        <f ca="1">D16*Plantilla!S18</f>
        <v>1.8698017792504851</v>
      </c>
      <c r="H16" s="32" t="str">
        <f t="shared" si="14"/>
        <v>Iván Real Figueroa</v>
      </c>
      <c r="I16" s="29">
        <f t="shared" ca="1" si="14"/>
        <v>16.616598738386728</v>
      </c>
      <c r="J16" s="29">
        <f t="shared" ca="1" si="15"/>
        <v>6.9290987383867266</v>
      </c>
      <c r="K16" s="82">
        <f t="shared" ca="1" si="16"/>
        <v>3.8093495268950228</v>
      </c>
      <c r="L16" s="32">
        <f t="shared" ca="1" si="17"/>
        <v>3.3461730411709727</v>
      </c>
      <c r="M16" s="32">
        <f t="shared" ca="1" si="18"/>
        <v>3.6414114116430305</v>
      </c>
      <c r="O16" s="32" t="str">
        <f t="shared" si="19"/>
        <v>Iván Real Figueroa</v>
      </c>
      <c r="P16" s="32">
        <f t="shared" ca="1" si="20"/>
        <v>16.616598738386728</v>
      </c>
      <c r="Q16" s="32">
        <f t="shared" ca="1" si="21"/>
        <v>6.9290987383867266</v>
      </c>
      <c r="R16" s="82">
        <f t="shared" ca="1" si="22"/>
        <v>3.8093495268950228</v>
      </c>
      <c r="S16" s="32">
        <f t="shared" ca="1" si="23"/>
        <v>3.3461730411709727</v>
      </c>
      <c r="T16" s="32">
        <f t="shared" ca="1" si="24"/>
        <v>3.6414114116430305</v>
      </c>
    </row>
    <row r="17" spans="1:20" x14ac:dyDescent="0.25">
      <c r="A17" t="str">
        <f>Plantilla!D19</f>
        <v>Stanisław Zdankiewicz</v>
      </c>
      <c r="B17" s="29">
        <f ca="1">Plantilla!Y19+Plantilla!N19+Plantilla!J19</f>
        <v>2.3779607164991465</v>
      </c>
      <c r="C17" s="29">
        <f ca="1">Plantilla!AB19+Plantilla!N19+Plantilla!J19</f>
        <v>8.3779607164991461</v>
      </c>
      <c r="D17" s="82">
        <f t="shared" ca="1" si="1"/>
        <v>2.3917352686871798</v>
      </c>
      <c r="E17" s="29">
        <f ca="1">D17*Plantilla!R19</f>
        <v>1.2784362764701633</v>
      </c>
      <c r="F17" s="29">
        <f ca="1">D17*Plantilla!S19</f>
        <v>1.5631464975898355</v>
      </c>
      <c r="H17" s="32" t="str">
        <f t="shared" si="14"/>
        <v>Miguel Fernández</v>
      </c>
      <c r="I17" s="29">
        <f t="shared" ca="1" si="14"/>
        <v>16.532189794382177</v>
      </c>
      <c r="J17" s="29">
        <f t="shared" ca="1" si="15"/>
        <v>7.5321897943821767</v>
      </c>
      <c r="K17" s="82">
        <f t="shared" ca="1" si="16"/>
        <v>3.9495711728933163</v>
      </c>
      <c r="L17" s="32">
        <f t="shared" ca="1" si="17"/>
        <v>3.4693452227508961</v>
      </c>
      <c r="M17" s="32">
        <f t="shared" ca="1" si="18"/>
        <v>3.7754512781064649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7.9668040510975722</v>
      </c>
      <c r="C18" s="29">
        <f ca="1">Plantilla!AB20+Plantilla!N20+Plantilla!J20</f>
        <v>11.077915162208683</v>
      </c>
      <c r="D18" s="82">
        <f t="shared" ca="1" si="1"/>
        <v>3.7653292969393672</v>
      </c>
      <c r="E18" s="29">
        <f ca="1">D18*Plantilla!R20</f>
        <v>3.4860175453689157</v>
      </c>
      <c r="F18" s="29">
        <f ca="1">D18*Plantilla!S20</f>
        <v>3.7626388147830783</v>
      </c>
      <c r="K18" s="135">
        <f ca="1">SUM(K13:K17)</f>
        <v>20.888582499862089</v>
      </c>
      <c r="L18" s="135">
        <f t="shared" ref="L18:M18" ca="1" si="25">SUM(L13:L17)</f>
        <v>18.348752493260118</v>
      </c>
      <c r="M18" s="135">
        <f t="shared" ca="1" si="25"/>
        <v>19.967693211403457</v>
      </c>
      <c r="N18" s="135"/>
      <c r="O18" s="135"/>
      <c r="P18" s="135"/>
      <c r="Q18" s="135"/>
      <c r="R18" s="135">
        <f ca="1">SUM(R13:R17)</f>
        <v>16.939011326968775</v>
      </c>
      <c r="S18" s="135">
        <f t="shared" ref="S18:T18" ca="1" si="26">SUM(S13:S17)</f>
        <v>14.879407270509221</v>
      </c>
      <c r="T18" s="135">
        <f t="shared" ca="1" si="26"/>
        <v>16.192241933296991</v>
      </c>
    </row>
    <row r="19" spans="1:20" x14ac:dyDescent="0.25">
      <c r="A19" t="str">
        <f>Plantilla!D21</f>
        <v>Leo Hilpinen</v>
      </c>
      <c r="B19" s="29">
        <f ca="1">Plantilla!Y21+Plantilla!N21+Plantilla!J21</f>
        <v>6.5211882009969759</v>
      </c>
      <c r="C19" s="29">
        <f ca="1">Plantilla!AB21+Plantilla!N21+Plantilla!J21</f>
        <v>10.664045343854118</v>
      </c>
      <c r="D19" s="82">
        <f t="shared" ca="1" si="1"/>
        <v>3.4811598610881518</v>
      </c>
      <c r="E19" s="29">
        <f ca="1">D19*Plantilla!R21</f>
        <v>3.4811598610881518</v>
      </c>
      <c r="F19" s="29">
        <f ca="1">D19*Plantilla!S21</f>
        <v>3.4811598610881518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48"/>
  <sheetViews>
    <sheetView zoomScale="90" zoomScaleNormal="90" workbookViewId="0">
      <selection activeCell="H20" sqref="H20"/>
    </sheetView>
  </sheetViews>
  <sheetFormatPr baseColWidth="10" defaultRowHeight="15" x14ac:dyDescent="0.25"/>
  <cols>
    <col min="1" max="1" width="12.5703125" style="132" customWidth="1"/>
    <col min="2" max="2" width="17.7109375" style="132" bestFit="1" customWidth="1"/>
    <col min="3" max="3" width="27.140625" style="132" bestFit="1" customWidth="1"/>
    <col min="4" max="4" width="11.7109375" style="132" bestFit="1" customWidth="1"/>
    <col min="5" max="5" width="16.85546875" style="132" bestFit="1" customWidth="1"/>
    <col min="6" max="6" width="17.28515625" style="132" bestFit="1" customWidth="1"/>
    <col min="7" max="7" width="4.28515625" style="132" bestFit="1" customWidth="1"/>
    <col min="8" max="8" width="13.5703125" style="132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380</v>
      </c>
      <c r="B1" s="48" t="s">
        <v>381</v>
      </c>
      <c r="C1" s="48" t="s">
        <v>382</v>
      </c>
      <c r="D1" s="48" t="s">
        <v>386</v>
      </c>
      <c r="E1" s="48" t="s">
        <v>387</v>
      </c>
      <c r="F1" s="48" t="s">
        <v>383</v>
      </c>
      <c r="G1" s="48" t="s">
        <v>384</v>
      </c>
      <c r="H1" s="48" t="s">
        <v>385</v>
      </c>
      <c r="J1" s="439" t="s">
        <v>678</v>
      </c>
      <c r="K1" t="s">
        <v>686</v>
      </c>
      <c r="L1" t="s">
        <v>680</v>
      </c>
      <c r="M1" t="s">
        <v>681</v>
      </c>
      <c r="N1" s="132" t="s">
        <v>89</v>
      </c>
    </row>
    <row r="2" spans="1:14" x14ac:dyDescent="0.25">
      <c r="A2" s="148">
        <v>43670</v>
      </c>
      <c r="B2" s="150" t="s">
        <v>388</v>
      </c>
      <c r="C2" s="132" t="s">
        <v>689</v>
      </c>
      <c r="D2" s="132">
        <v>14</v>
      </c>
      <c r="E2" s="34">
        <f>(7+11+14+11+10+12+14+11+13+14+10)/11</f>
        <v>11.545454545454545</v>
      </c>
      <c r="F2" s="132">
        <v>7</v>
      </c>
      <c r="G2" s="132">
        <v>2</v>
      </c>
      <c r="H2" s="43">
        <f t="shared" ref="H2:H48" si="0">G2/F2</f>
        <v>0.2857142857142857</v>
      </c>
      <c r="J2" s="440">
        <v>14</v>
      </c>
      <c r="K2" s="441">
        <v>1</v>
      </c>
      <c r="L2" s="441">
        <v>7</v>
      </c>
      <c r="M2" s="441">
        <v>2</v>
      </c>
      <c r="N2" s="65">
        <f>M2/L2</f>
        <v>0.2857142857142857</v>
      </c>
    </row>
    <row r="3" spans="1:14" x14ac:dyDescent="0.25">
      <c r="A3" s="148">
        <v>43617</v>
      </c>
      <c r="B3" s="444" t="s">
        <v>692</v>
      </c>
      <c r="C3" s="150" t="s">
        <v>388</v>
      </c>
      <c r="D3" s="444">
        <v>15</v>
      </c>
      <c r="E3" s="447">
        <f>(15+8+9+11+14+11+14+9+13+13+12)/11</f>
        <v>11.727272727272727</v>
      </c>
      <c r="F3" s="444">
        <v>9</v>
      </c>
      <c r="G3" s="444">
        <v>2</v>
      </c>
      <c r="H3" s="445">
        <f t="shared" si="0"/>
        <v>0.22222222222222221</v>
      </c>
      <c r="J3" s="440">
        <v>15</v>
      </c>
      <c r="K3" s="441">
        <v>1</v>
      </c>
      <c r="L3" s="441">
        <v>9</v>
      </c>
      <c r="M3" s="441">
        <v>2</v>
      </c>
      <c r="N3" s="65">
        <f t="shared" ref="N3:N8" si="1">M3/L3</f>
        <v>0.22222222222222221</v>
      </c>
    </row>
    <row r="4" spans="1:14" x14ac:dyDescent="0.25">
      <c r="A4" s="148">
        <v>43550</v>
      </c>
      <c r="B4" s="444" t="s">
        <v>699</v>
      </c>
      <c r="C4" s="150" t="s">
        <v>388</v>
      </c>
      <c r="D4" s="444">
        <v>16</v>
      </c>
      <c r="E4" s="447">
        <f>(15+8+9+11+14+11+14+9+13+13+12)/11</f>
        <v>11.727272727272727</v>
      </c>
      <c r="F4" s="444">
        <v>4</v>
      </c>
      <c r="G4" s="444">
        <v>2</v>
      </c>
      <c r="H4" s="445">
        <f t="shared" si="0"/>
        <v>0.5</v>
      </c>
      <c r="J4" s="440">
        <v>16</v>
      </c>
      <c r="K4" s="441">
        <v>18</v>
      </c>
      <c r="L4" s="441">
        <v>115</v>
      </c>
      <c r="M4" s="441">
        <v>46</v>
      </c>
      <c r="N4" s="65">
        <f t="shared" si="1"/>
        <v>0.4</v>
      </c>
    </row>
    <row r="5" spans="1:14" x14ac:dyDescent="0.25">
      <c r="A5" s="148">
        <v>43602</v>
      </c>
      <c r="B5" s="444" t="s">
        <v>696</v>
      </c>
      <c r="C5" s="150" t="s">
        <v>388</v>
      </c>
      <c r="D5" s="444">
        <v>16</v>
      </c>
      <c r="E5" s="447">
        <f>(15+11+11+14+14+10+14+13+13+9+9)/11</f>
        <v>12.090909090909092</v>
      </c>
      <c r="F5" s="444">
        <v>6</v>
      </c>
      <c r="G5" s="444">
        <v>3</v>
      </c>
      <c r="H5" s="445">
        <f t="shared" si="0"/>
        <v>0.5</v>
      </c>
      <c r="J5" s="440">
        <v>17</v>
      </c>
      <c r="K5" s="441">
        <v>13</v>
      </c>
      <c r="L5" s="441">
        <v>92</v>
      </c>
      <c r="M5" s="441">
        <v>35</v>
      </c>
      <c r="N5" s="65">
        <f t="shared" si="1"/>
        <v>0.38043478260869568</v>
      </c>
    </row>
    <row r="6" spans="1:14" x14ac:dyDescent="0.25">
      <c r="A6" s="148">
        <v>43610</v>
      </c>
      <c r="B6" s="150" t="s">
        <v>388</v>
      </c>
      <c r="C6" s="150" t="s">
        <v>694</v>
      </c>
      <c r="D6" s="444">
        <v>16</v>
      </c>
      <c r="E6" s="447">
        <f>(15+11+11+14+14+10+14+13+13+9+9)/11</f>
        <v>12.090909090909092</v>
      </c>
      <c r="F6" s="444">
        <v>5</v>
      </c>
      <c r="G6" s="444">
        <v>3</v>
      </c>
      <c r="H6" s="445">
        <f t="shared" si="0"/>
        <v>0.6</v>
      </c>
      <c r="J6" s="440">
        <v>18</v>
      </c>
      <c r="K6" s="441">
        <v>8</v>
      </c>
      <c r="L6" s="441">
        <v>52</v>
      </c>
      <c r="M6" s="441">
        <v>16</v>
      </c>
      <c r="N6" s="65">
        <f t="shared" si="1"/>
        <v>0.30769230769230771</v>
      </c>
    </row>
    <row r="7" spans="1:14" x14ac:dyDescent="0.25">
      <c r="A7" s="148">
        <v>43615</v>
      </c>
      <c r="B7" s="150" t="s">
        <v>388</v>
      </c>
      <c r="C7" s="150" t="s">
        <v>693</v>
      </c>
      <c r="D7" s="444">
        <v>16</v>
      </c>
      <c r="E7" s="447">
        <f>(15+11+11+14+14+10+14+13+13+9+12)/11</f>
        <v>12.363636363636363</v>
      </c>
      <c r="F7" s="444">
        <v>9</v>
      </c>
      <c r="G7" s="444">
        <v>4</v>
      </c>
      <c r="H7" s="445">
        <f t="shared" si="0"/>
        <v>0.44444444444444442</v>
      </c>
      <c r="J7" s="440">
        <v>19</v>
      </c>
      <c r="K7" s="441">
        <v>3</v>
      </c>
      <c r="L7" s="441">
        <v>26</v>
      </c>
      <c r="M7" s="441">
        <v>12</v>
      </c>
      <c r="N7" s="65">
        <f t="shared" si="1"/>
        <v>0.46153846153846156</v>
      </c>
    </row>
    <row r="8" spans="1:14" x14ac:dyDescent="0.25">
      <c r="A8" s="148">
        <v>43617</v>
      </c>
      <c r="B8" s="132" t="s">
        <v>404</v>
      </c>
      <c r="C8" s="150" t="s">
        <v>388</v>
      </c>
      <c r="D8" s="444">
        <v>16</v>
      </c>
      <c r="E8" s="34">
        <f>(15+10+14+10+11+10+13+14+13+10+12)/11</f>
        <v>12</v>
      </c>
      <c r="F8" s="444">
        <v>5</v>
      </c>
      <c r="G8" s="444">
        <v>3</v>
      </c>
      <c r="H8" s="445">
        <f t="shared" si="0"/>
        <v>0.6</v>
      </c>
      <c r="J8" s="440">
        <v>20</v>
      </c>
      <c r="K8" s="441">
        <v>3</v>
      </c>
      <c r="L8" s="441">
        <v>18</v>
      </c>
      <c r="M8" s="441">
        <v>9</v>
      </c>
      <c r="N8" s="65">
        <f t="shared" si="1"/>
        <v>0.5</v>
      </c>
    </row>
    <row r="9" spans="1:14" x14ac:dyDescent="0.25">
      <c r="A9" s="148">
        <v>43624</v>
      </c>
      <c r="B9" s="150" t="s">
        <v>403</v>
      </c>
      <c r="C9" s="150" t="s">
        <v>388</v>
      </c>
      <c r="D9" s="444">
        <v>16</v>
      </c>
      <c r="E9" s="34">
        <f t="shared" ref="E9:E20" si="2">(15+10+14+14+11+10+13+14+13+10+10)/11</f>
        <v>12.181818181818182</v>
      </c>
      <c r="F9" s="444">
        <v>4</v>
      </c>
      <c r="G9" s="444">
        <v>2</v>
      </c>
      <c r="H9" s="445">
        <f t="shared" si="0"/>
        <v>0.5</v>
      </c>
      <c r="J9" s="440" t="s">
        <v>679</v>
      </c>
      <c r="K9" s="441">
        <v>47</v>
      </c>
      <c r="L9" s="441">
        <v>319</v>
      </c>
      <c r="M9" s="441">
        <v>122</v>
      </c>
      <c r="N9" s="65"/>
    </row>
    <row r="10" spans="1:14" x14ac:dyDescent="0.25">
      <c r="A10" s="148">
        <v>43633</v>
      </c>
      <c r="B10" s="150" t="s">
        <v>388</v>
      </c>
      <c r="C10" s="132" t="s">
        <v>401</v>
      </c>
      <c r="D10" s="444">
        <v>16</v>
      </c>
      <c r="E10" s="34">
        <f t="shared" si="2"/>
        <v>12.181818181818182</v>
      </c>
      <c r="F10" s="444">
        <v>10</v>
      </c>
      <c r="G10" s="444">
        <v>3</v>
      </c>
      <c r="H10" s="446">
        <f t="shared" si="0"/>
        <v>0.3</v>
      </c>
    </row>
    <row r="11" spans="1:14" x14ac:dyDescent="0.25">
      <c r="A11" s="148">
        <v>43633</v>
      </c>
      <c r="B11" s="150" t="s">
        <v>388</v>
      </c>
      <c r="C11" s="132" t="s">
        <v>402</v>
      </c>
      <c r="D11" s="444">
        <v>16</v>
      </c>
      <c r="E11" s="34">
        <f t="shared" si="2"/>
        <v>12.181818181818182</v>
      </c>
      <c r="F11" s="444">
        <v>7</v>
      </c>
      <c r="G11" s="444">
        <v>3</v>
      </c>
      <c r="H11" s="446">
        <f t="shared" si="0"/>
        <v>0.42857142857142855</v>
      </c>
      <c r="I11" s="34"/>
    </row>
    <row r="12" spans="1:14" x14ac:dyDescent="0.25">
      <c r="A12" s="148">
        <v>43634</v>
      </c>
      <c r="B12" s="132" t="s">
        <v>399</v>
      </c>
      <c r="C12" s="150" t="s">
        <v>388</v>
      </c>
      <c r="D12" s="444">
        <v>16</v>
      </c>
      <c r="E12" s="34">
        <f t="shared" si="2"/>
        <v>12.181818181818182</v>
      </c>
      <c r="F12" s="444">
        <v>9</v>
      </c>
      <c r="G12" s="444">
        <v>3</v>
      </c>
      <c r="H12" s="446">
        <f t="shared" si="0"/>
        <v>0.33333333333333331</v>
      </c>
    </row>
    <row r="13" spans="1:14" x14ac:dyDescent="0.25">
      <c r="A13" s="148">
        <v>43634</v>
      </c>
      <c r="B13" s="132" t="s">
        <v>400</v>
      </c>
      <c r="C13" s="150" t="s">
        <v>388</v>
      </c>
      <c r="D13" s="132">
        <v>16</v>
      </c>
      <c r="E13" s="34">
        <f t="shared" si="2"/>
        <v>12.181818181818182</v>
      </c>
      <c r="F13" s="132">
        <v>6</v>
      </c>
      <c r="G13" s="132">
        <v>2</v>
      </c>
      <c r="H13" s="149">
        <f t="shared" si="0"/>
        <v>0.33333333333333331</v>
      </c>
    </row>
    <row r="14" spans="1:14" x14ac:dyDescent="0.25">
      <c r="A14" s="148">
        <v>43635</v>
      </c>
      <c r="B14" s="150" t="s">
        <v>388</v>
      </c>
      <c r="C14" s="132" t="s">
        <v>397</v>
      </c>
      <c r="D14" s="132">
        <v>16</v>
      </c>
      <c r="E14" s="34">
        <f t="shared" si="2"/>
        <v>12.181818181818182</v>
      </c>
      <c r="F14" s="132">
        <v>7</v>
      </c>
      <c r="G14" s="132">
        <v>2</v>
      </c>
      <c r="H14" s="149">
        <f t="shared" si="0"/>
        <v>0.2857142857142857</v>
      </c>
    </row>
    <row r="15" spans="1:14" x14ac:dyDescent="0.25">
      <c r="A15" s="148">
        <v>43635</v>
      </c>
      <c r="B15" s="150" t="s">
        <v>388</v>
      </c>
      <c r="C15" s="132" t="s">
        <v>398</v>
      </c>
      <c r="D15" s="132">
        <v>16</v>
      </c>
      <c r="E15" s="34">
        <f t="shared" si="2"/>
        <v>12.181818181818182</v>
      </c>
      <c r="F15" s="132">
        <v>5</v>
      </c>
      <c r="G15" s="132">
        <v>2</v>
      </c>
      <c r="H15" s="149">
        <f t="shared" si="0"/>
        <v>0.4</v>
      </c>
    </row>
    <row r="16" spans="1:14" x14ac:dyDescent="0.25">
      <c r="A16" s="148">
        <v>43636</v>
      </c>
      <c r="B16" s="132" t="s">
        <v>396</v>
      </c>
      <c r="C16" s="150" t="s">
        <v>388</v>
      </c>
      <c r="D16" s="132">
        <v>16</v>
      </c>
      <c r="E16" s="34">
        <f t="shared" si="2"/>
        <v>12.181818181818182</v>
      </c>
      <c r="F16" s="132">
        <v>9</v>
      </c>
      <c r="G16" s="132">
        <v>2</v>
      </c>
      <c r="H16" s="149">
        <f t="shared" si="0"/>
        <v>0.22222222222222221</v>
      </c>
    </row>
    <row r="17" spans="1:8" x14ac:dyDescent="0.25">
      <c r="A17" s="148">
        <v>43640</v>
      </c>
      <c r="B17" s="132" t="s">
        <v>394</v>
      </c>
      <c r="C17" s="150" t="s">
        <v>388</v>
      </c>
      <c r="D17" s="132">
        <v>16</v>
      </c>
      <c r="E17" s="34">
        <f t="shared" si="2"/>
        <v>12.181818181818182</v>
      </c>
      <c r="F17" s="132">
        <v>3</v>
      </c>
      <c r="G17" s="132">
        <v>2</v>
      </c>
      <c r="H17" s="149">
        <f t="shared" si="0"/>
        <v>0.66666666666666663</v>
      </c>
    </row>
    <row r="18" spans="1:8" x14ac:dyDescent="0.25">
      <c r="A18" s="148">
        <v>43641</v>
      </c>
      <c r="B18" s="132" t="s">
        <v>392</v>
      </c>
      <c r="C18" s="150" t="s">
        <v>388</v>
      </c>
      <c r="D18" s="132">
        <v>16</v>
      </c>
      <c r="E18" s="34">
        <f t="shared" si="2"/>
        <v>12.181818181818182</v>
      </c>
      <c r="F18" s="132">
        <v>6</v>
      </c>
      <c r="G18" s="132">
        <v>2</v>
      </c>
      <c r="H18" s="149">
        <f t="shared" si="0"/>
        <v>0.33333333333333331</v>
      </c>
    </row>
    <row r="19" spans="1:8" x14ac:dyDescent="0.25">
      <c r="A19" s="148">
        <v>43641</v>
      </c>
      <c r="B19" s="150" t="s">
        <v>388</v>
      </c>
      <c r="C19" s="132" t="s">
        <v>393</v>
      </c>
      <c r="D19" s="132">
        <v>16</v>
      </c>
      <c r="E19" s="34">
        <f t="shared" si="2"/>
        <v>12.181818181818182</v>
      </c>
      <c r="F19" s="132">
        <v>4</v>
      </c>
      <c r="G19" s="132">
        <v>2</v>
      </c>
      <c r="H19" s="149">
        <f t="shared" si="0"/>
        <v>0.5</v>
      </c>
    </row>
    <row r="20" spans="1:8" x14ac:dyDescent="0.25">
      <c r="A20" s="148">
        <v>43642</v>
      </c>
      <c r="B20" s="150" t="s">
        <v>388</v>
      </c>
      <c r="C20" s="132" t="s">
        <v>389</v>
      </c>
      <c r="D20" s="132">
        <v>16</v>
      </c>
      <c r="E20" s="34">
        <f t="shared" si="2"/>
        <v>12.181818181818182</v>
      </c>
      <c r="F20" s="132">
        <v>9</v>
      </c>
      <c r="G20" s="132">
        <v>3</v>
      </c>
      <c r="H20" s="149">
        <f t="shared" si="0"/>
        <v>0.33333333333333331</v>
      </c>
    </row>
    <row r="21" spans="1:8" x14ac:dyDescent="0.25">
      <c r="A21" s="148">
        <v>43677</v>
      </c>
      <c r="B21" s="150" t="s">
        <v>703</v>
      </c>
      <c r="C21" s="150" t="s">
        <v>388</v>
      </c>
      <c r="D21" s="132">
        <v>16</v>
      </c>
      <c r="E21" s="34">
        <f>(15+9+10+8+12+8+12+13+13+9+12)/11</f>
        <v>11</v>
      </c>
      <c r="F21" s="132">
        <v>7</v>
      </c>
      <c r="G21" s="132">
        <v>3</v>
      </c>
      <c r="H21" s="149">
        <f t="shared" si="0"/>
        <v>0.42857142857142855</v>
      </c>
    </row>
    <row r="22" spans="1:8" x14ac:dyDescent="0.25">
      <c r="A22" s="148">
        <v>43537</v>
      </c>
      <c r="B22" s="444" t="s">
        <v>701</v>
      </c>
      <c r="C22" s="150" t="s">
        <v>388</v>
      </c>
      <c r="D22" s="444">
        <v>17</v>
      </c>
      <c r="E22" s="447">
        <f>(15+8+9+11+14+11+14+9+13+13+12)/11</f>
        <v>11.727272727272727</v>
      </c>
      <c r="F22" s="444">
        <v>7</v>
      </c>
      <c r="G22" s="444">
        <v>4</v>
      </c>
      <c r="H22" s="445">
        <f t="shared" si="0"/>
        <v>0.5714285714285714</v>
      </c>
    </row>
    <row r="23" spans="1:8" x14ac:dyDescent="0.25">
      <c r="A23" s="148">
        <v>43540</v>
      </c>
      <c r="B23" s="444" t="s">
        <v>700</v>
      </c>
      <c r="C23" s="150" t="s">
        <v>388</v>
      </c>
      <c r="D23" s="444">
        <v>17</v>
      </c>
      <c r="E23" s="447">
        <f>(15+8+9+11+14+11+14+9+13+13+12)/11</f>
        <v>11.727272727272727</v>
      </c>
      <c r="F23" s="444">
        <v>7</v>
      </c>
      <c r="G23" s="444">
        <v>3</v>
      </c>
      <c r="H23" s="445">
        <f t="shared" si="0"/>
        <v>0.42857142857142855</v>
      </c>
    </row>
    <row r="24" spans="1:8" x14ac:dyDescent="0.25">
      <c r="A24" s="148">
        <v>43547</v>
      </c>
      <c r="B24" s="150" t="s">
        <v>388</v>
      </c>
      <c r="C24" s="150" t="s">
        <v>403</v>
      </c>
      <c r="D24" s="444">
        <v>17</v>
      </c>
      <c r="E24" s="447">
        <f>(15+11+14+11+14+10+13+11+14+9+9)/11</f>
        <v>11.909090909090908</v>
      </c>
      <c r="F24" s="444">
        <v>5</v>
      </c>
      <c r="G24" s="444">
        <v>1</v>
      </c>
      <c r="H24" s="445">
        <f t="shared" si="0"/>
        <v>0.2</v>
      </c>
    </row>
    <row r="25" spans="1:8" x14ac:dyDescent="0.25">
      <c r="A25" s="148">
        <v>43589</v>
      </c>
      <c r="B25" s="444" t="s">
        <v>698</v>
      </c>
      <c r="C25" s="150" t="s">
        <v>388</v>
      </c>
      <c r="D25" s="444">
        <v>17</v>
      </c>
      <c r="E25" s="447">
        <f>(15+11+11+14+14+10+14+11+13+9+9)/11</f>
        <v>11.909090909090908</v>
      </c>
      <c r="F25" s="444">
        <v>8</v>
      </c>
      <c r="G25" s="444">
        <v>4</v>
      </c>
      <c r="H25" s="445">
        <f t="shared" si="0"/>
        <v>0.5</v>
      </c>
    </row>
    <row r="26" spans="1:8" x14ac:dyDescent="0.25">
      <c r="A26" s="148">
        <v>43596</v>
      </c>
      <c r="B26" s="150" t="s">
        <v>388</v>
      </c>
      <c r="C26" s="150" t="s">
        <v>697</v>
      </c>
      <c r="D26" s="444">
        <v>17</v>
      </c>
      <c r="E26" s="447">
        <f>(15+11+11+14+14+10+14+13+13+9+9)/11</f>
        <v>12.090909090909092</v>
      </c>
      <c r="F26" s="444">
        <v>6</v>
      </c>
      <c r="G26" s="444">
        <v>1</v>
      </c>
      <c r="H26" s="445">
        <f t="shared" si="0"/>
        <v>0.16666666666666666</v>
      </c>
    </row>
    <row r="27" spans="1:8" x14ac:dyDescent="0.25">
      <c r="A27" s="148">
        <v>43603</v>
      </c>
      <c r="B27" s="444" t="s">
        <v>695</v>
      </c>
      <c r="C27" s="150" t="s">
        <v>388</v>
      </c>
      <c r="D27" s="444">
        <v>17</v>
      </c>
      <c r="E27" s="447">
        <f>(15+11+11+14+14+10+14+13+13+9+9)/11</f>
        <v>12.090909090909092</v>
      </c>
      <c r="F27" s="444">
        <v>9</v>
      </c>
      <c r="G27" s="444">
        <v>5</v>
      </c>
      <c r="H27" s="445">
        <f t="shared" si="0"/>
        <v>0.55555555555555558</v>
      </c>
    </row>
    <row r="28" spans="1:8" x14ac:dyDescent="0.25">
      <c r="A28" s="148">
        <v>43636</v>
      </c>
      <c r="B28" s="132" t="s">
        <v>395</v>
      </c>
      <c r="C28" s="150" t="s">
        <v>388</v>
      </c>
      <c r="D28" s="132">
        <v>17</v>
      </c>
      <c r="E28" s="34">
        <f t="shared" ref="E28:E33" si="3">(15+10+14+14+11+10+13+14+13+10+10)/11</f>
        <v>12.181818181818182</v>
      </c>
      <c r="F28" s="132">
        <v>8</v>
      </c>
      <c r="G28" s="132">
        <v>3</v>
      </c>
      <c r="H28" s="149">
        <f t="shared" si="0"/>
        <v>0.375</v>
      </c>
    </row>
    <row r="29" spans="1:8" x14ac:dyDescent="0.25">
      <c r="A29" s="148">
        <v>43641</v>
      </c>
      <c r="B29" s="150" t="s">
        <v>388</v>
      </c>
      <c r="C29" s="132" t="s">
        <v>391</v>
      </c>
      <c r="D29" s="132">
        <v>17</v>
      </c>
      <c r="E29" s="34">
        <f t="shared" si="3"/>
        <v>12.181818181818182</v>
      </c>
      <c r="F29" s="132">
        <v>8</v>
      </c>
      <c r="G29" s="132">
        <v>3</v>
      </c>
      <c r="H29" s="149">
        <f t="shared" si="0"/>
        <v>0.375</v>
      </c>
    </row>
    <row r="30" spans="1:8" x14ac:dyDescent="0.25">
      <c r="A30" s="148">
        <v>43642</v>
      </c>
      <c r="B30" s="132" t="s">
        <v>390</v>
      </c>
      <c r="C30" s="150" t="s">
        <v>388</v>
      </c>
      <c r="D30" s="132">
        <v>17</v>
      </c>
      <c r="E30" s="34">
        <f t="shared" si="3"/>
        <v>12.181818181818182</v>
      </c>
      <c r="F30" s="132">
        <v>7</v>
      </c>
      <c r="G30" s="132">
        <v>1</v>
      </c>
      <c r="H30" s="149">
        <f t="shared" si="0"/>
        <v>0.14285714285714285</v>
      </c>
    </row>
    <row r="31" spans="1:8" x14ac:dyDescent="0.25">
      <c r="A31" s="148">
        <v>43643</v>
      </c>
      <c r="B31" s="132" t="s">
        <v>405</v>
      </c>
      <c r="C31" s="150" t="s">
        <v>388</v>
      </c>
      <c r="D31" s="132">
        <v>17</v>
      </c>
      <c r="E31" s="34">
        <f t="shared" si="3"/>
        <v>12.181818181818182</v>
      </c>
      <c r="F31" s="132">
        <v>4</v>
      </c>
      <c r="G31" s="132">
        <v>2</v>
      </c>
      <c r="H31" s="43">
        <f t="shared" si="0"/>
        <v>0.5</v>
      </c>
    </row>
    <row r="32" spans="1:8" x14ac:dyDescent="0.25">
      <c r="A32" s="148">
        <v>43643</v>
      </c>
      <c r="B32" s="150" t="s">
        <v>388</v>
      </c>
      <c r="C32" s="132" t="s">
        <v>406</v>
      </c>
      <c r="D32" s="132">
        <v>17</v>
      </c>
      <c r="E32" s="34">
        <f t="shared" si="3"/>
        <v>12.181818181818182</v>
      </c>
      <c r="F32" s="132">
        <v>6</v>
      </c>
      <c r="G32" s="132">
        <v>1</v>
      </c>
      <c r="H32" s="43">
        <f t="shared" si="0"/>
        <v>0.16666666666666666</v>
      </c>
    </row>
    <row r="33" spans="1:8" x14ac:dyDescent="0.25">
      <c r="A33" s="148">
        <v>43643</v>
      </c>
      <c r="B33" s="132" t="s">
        <v>407</v>
      </c>
      <c r="C33" s="150" t="s">
        <v>388</v>
      </c>
      <c r="D33" s="132">
        <v>17</v>
      </c>
      <c r="E33" s="34">
        <f t="shared" si="3"/>
        <v>12.181818181818182</v>
      </c>
      <c r="F33" s="132">
        <v>7</v>
      </c>
      <c r="G33" s="132">
        <v>3</v>
      </c>
      <c r="H33" s="43">
        <f t="shared" si="0"/>
        <v>0.42857142857142855</v>
      </c>
    </row>
    <row r="34" spans="1:8" x14ac:dyDescent="0.25">
      <c r="A34" s="148">
        <v>43644</v>
      </c>
      <c r="B34" s="150" t="s">
        <v>388</v>
      </c>
      <c r="C34" s="132" t="s">
        <v>672</v>
      </c>
      <c r="D34" s="132">
        <v>17</v>
      </c>
      <c r="E34" s="34">
        <f>(15+10+10+14+11+10+13+14+13+10+10)/11</f>
        <v>11.818181818181818</v>
      </c>
      <c r="F34" s="132">
        <v>10</v>
      </c>
      <c r="G34" s="132">
        <v>4</v>
      </c>
      <c r="H34" s="43">
        <f t="shared" si="0"/>
        <v>0.4</v>
      </c>
    </row>
    <row r="35" spans="1:8" x14ac:dyDescent="0.25">
      <c r="A35" s="148">
        <v>43554</v>
      </c>
      <c r="B35" s="150" t="s">
        <v>388</v>
      </c>
      <c r="C35" s="132" t="s">
        <v>404</v>
      </c>
      <c r="D35" s="444">
        <v>18</v>
      </c>
      <c r="E35" s="447">
        <f>(15+11+14+11+14+10+13+11+14+9+9)/11</f>
        <v>11.909090909090908</v>
      </c>
      <c r="F35" s="444">
        <v>6</v>
      </c>
      <c r="G35" s="444">
        <v>1</v>
      </c>
      <c r="H35" s="445">
        <f t="shared" si="0"/>
        <v>0.16666666666666666</v>
      </c>
    </row>
    <row r="36" spans="1:8" x14ac:dyDescent="0.25">
      <c r="A36" s="148">
        <v>43561</v>
      </c>
      <c r="B36" s="150" t="s">
        <v>694</v>
      </c>
      <c r="C36" s="150" t="s">
        <v>388</v>
      </c>
      <c r="D36" s="444">
        <v>18</v>
      </c>
      <c r="E36" s="447">
        <f>(15+11+11+14+14+10+14+11+13+9+9)/11</f>
        <v>11.909090909090908</v>
      </c>
      <c r="F36" s="444">
        <v>8</v>
      </c>
      <c r="G36" s="444">
        <v>3</v>
      </c>
      <c r="H36" s="445">
        <f t="shared" si="0"/>
        <v>0.375</v>
      </c>
    </row>
    <row r="37" spans="1:8" x14ac:dyDescent="0.25">
      <c r="A37" s="148">
        <v>43568</v>
      </c>
      <c r="B37" s="150" t="s">
        <v>388</v>
      </c>
      <c r="C37" s="150" t="s">
        <v>695</v>
      </c>
      <c r="D37" s="444">
        <v>18</v>
      </c>
      <c r="E37" s="447">
        <f>(15+11+11+14+14+10+14+11+13+9+9)/11</f>
        <v>11.909090909090908</v>
      </c>
      <c r="F37" s="444">
        <v>8</v>
      </c>
      <c r="G37" s="444">
        <v>3</v>
      </c>
      <c r="H37" s="445">
        <f t="shared" si="0"/>
        <v>0.375</v>
      </c>
    </row>
    <row r="38" spans="1:8" x14ac:dyDescent="0.25">
      <c r="A38" s="148">
        <v>43575</v>
      </c>
      <c r="B38" s="150" t="s">
        <v>697</v>
      </c>
      <c r="C38" s="150" t="s">
        <v>388</v>
      </c>
      <c r="D38" s="444">
        <v>18</v>
      </c>
      <c r="E38" s="447">
        <f>(15+11+11+14+14+10+14+11+13+9+9)/11</f>
        <v>11.909090909090908</v>
      </c>
      <c r="F38" s="444">
        <v>9</v>
      </c>
      <c r="G38" s="444">
        <v>3</v>
      </c>
      <c r="H38" s="445">
        <f t="shared" si="0"/>
        <v>0.33333333333333331</v>
      </c>
    </row>
    <row r="39" spans="1:8" x14ac:dyDescent="0.25">
      <c r="A39" s="148">
        <v>43582</v>
      </c>
      <c r="B39" s="150" t="s">
        <v>388</v>
      </c>
      <c r="C39" s="444" t="s">
        <v>698</v>
      </c>
      <c r="D39" s="444">
        <v>18</v>
      </c>
      <c r="E39" s="447">
        <f>(15+11+11+14+14+10+14+11+13+9+9)/11</f>
        <v>11.909090909090908</v>
      </c>
      <c r="F39" s="444">
        <v>7</v>
      </c>
      <c r="G39" s="444">
        <v>2</v>
      </c>
      <c r="H39" s="445">
        <f t="shared" si="0"/>
        <v>0.2857142857142857</v>
      </c>
    </row>
    <row r="40" spans="1:8" x14ac:dyDescent="0.25">
      <c r="A40" s="148">
        <v>43655</v>
      </c>
      <c r="B40" s="150" t="s">
        <v>388</v>
      </c>
      <c r="C40" s="132" t="s">
        <v>677</v>
      </c>
      <c r="D40" s="132">
        <v>18</v>
      </c>
      <c r="E40" s="34">
        <f>(15+10+14+10+12+10+14+13+14+10+9)/11</f>
        <v>11.909090909090908</v>
      </c>
      <c r="F40" s="132">
        <v>5</v>
      </c>
      <c r="G40" s="132">
        <v>1</v>
      </c>
      <c r="H40" s="43">
        <f t="shared" si="0"/>
        <v>0.2</v>
      </c>
    </row>
    <row r="41" spans="1:8" x14ac:dyDescent="0.25">
      <c r="A41" s="148">
        <v>43656</v>
      </c>
      <c r="B41" s="132" t="s">
        <v>682</v>
      </c>
      <c r="C41" s="150" t="s">
        <v>388</v>
      </c>
      <c r="D41" s="132">
        <v>18</v>
      </c>
      <c r="E41" s="34">
        <f>(12+10+14+13+14+10+12+10+14+10+15)/11</f>
        <v>12.181818181818182</v>
      </c>
      <c r="F41" s="132">
        <v>6</v>
      </c>
      <c r="G41" s="132">
        <v>2</v>
      </c>
      <c r="H41" s="43">
        <f t="shared" si="0"/>
        <v>0.33333333333333331</v>
      </c>
    </row>
    <row r="42" spans="1:8" x14ac:dyDescent="0.25">
      <c r="A42" s="148">
        <v>43656</v>
      </c>
      <c r="B42" s="150" t="s">
        <v>388</v>
      </c>
      <c r="C42" s="132" t="s">
        <v>683</v>
      </c>
      <c r="D42" s="132">
        <v>18</v>
      </c>
      <c r="E42" s="34">
        <f>(15+10+14+10+12+10+14+13+12+10+12)/11</f>
        <v>12</v>
      </c>
      <c r="F42" s="132">
        <v>3</v>
      </c>
      <c r="G42" s="132">
        <v>1</v>
      </c>
      <c r="H42" s="43">
        <f t="shared" si="0"/>
        <v>0.33333333333333331</v>
      </c>
    </row>
    <row r="43" spans="1:8" x14ac:dyDescent="0.25">
      <c r="A43" s="148">
        <v>43652</v>
      </c>
      <c r="B43" s="150" t="s">
        <v>388</v>
      </c>
      <c r="C43" s="132" t="s">
        <v>676</v>
      </c>
      <c r="D43" s="132">
        <v>19</v>
      </c>
      <c r="E43" s="34">
        <f>(15+10+14+10+12+10+14+13+14+10+9)/11</f>
        <v>11.909090909090908</v>
      </c>
      <c r="F43" s="132">
        <v>9</v>
      </c>
      <c r="G43" s="132">
        <v>5</v>
      </c>
      <c r="H43" s="43">
        <f t="shared" si="0"/>
        <v>0.55555555555555558</v>
      </c>
    </row>
    <row r="44" spans="1:8" x14ac:dyDescent="0.25">
      <c r="A44" s="148">
        <v>43657</v>
      </c>
      <c r="B44" s="150" t="s">
        <v>388</v>
      </c>
      <c r="C44" s="132" t="s">
        <v>684</v>
      </c>
      <c r="D44" s="132">
        <v>19</v>
      </c>
      <c r="E44" s="34">
        <f>(15+10+14+10+12+10+14+13+14+10+9)/11</f>
        <v>11.909090909090908</v>
      </c>
      <c r="F44" s="132">
        <v>12</v>
      </c>
      <c r="G44" s="132">
        <v>5</v>
      </c>
      <c r="H44" s="149">
        <f t="shared" si="0"/>
        <v>0.41666666666666669</v>
      </c>
    </row>
    <row r="45" spans="1:8" x14ac:dyDescent="0.25">
      <c r="A45" s="148">
        <v>43666</v>
      </c>
      <c r="B45" s="132" t="s">
        <v>403</v>
      </c>
      <c r="C45" s="150" t="s">
        <v>388</v>
      </c>
      <c r="D45" s="132">
        <v>19</v>
      </c>
      <c r="E45" s="34">
        <f>(15+9+9+12+10+14+12+10+13+12+10)/11</f>
        <v>11.454545454545455</v>
      </c>
      <c r="F45" s="132">
        <v>5</v>
      </c>
      <c r="G45" s="132">
        <v>2</v>
      </c>
      <c r="H45" s="43">
        <f t="shared" si="0"/>
        <v>0.4</v>
      </c>
    </row>
    <row r="46" spans="1:8" x14ac:dyDescent="0.25">
      <c r="A46" s="148">
        <v>43663</v>
      </c>
      <c r="B46" s="150" t="s">
        <v>388</v>
      </c>
      <c r="C46" s="132" t="s">
        <v>685</v>
      </c>
      <c r="D46" s="132">
        <v>20</v>
      </c>
      <c r="E46" s="34">
        <f>(15+12+14.5+10+12+11+14+13+14+9+12)/11</f>
        <v>12.409090909090908</v>
      </c>
      <c r="F46" s="132">
        <v>7</v>
      </c>
      <c r="G46" s="132">
        <v>4</v>
      </c>
      <c r="H46" s="43">
        <f t="shared" si="0"/>
        <v>0.5714285714285714</v>
      </c>
    </row>
    <row r="47" spans="1:8" x14ac:dyDescent="0.25">
      <c r="A47" s="148">
        <v>43672</v>
      </c>
      <c r="B47" s="132" t="s">
        <v>690</v>
      </c>
      <c r="C47" s="150" t="s">
        <v>388</v>
      </c>
      <c r="D47" s="132">
        <v>20</v>
      </c>
      <c r="E47" s="34">
        <f>(15+12+12+10+14+10+13+13+14+10+12)/11</f>
        <v>12.272727272727273</v>
      </c>
      <c r="F47" s="132">
        <v>5</v>
      </c>
      <c r="G47" s="132">
        <v>3</v>
      </c>
      <c r="H47" s="43">
        <f t="shared" si="0"/>
        <v>0.6</v>
      </c>
    </row>
    <row r="48" spans="1:8" x14ac:dyDescent="0.25">
      <c r="A48" s="148">
        <v>43677</v>
      </c>
      <c r="B48" s="150" t="s">
        <v>388</v>
      </c>
      <c r="C48" s="132" t="s">
        <v>702</v>
      </c>
      <c r="D48" s="132">
        <v>20</v>
      </c>
      <c r="E48" s="34">
        <f>(15+11+14+10+12+12+13+13+14+12+9)/11</f>
        <v>12.272727272727273</v>
      </c>
      <c r="F48" s="132">
        <v>6</v>
      </c>
      <c r="G48" s="132">
        <v>2</v>
      </c>
      <c r="H48" s="43">
        <f t="shared" si="0"/>
        <v>0.33333333333333331</v>
      </c>
    </row>
  </sheetData>
  <sortState ref="A2:H49">
    <sortCondition ref="D2:D49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6" t="s">
        <v>122</v>
      </c>
      <c r="B1" s="476"/>
      <c r="C1" s="476"/>
      <c r="D1" s="476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477" t="s">
        <v>123</v>
      </c>
      <c r="B2" s="478" t="s">
        <v>124</v>
      </c>
      <c r="C2" s="478" t="s">
        <v>125</v>
      </c>
      <c r="D2" s="478" t="s">
        <v>126</v>
      </c>
      <c r="F2" s="104" t="s">
        <v>229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477"/>
      <c r="B3" s="478"/>
      <c r="C3" s="478"/>
      <c r="D3" s="478"/>
      <c r="F3" s="104" t="s">
        <v>230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231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232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234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233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235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236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237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238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241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343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344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2019-08-21T06:53:17Z</dcterms:modified>
</cp:coreProperties>
</file>